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3.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4.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5.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intlmonetaryfund-my.sharepoint.com/personal/tbenninger_imf_org/Documents/FARI/FARI simplified models/Published/"/>
    </mc:Choice>
  </mc:AlternateContent>
  <xr:revisionPtr revIDLastSave="37" documentId="8_{9E645F5E-7B69-4E4E-9F86-CF6AA2B563EF}" xr6:coauthVersionLast="47" xr6:coauthVersionMax="47" xr10:uidLastSave="{D4481026-AD26-4CBE-BFC7-FB1F5E6162E1}"/>
  <bookViews>
    <workbookView xWindow="30240" yWindow="1490" windowWidth="21600" windowHeight="11410" tabRatio="848" firstSheet="7" activeTab="7" xr2:uid="{00000000-000D-0000-FFFF-FFFF00000000}"/>
  </bookViews>
  <sheets>
    <sheet name="Terms" sheetId="3" r:id="rId1"/>
    <sheet name="ReadMe" sheetId="34" r:id="rId2"/>
    <sheet name="ModelMap" sheetId="24" r:id="rId3"/>
    <sheet name="Key" sheetId="13" r:id="rId4"/>
    <sheet name="Track" sheetId="35" r:id="rId5"/>
    <sheet name="Dashboard" sheetId="5" r:id="rId6"/>
    <sheet name="Inputs" sheetId="11" r:id="rId7"/>
    <sheet name="FiscalModel" sheetId="1" r:id="rId8"/>
    <sheet name="ProjectCashflows" sheetId="31" r:id="rId9"/>
    <sheet name="Analysis" sheetId="12" r:id="rId10"/>
    <sheet name="Charts" sheetId="7" r:id="rId11"/>
    <sheet name="800MMbbl_A" sheetId="33" r:id="rId12"/>
    <sheet name="800MMbbl_B" sheetId="21" r:id="rId13"/>
    <sheet name="200MMbbl" sheetId="36" r:id="rId14"/>
    <sheet name="Translate" sheetId="38" r:id="rId15"/>
    <sheet name="NewSheet" sheetId="6" r:id="rId16"/>
  </sheets>
  <definedNames>
    <definedName name="_xlnm._FilterDatabase" localSheetId="11" hidden="1">'800MMbbl_A'!$A$1:$A$81</definedName>
    <definedName name="_xlnm._FilterDatabase" localSheetId="12" hidden="1">'800MMbbl_B'!$B$1:$B$81</definedName>
    <definedName name="_xlnm._FilterDatabase" localSheetId="9" hidden="1">Analysis!$E$1:$E$329</definedName>
    <definedName name="_xlnm._FilterDatabase" localSheetId="7" hidden="1">FiscalModel!$E$1:$E$1186</definedName>
    <definedName name="_xlnm._FilterDatabase" localSheetId="6" hidden="1">Inputs!$B$1:$B$108</definedName>
    <definedName name="_xlnm._FilterDatabase" localSheetId="3" hidden="1">Key!$H$1:$H$90</definedName>
    <definedName name="_xlnm._FilterDatabase" localSheetId="8" hidden="1">ProjectCashflows!$E$1:$E$291</definedName>
    <definedName name="_xlnm._FilterDatabase" localSheetId="4" hidden="1">Track!$B$1:$B$109</definedName>
    <definedName name="_xlnm._FilterDatabase" localSheetId="14" hidden="1">Translate!$A$2:$P$929</definedName>
    <definedName name="BEG_FISCAL_PARAMETERS">FiscalModel!$A$14</definedName>
    <definedName name="Breakeven1">Dashboard!$U$172</definedName>
    <definedName name="BreakevenMacroDifference">Dashboard!$T$177</definedName>
    <definedName name="BreakevenRegimeCount">Dashboard!$S$171</definedName>
    <definedName name="BreakevenResults">Dashboard!$T$173:$T$180</definedName>
    <definedName name="BreakevenResultsTable">Dashboard!$U$173:$Y$180</definedName>
    <definedName name="CBWorkbookPriority" hidden="1">-944898989</definedName>
    <definedName name="CHK_TOL">Inputs!$F$83</definedName>
    <definedName name="Dashboard">Dashboard!$A$1</definedName>
    <definedName name="END_FISCAL_PARAMETERS">FiscalModel!$A$95</definedName>
    <definedName name="FiscalModel">FiscalModel!$A$1</definedName>
    <definedName name="HTML_CodePage" hidden="1">1252</definedName>
    <definedName name="HTML_Control" hidden="1">{"'web page'!$A$1:$G$48"}</definedName>
    <definedName name="HTML_Control_2" hidden="1">{"'web page'!$A$1:$G$48"}</definedName>
    <definedName name="HTML_Description" hidden="1">""</definedName>
    <definedName name="HTML_Email" hidden="1">""</definedName>
    <definedName name="HTML_Header" hidden="1">"Singapore"</definedName>
    <definedName name="HTML_LastUpdate" hidden="1">"31-Jan-98"</definedName>
    <definedName name="HTML_LineAfter" hidden="1">TRUE</definedName>
    <definedName name="HTML_LineBefore" hidden="1">TRUE</definedName>
    <definedName name="HTML_Name" hidden="1">"C R Laurent"</definedName>
    <definedName name="HTML_OBDlg2" hidden="1">TRUE</definedName>
    <definedName name="HTML_OBDlg3" hidden="1">TRUE</definedName>
    <definedName name="HTML_OBDlg4" hidden="1">TRUE</definedName>
    <definedName name="HTML_OS" hidden="1">0</definedName>
    <definedName name="HTML_PathFile" hidden="1">"C:\FrontPage Webs\Content\asiandem\sing96.htm"</definedName>
    <definedName name="HTML_PathTemplate" hidden="1">"C:\AsianDem\Database 98\Forecasts\HTMLTemp.htm"</definedName>
    <definedName name="HTML_Title" hidden="1">"Singapore 96 v2"</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Language_Selected">Dashboard!$C$5</definedName>
    <definedName name="Languages">Inputs!$F$96:$F$100</definedName>
    <definedName name="OilPrice">Dashboard!$C$9</definedName>
    <definedName name="QuarterlyFis" localSheetId="13" hidden="1">#REF!</definedName>
    <definedName name="QuarterlyFis" localSheetId="11" hidden="1">#REF!</definedName>
    <definedName name="QuarterlyFis" localSheetId="12" hidden="1">#REF!</definedName>
    <definedName name="QuarterlyFis" localSheetId="4" hidden="1">#REF!</definedName>
    <definedName name="QuarterlyFis" hidden="1">#REF!</definedName>
    <definedName name="RegimeSelected">Dashboard!$C$6</definedName>
    <definedName name="RiskBeforeRecalcMacro" hidden="1">""</definedName>
    <definedName name="RiskBeforeSimMacro" hidden="1">"Before"</definedName>
    <definedName name="RiskCollectDistributionSamples" hidden="1">2</definedName>
    <definedName name="RiskMinimizeOnStart" hidden="1">FALSE</definedName>
    <definedName name="RiskMonitorConvergence" hidden="1">FALSE</definedName>
    <definedName name="RiskRunAfterRecalcMacro" hidden="1">FALSE</definedName>
    <definedName name="Rwvu.Print." hidden="1">#N/A</definedName>
    <definedName name="sdfa" hidden="1">{"'web page'!$A$1:$G$48"}</definedName>
    <definedName name="Translation_fiscal">FiscalModel!$E$7:$G$7</definedName>
    <definedName name="Translation_readme">ReadMe!$N$7:$P$7</definedName>
    <definedName name="translation1">Translate!$E$927</definedName>
    <definedName name="translation2">Translate!$E$928</definedName>
    <definedName name="translation3">Translate!$E$929</definedName>
    <definedName name="wrn.1998._.presentation._.Brief._.T2." hidden="1">{"BOP 1998",#N/A,FALSE,"BoPacc"}</definedName>
    <definedName name="wrn.AE201." hidden="1">{#N/A,#N/A,FALSE,"Prod Nac GN";#N/A,#N/A,FALSE,"Prod Nac GN";#N/A,#N/A,FALSE,"Base Dados mil m3";#N/A,#N/A,FALSE,"Prod Ter Est 3D";#N/A,#N/A,FALSE,"Prod Ter 3D";#N/A,#N/A,FALSE,"Prod Mar 3D"}</definedName>
    <definedName name="wrn.BoP._.med._.term._.present." hidden="1">{"BoP medium term",#N/A,FALSE,"BoPacc";"export breakdown",#N/A,FALSE,"oexp"}</definedName>
    <definedName name="wrn.Medium._.term._.framework." hidden="1">{"sei table",#N/A,FALSE,"summary"}</definedName>
    <definedName name="wrn.Medium._.term._.projections." hidden="1">{"BoP medium term",#N/A,FALSE,"BoPacc";"export breakdown",#N/A,FALSE,"oexp";"debt in US$",#N/A,FALSE,"debtUS$";"consis check",#N/A,FALSE,"dbomt"}</definedName>
    <definedName name="wvu.Print." hidden="1">{TRUE,TRUE,-0.5,-14.75,603,387,FALSE,TRUE,TRUE,TRUE,0,1,2,1,2,1,1,4,TRUE,TRUE,3,TRUE,1,TRUE,75,"Swvu.Print.","ACwvu.Print.",#N/A,FALSE,FALSE,1,0.75,0.6,0.5,1,"","",TRUE,FALSE,TRUE,FALSE,1,#N/A,1,1,#DIV/0!,FALSE,"Rwvu.Print.",#N/A,FALSE,FALSE,FALSE,1,65532,300,FALSE,FALSE,TRUE,TRUE,TRUE}</definedName>
  </definedNames>
  <calcPr calcId="191028" calcMode="autoNoTable"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03" i="1" l="1"/>
  <c r="H303" i="1"/>
  <c r="F303" i="1"/>
  <c r="F906" i="1"/>
  <c r="H906" i="1"/>
  <c r="J906" i="1"/>
  <c r="F850" i="1"/>
  <c r="H850" i="1"/>
  <c r="J850" i="1"/>
  <c r="J1158" i="1"/>
  <c r="H1158" i="1"/>
  <c r="F1158" i="1"/>
  <c r="J1157" i="1"/>
  <c r="H1157" i="1"/>
  <c r="F1157" i="1"/>
  <c r="J36" i="12"/>
  <c r="H36" i="12"/>
  <c r="F36" i="12"/>
  <c r="J1113" i="1"/>
  <c r="H1113" i="1"/>
  <c r="F1113" i="1"/>
  <c r="J1095" i="1"/>
  <c r="H1095" i="1"/>
  <c r="F1095" i="1"/>
  <c r="J39" i="12"/>
  <c r="H39" i="12"/>
  <c r="F39" i="12"/>
  <c r="G412" i="1"/>
  <c r="J411" i="1"/>
  <c r="H411" i="1"/>
  <c r="F411" i="1"/>
  <c r="A1" i="5" l="1"/>
  <c r="A1" i="1"/>
  <c r="F898" i="1"/>
  <c r="F481" i="1"/>
  <c r="J497" i="1"/>
  <c r="F497" i="1"/>
  <c r="H497" i="1"/>
  <c r="J481" i="1"/>
  <c r="H481" i="1"/>
  <c r="H428" i="1"/>
  <c r="J428" i="1"/>
  <c r="F428" i="1"/>
  <c r="A1" i="3" l="1"/>
  <c r="A1" i="35"/>
  <c r="A8" i="13"/>
  <c r="O2" i="38" l="1"/>
  <c r="N2" i="38"/>
  <c r="E100" i="11"/>
  <c r="E99" i="11"/>
  <c r="F51" i="11"/>
  <c r="K225" i="5" l="1"/>
  <c r="I216" i="5"/>
  <c r="I225" i="5" s="1"/>
  <c r="F95" i="11" l="1"/>
  <c r="F101" i="11" s="1"/>
  <c r="A1" i="38"/>
  <c r="C11" i="24" s="1"/>
  <c r="J1031" i="1" l="1"/>
  <c r="I1031" i="1"/>
  <c r="H1031" i="1"/>
  <c r="F1031" i="1"/>
  <c r="J1030" i="1"/>
  <c r="I1030" i="1"/>
  <c r="H1030" i="1"/>
  <c r="F1030" i="1"/>
  <c r="J90" i="7"/>
  <c r="H90" i="7"/>
  <c r="F90" i="7"/>
  <c r="J89" i="7"/>
  <c r="H89" i="7"/>
  <c r="F89" i="7"/>
  <c r="J87" i="7"/>
  <c r="F87" i="7"/>
  <c r="J86" i="7"/>
  <c r="F86" i="7"/>
  <c r="J85" i="7"/>
  <c r="F85" i="7"/>
  <c r="J84" i="7"/>
  <c r="F84" i="7"/>
  <c r="J83" i="7"/>
  <c r="F83" i="7"/>
  <c r="J81" i="7"/>
  <c r="I81" i="7"/>
  <c r="H81" i="7"/>
  <c r="F81" i="7"/>
  <c r="J126" i="7"/>
  <c r="F126" i="7"/>
  <c r="J100" i="1"/>
  <c r="F100" i="1"/>
  <c r="J557" i="1"/>
  <c r="I557" i="1"/>
  <c r="F557" i="1"/>
  <c r="J124" i="7"/>
  <c r="I124" i="7"/>
  <c r="F124" i="7"/>
  <c r="J282" i="31"/>
  <c r="F282" i="31"/>
  <c r="J273" i="31"/>
  <c r="F273" i="31"/>
  <c r="J226" i="31"/>
  <c r="H226" i="31"/>
  <c r="F226" i="31"/>
  <c r="J225" i="31"/>
  <c r="F225" i="31"/>
  <c r="J224" i="31"/>
  <c r="F224" i="31"/>
  <c r="J223" i="31"/>
  <c r="F223" i="31"/>
  <c r="J222" i="31"/>
  <c r="F222" i="31"/>
  <c r="J220" i="31"/>
  <c r="F220" i="31"/>
  <c r="J219" i="31"/>
  <c r="F219" i="31"/>
  <c r="J217" i="31"/>
  <c r="F217" i="31"/>
  <c r="J166" i="31"/>
  <c r="H166" i="31"/>
  <c r="F166" i="31"/>
  <c r="J165" i="31"/>
  <c r="F165" i="31"/>
  <c r="J162" i="31"/>
  <c r="J88" i="7" s="1"/>
  <c r="H162" i="31"/>
  <c r="H88" i="7" s="1"/>
  <c r="F162" i="31"/>
  <c r="F88" i="7" s="1"/>
  <c r="J150" i="31"/>
  <c r="H150" i="31"/>
  <c r="F150" i="31"/>
  <c r="J140" i="31"/>
  <c r="H140" i="31"/>
  <c r="F140" i="31"/>
  <c r="J138" i="31"/>
  <c r="H138" i="31"/>
  <c r="F138" i="31"/>
  <c r="J136" i="31"/>
  <c r="I136" i="31"/>
  <c r="H136" i="31"/>
  <c r="F136" i="31"/>
  <c r="H132" i="31"/>
  <c r="J130" i="31"/>
  <c r="H130" i="31"/>
  <c r="F130" i="31"/>
  <c r="J129" i="31"/>
  <c r="I129" i="31"/>
  <c r="H129" i="31"/>
  <c r="F129" i="31"/>
  <c r="J127" i="31"/>
  <c r="H127" i="31"/>
  <c r="F127" i="31"/>
  <c r="H161" i="31"/>
  <c r="H225" i="31" s="1"/>
  <c r="H160" i="31"/>
  <c r="H224" i="31" s="1"/>
  <c r="H159" i="31"/>
  <c r="H223" i="31" s="1"/>
  <c r="H158" i="31"/>
  <c r="H222" i="31" s="1"/>
  <c r="H156" i="31"/>
  <c r="H83" i="7" s="1"/>
  <c r="H155" i="31"/>
  <c r="H220" i="31" s="1"/>
  <c r="H154" i="31"/>
  <c r="H219" i="31" s="1"/>
  <c r="H131" i="31"/>
  <c r="J115" i="31"/>
  <c r="I115" i="31"/>
  <c r="H115" i="31"/>
  <c r="F115" i="31"/>
  <c r="J111" i="31"/>
  <c r="H111" i="31"/>
  <c r="F111" i="31"/>
  <c r="J110" i="31"/>
  <c r="I110" i="31"/>
  <c r="H110" i="31"/>
  <c r="F110" i="31"/>
  <c r="F105" i="31"/>
  <c r="J99" i="31"/>
  <c r="I99" i="31"/>
  <c r="H99" i="31"/>
  <c r="F99" i="31"/>
  <c r="J95" i="31"/>
  <c r="H95" i="31"/>
  <c r="F95" i="31"/>
  <c r="J94" i="31"/>
  <c r="H94" i="31"/>
  <c r="F94" i="31"/>
  <c r="J55" i="31"/>
  <c r="I55" i="31"/>
  <c r="H55" i="31"/>
  <c r="F55" i="31"/>
  <c r="J121" i="31"/>
  <c r="H121" i="31"/>
  <c r="F121" i="31"/>
  <c r="O60" i="1"/>
  <c r="O61" i="1" s="1"/>
  <c r="O62" i="1" s="1"/>
  <c r="O63" i="1" s="1"/>
  <c r="N60" i="1"/>
  <c r="N61" i="1" s="1"/>
  <c r="N62" i="1" s="1"/>
  <c r="N63" i="1" s="1"/>
  <c r="N50" i="1"/>
  <c r="N51" i="1" s="1"/>
  <c r="N52" i="1" s="1"/>
  <c r="H87" i="7" l="1"/>
  <c r="H85" i="7"/>
  <c r="H84" i="7"/>
  <c r="H165" i="31"/>
  <c r="H86" i="7"/>
  <c r="H126" i="7"/>
  <c r="H282" i="31"/>
  <c r="H100" i="1"/>
  <c r="H273" i="31"/>
  <c r="H124" i="7"/>
  <c r="H557" i="1"/>
  <c r="J20" i="7"/>
  <c r="J34" i="7" s="1"/>
  <c r="H20" i="7"/>
  <c r="H34" i="7" s="1"/>
  <c r="F20" i="7"/>
  <c r="F34" i="7" s="1"/>
  <c r="J1104" i="1"/>
  <c r="H1104" i="1"/>
  <c r="F1104" i="1"/>
  <c r="J703" i="1"/>
  <c r="H703" i="1"/>
  <c r="F703" i="1"/>
  <c r="J532" i="1"/>
  <c r="H532" i="1"/>
  <c r="F532" i="1"/>
  <c r="J502" i="1"/>
  <c r="H502" i="1"/>
  <c r="F502" i="1"/>
  <c r="J429" i="1"/>
  <c r="H429" i="1"/>
  <c r="F429" i="1"/>
  <c r="J305" i="1"/>
  <c r="H305" i="1"/>
  <c r="F305" i="1"/>
  <c r="J304" i="1"/>
  <c r="H304" i="1"/>
  <c r="F304" i="1"/>
  <c r="J218" i="1"/>
  <c r="H218" i="1"/>
  <c r="F218" i="1"/>
  <c r="J212" i="1"/>
  <c r="H212" i="1"/>
  <c r="F212" i="1"/>
  <c r="J217" i="1"/>
  <c r="H217" i="1"/>
  <c r="F217" i="1"/>
  <c r="J213" i="1"/>
  <c r="I213" i="1"/>
  <c r="H213" i="1"/>
  <c r="G213" i="1"/>
  <c r="F213" i="1"/>
  <c r="G219" i="1"/>
  <c r="G502" i="1" s="1"/>
  <c r="J208" i="1"/>
  <c r="I208" i="1"/>
  <c r="G208" i="1"/>
  <c r="F208" i="1"/>
  <c r="J207" i="1"/>
  <c r="I207" i="1"/>
  <c r="H207" i="1"/>
  <c r="F207" i="1"/>
  <c r="J199" i="1"/>
  <c r="I199" i="1"/>
  <c r="H199" i="1"/>
  <c r="F199" i="1"/>
  <c r="J196" i="1"/>
  <c r="I196" i="1"/>
  <c r="F196" i="1"/>
  <c r="G203" i="1"/>
  <c r="G305" i="1" l="1"/>
  <c r="G703" i="1"/>
  <c r="G532" i="1"/>
  <c r="J294" i="1"/>
  <c r="I294" i="1"/>
  <c r="H294" i="1"/>
  <c r="F294" i="1"/>
  <c r="J293" i="1"/>
  <c r="H293" i="1"/>
  <c r="F293" i="1"/>
  <c r="J591" i="1"/>
  <c r="H591" i="1"/>
  <c r="F591" i="1"/>
  <c r="J728" i="1"/>
  <c r="H728" i="1"/>
  <c r="F728" i="1"/>
  <c r="J313" i="1"/>
  <c r="H313" i="1"/>
  <c r="F313" i="1"/>
  <c r="J1105" i="1"/>
  <c r="H1105" i="1"/>
  <c r="F1105" i="1"/>
  <c r="J297" i="1"/>
  <c r="H297" i="1"/>
  <c r="F297" i="1"/>
  <c r="G260" i="1"/>
  <c r="J258" i="1"/>
  <c r="I258" i="1"/>
  <c r="H258" i="1"/>
  <c r="F258" i="1"/>
  <c r="G250" i="1"/>
  <c r="F250" i="1"/>
  <c r="J248" i="1"/>
  <c r="I248" i="1"/>
  <c r="F248" i="1"/>
  <c r="J247" i="1"/>
  <c r="I247" i="1"/>
  <c r="H247" i="1"/>
  <c r="F247" i="1"/>
  <c r="J236" i="1"/>
  <c r="I236" i="1"/>
  <c r="H236" i="1"/>
  <c r="F236" i="1"/>
  <c r="J290" i="1"/>
  <c r="I290" i="1"/>
  <c r="H290" i="1"/>
  <c r="F290" i="1"/>
  <c r="J287" i="1"/>
  <c r="I287" i="1"/>
  <c r="H287" i="1"/>
  <c r="F287" i="1"/>
  <c r="J286" i="1"/>
  <c r="I286" i="1"/>
  <c r="H286" i="1"/>
  <c r="F286" i="1"/>
  <c r="H282" i="1"/>
  <c r="J278" i="1"/>
  <c r="I278" i="1"/>
  <c r="H278" i="1"/>
  <c r="F278" i="1"/>
  <c r="J277" i="1"/>
  <c r="H277" i="1"/>
  <c r="F277" i="1"/>
  <c r="X63" i="5" l="1"/>
  <c r="W63" i="5"/>
  <c r="V63" i="5"/>
  <c r="AA62" i="5" s="1"/>
  <c r="U63" i="5"/>
  <c r="AA63" i="5" s="1"/>
  <c r="AX14" i="36" l="1"/>
  <c r="AW14" i="36"/>
  <c r="AV14" i="36"/>
  <c r="AU14" i="36"/>
  <c r="AT14" i="36"/>
  <c r="AS14" i="36"/>
  <c r="AR14" i="36"/>
  <c r="AQ14" i="36"/>
  <c r="AP14" i="36"/>
  <c r="AO14" i="36"/>
  <c r="AN14" i="36"/>
  <c r="AM14" i="36"/>
  <c r="AL14" i="36"/>
  <c r="AK14" i="36"/>
  <c r="AJ14" i="36"/>
  <c r="AI14" i="36"/>
  <c r="AH14" i="36"/>
  <c r="AG14" i="36"/>
  <c r="W14" i="36"/>
  <c r="V14" i="36"/>
  <c r="U14" i="36"/>
  <c r="T14" i="36"/>
  <c r="S14" i="36"/>
  <c r="R14" i="36"/>
  <c r="Q14" i="36"/>
  <c r="P14" i="36"/>
  <c r="O14" i="36"/>
  <c r="N14" i="36"/>
  <c r="M14" i="36"/>
  <c r="L14" i="36"/>
  <c r="K14" i="36"/>
  <c r="J1111" i="1"/>
  <c r="H1111" i="1"/>
  <c r="F1111" i="1"/>
  <c r="J1010" i="1"/>
  <c r="H1010" i="1"/>
  <c r="F1010" i="1"/>
  <c r="F996" i="1"/>
  <c r="H996" i="1"/>
  <c r="J996" i="1"/>
  <c r="F995" i="1"/>
  <c r="H995" i="1"/>
  <c r="J995" i="1"/>
  <c r="F990" i="1"/>
  <c r="H990" i="1"/>
  <c r="I990" i="1"/>
  <c r="J990" i="1"/>
  <c r="J946" i="1" l="1"/>
  <c r="I946" i="1"/>
  <c r="H946" i="1"/>
  <c r="F946" i="1"/>
  <c r="F949" i="1"/>
  <c r="H949" i="1"/>
  <c r="I949" i="1"/>
  <c r="J949" i="1"/>
  <c r="J947" i="1"/>
  <c r="I947" i="1"/>
  <c r="H947" i="1"/>
  <c r="F947" i="1"/>
  <c r="F948" i="1"/>
  <c r="H948" i="1"/>
  <c r="I948" i="1"/>
  <c r="J948" i="1"/>
  <c r="F970" i="1"/>
  <c r="H970" i="1"/>
  <c r="J970" i="1"/>
  <c r="G974" i="1"/>
  <c r="G973" i="1"/>
  <c r="G972" i="1"/>
  <c r="J969" i="1"/>
  <c r="H969" i="1"/>
  <c r="F969" i="1"/>
  <c r="J968" i="1"/>
  <c r="H968" i="1"/>
  <c r="F968" i="1"/>
  <c r="J967" i="1"/>
  <c r="H967" i="1"/>
  <c r="F967" i="1"/>
  <c r="J966" i="1"/>
  <c r="H966" i="1"/>
  <c r="F966" i="1"/>
  <c r="F725" i="1"/>
  <c r="H725" i="1"/>
  <c r="J725" i="1"/>
  <c r="F724" i="1"/>
  <c r="H724" i="1"/>
  <c r="J724" i="1"/>
  <c r="F723" i="1"/>
  <c r="H723" i="1"/>
  <c r="J723" i="1"/>
  <c r="F722" i="1"/>
  <c r="H722" i="1"/>
  <c r="J722" i="1"/>
  <c r="X9" i="36"/>
  <c r="X14" i="36" s="1"/>
  <c r="V52" i="36"/>
  <c r="U52" i="36"/>
  <c r="T52" i="36"/>
  <c r="S52" i="36"/>
  <c r="R52" i="36"/>
  <c r="W47" i="36"/>
  <c r="AX52" i="36"/>
  <c r="AW52" i="36"/>
  <c r="AV52" i="36"/>
  <c r="AU52" i="36"/>
  <c r="AT52" i="36"/>
  <c r="AS52" i="36"/>
  <c r="AR52" i="36"/>
  <c r="AQ52" i="36"/>
  <c r="AP52" i="36"/>
  <c r="AO52" i="36"/>
  <c r="AN52" i="36"/>
  <c r="AM52" i="36"/>
  <c r="AL52" i="36"/>
  <c r="AK52" i="36"/>
  <c r="AJ52" i="36"/>
  <c r="AI52" i="36"/>
  <c r="AH52" i="36"/>
  <c r="AG52" i="36"/>
  <c r="Q52" i="36"/>
  <c r="P52" i="36"/>
  <c r="O52" i="36"/>
  <c r="N52" i="36"/>
  <c r="M52" i="36"/>
  <c r="L52" i="36"/>
  <c r="K52" i="36"/>
  <c r="J52" i="36"/>
  <c r="H52" i="36"/>
  <c r="F52" i="36"/>
  <c r="F48" i="36"/>
  <c r="AX47" i="36"/>
  <c r="AW47" i="36"/>
  <c r="AV47" i="36"/>
  <c r="AU47" i="36"/>
  <c r="AT47" i="36"/>
  <c r="AS47" i="36"/>
  <c r="V47" i="36"/>
  <c r="U47" i="36"/>
  <c r="T47" i="36"/>
  <c r="S47" i="36"/>
  <c r="R47" i="36"/>
  <c r="Q47" i="36"/>
  <c r="P47" i="36"/>
  <c r="O47" i="36"/>
  <c r="N47" i="36"/>
  <c r="M47" i="36"/>
  <c r="L47" i="36"/>
  <c r="K47" i="36"/>
  <c r="J47" i="36"/>
  <c r="I47" i="36"/>
  <c r="H47" i="36"/>
  <c r="F47" i="36"/>
  <c r="F41" i="36"/>
  <c r="F40" i="36"/>
  <c r="F18" i="36"/>
  <c r="I13" i="36"/>
  <c r="I12" i="36"/>
  <c r="AG15" i="36" s="1"/>
  <c r="I15" i="36" s="1"/>
  <c r="I11" i="36"/>
  <c r="A1" i="36"/>
  <c r="G34" i="24" l="1"/>
  <c r="M6" i="24"/>
  <c r="F42" i="36"/>
  <c r="F84" i="36" s="1"/>
  <c r="F20" i="11"/>
  <c r="Y9" i="36"/>
  <c r="W52" i="36"/>
  <c r="X52" i="36"/>
  <c r="X47" i="36"/>
  <c r="F6" i="36"/>
  <c r="AA74" i="5" a="1"/>
  <c r="AA74" i="5" s="1"/>
  <c r="Z9" i="36" l="1"/>
  <c r="Y14" i="36"/>
  <c r="Y52" i="36" s="1"/>
  <c r="Y47" i="36"/>
  <c r="Z47" i="36"/>
  <c r="AA9" i="36" l="1"/>
  <c r="Z14" i="36"/>
  <c r="Z52" i="36" s="1"/>
  <c r="AA47" i="36"/>
  <c r="U172" i="5" a="1"/>
  <c r="U172" i="5" s="1"/>
  <c r="R125" i="5" a="1"/>
  <c r="R125" i="5" s="1"/>
  <c r="R100" i="5" a="1"/>
  <c r="R101" i="5" s="1"/>
  <c r="AB9" i="36" l="1"/>
  <c r="AA14" i="36"/>
  <c r="AA52" i="36" s="1"/>
  <c r="AB47" i="36"/>
  <c r="X172" i="5"/>
  <c r="W172" i="5"/>
  <c r="V172" i="5"/>
  <c r="Y172" i="5"/>
  <c r="R129" i="5"/>
  <c r="R128" i="5"/>
  <c r="R127" i="5"/>
  <c r="R126" i="5"/>
  <c r="R102" i="5"/>
  <c r="R104" i="5"/>
  <c r="R100" i="5"/>
  <c r="R103" i="5"/>
  <c r="F1091" i="1"/>
  <c r="H1091" i="1"/>
  <c r="J1091" i="1"/>
  <c r="F1042" i="1"/>
  <c r="H1042" i="1"/>
  <c r="J1042" i="1"/>
  <c r="F1004" i="1"/>
  <c r="H1004" i="1"/>
  <c r="J1004" i="1"/>
  <c r="J891" i="1"/>
  <c r="H891" i="1"/>
  <c r="F891" i="1"/>
  <c r="AC9" i="36" l="1"/>
  <c r="AC47" i="36" s="1"/>
  <c r="AB14" i="36"/>
  <c r="AB52" i="36" s="1"/>
  <c r="F867" i="1"/>
  <c r="H867" i="1"/>
  <c r="J867" i="1"/>
  <c r="F853" i="1"/>
  <c r="H853" i="1"/>
  <c r="J853" i="1"/>
  <c r="J849" i="1"/>
  <c r="H849" i="1"/>
  <c r="F849" i="1"/>
  <c r="F707" i="1"/>
  <c r="H707" i="1"/>
  <c r="J707" i="1"/>
  <c r="F706" i="1"/>
  <c r="H706" i="1"/>
  <c r="J706" i="1"/>
  <c r="F697" i="1"/>
  <c r="H697" i="1"/>
  <c r="J697" i="1"/>
  <c r="F692" i="1"/>
  <c r="H692" i="1"/>
  <c r="J692" i="1"/>
  <c r="F705" i="1"/>
  <c r="H705" i="1"/>
  <c r="J705" i="1"/>
  <c r="F704" i="1"/>
  <c r="H704" i="1"/>
  <c r="J704" i="1"/>
  <c r="AD9" i="36" l="1"/>
  <c r="AD47" i="36" s="1"/>
  <c r="AC14" i="36"/>
  <c r="AC52" i="36" s="1"/>
  <c r="F439" i="1"/>
  <c r="H439" i="1"/>
  <c r="J439" i="1"/>
  <c r="F438" i="1"/>
  <c r="H438" i="1"/>
  <c r="J438" i="1"/>
  <c r="G433" i="1"/>
  <c r="S153" i="5"/>
  <c r="S152" i="5"/>
  <c r="S151" i="5"/>
  <c r="S150" i="5"/>
  <c r="S149" i="5"/>
  <c r="AE9" i="36" l="1"/>
  <c r="AE47" i="36" s="1"/>
  <c r="AD14" i="36"/>
  <c r="AD52" i="36" s="1"/>
  <c r="F1051" i="1"/>
  <c r="H1051" i="1"/>
  <c r="J1051" i="1"/>
  <c r="AF9" i="36" l="1"/>
  <c r="AF14" i="36" s="1"/>
  <c r="AF52" i="36" s="1"/>
  <c r="AE14" i="36"/>
  <c r="AE52" i="36" s="1"/>
  <c r="AF47" i="36"/>
  <c r="F824" i="1"/>
  <c r="H824" i="1"/>
  <c r="I824" i="1"/>
  <c r="J824" i="1"/>
  <c r="J831" i="1"/>
  <c r="H831" i="1"/>
  <c r="F831" i="1"/>
  <c r="F829" i="1"/>
  <c r="H829" i="1"/>
  <c r="I829" i="1"/>
  <c r="J829" i="1"/>
  <c r="F809" i="1"/>
  <c r="H809" i="1"/>
  <c r="I809" i="1"/>
  <c r="J809" i="1"/>
  <c r="F791" i="1"/>
  <c r="H791" i="1"/>
  <c r="J791" i="1"/>
  <c r="F790" i="1"/>
  <c r="H790" i="1"/>
  <c r="J790" i="1"/>
  <c r="I14" i="36" l="1"/>
  <c r="I52" i="36" s="1"/>
  <c r="AG47" i="36"/>
  <c r="F272" i="31"/>
  <c r="AH47" i="36" l="1"/>
  <c r="AI47" i="36" l="1"/>
  <c r="AJ47" i="36" l="1"/>
  <c r="AK47" i="36" l="1"/>
  <c r="AL47" i="36" l="1"/>
  <c r="J298" i="1"/>
  <c r="H298" i="1"/>
  <c r="F298" i="1"/>
  <c r="AM47" i="36" l="1"/>
  <c r="R124" i="5"/>
  <c r="AN47" i="36" l="1"/>
  <c r="G538" i="1"/>
  <c r="AO47" i="36" l="1"/>
  <c r="AP47" i="36" l="1"/>
  <c r="H898" i="1"/>
  <c r="J898" i="1"/>
  <c r="G221" i="1"/>
  <c r="F873" i="1"/>
  <c r="H873" i="1"/>
  <c r="J873" i="1"/>
  <c r="J860" i="1"/>
  <c r="H860" i="1"/>
  <c r="J364" i="1"/>
  <c r="H364" i="1"/>
  <c r="F364" i="1"/>
  <c r="J363" i="1"/>
  <c r="H363" i="1"/>
  <c r="F363" i="1"/>
  <c r="F751" i="1"/>
  <c r="H751" i="1"/>
  <c r="J751" i="1"/>
  <c r="F1041" i="1"/>
  <c r="H1041" i="1"/>
  <c r="J1041" i="1"/>
  <c r="J1003" i="1"/>
  <c r="H1003" i="1"/>
  <c r="F1003" i="1"/>
  <c r="F889" i="1"/>
  <c r="H889" i="1"/>
  <c r="J889" i="1"/>
  <c r="J694" i="1"/>
  <c r="H694" i="1"/>
  <c r="F694" i="1"/>
  <c r="J693" i="1"/>
  <c r="H693" i="1"/>
  <c r="F693" i="1"/>
  <c r="J699" i="1"/>
  <c r="H699" i="1"/>
  <c r="F699" i="1"/>
  <c r="J698" i="1"/>
  <c r="H698" i="1"/>
  <c r="F698" i="1"/>
  <c r="F748" i="1"/>
  <c r="F860" i="1" s="1"/>
  <c r="J708" i="1"/>
  <c r="H708" i="1"/>
  <c r="F708" i="1"/>
  <c r="J685" i="1"/>
  <c r="H685" i="1"/>
  <c r="F685" i="1"/>
  <c r="J684" i="1"/>
  <c r="H684" i="1"/>
  <c r="F684" i="1"/>
  <c r="J682" i="1"/>
  <c r="H682" i="1"/>
  <c r="F682" i="1"/>
  <c r="J683" i="1"/>
  <c r="H683" i="1"/>
  <c r="F683" i="1"/>
  <c r="J678" i="1"/>
  <c r="H678" i="1"/>
  <c r="F678" i="1"/>
  <c r="J677" i="1"/>
  <c r="H677" i="1"/>
  <c r="F677" i="1"/>
  <c r="J676" i="1"/>
  <c r="H676" i="1"/>
  <c r="F676" i="1"/>
  <c r="AQ47" i="36" l="1"/>
  <c r="F738" i="1"/>
  <c r="F899" i="1"/>
  <c r="J899" i="1"/>
  <c r="F874" i="1"/>
  <c r="J874" i="1"/>
  <c r="K939" i="1"/>
  <c r="K899" i="1" s="1"/>
  <c r="F154" i="1"/>
  <c r="H154" i="1"/>
  <c r="J154" i="1"/>
  <c r="F80" i="12"/>
  <c r="I80" i="12"/>
  <c r="J80" i="12"/>
  <c r="F1117" i="1"/>
  <c r="I1117" i="1"/>
  <c r="J1117" i="1"/>
  <c r="AR47" i="36" l="1"/>
  <c r="K874" i="1"/>
  <c r="F430" i="1" l="1"/>
  <c r="H430" i="1"/>
  <c r="J430" i="1"/>
  <c r="F13" i="35" l="1"/>
  <c r="G12" i="12" l="1"/>
  <c r="G11" i="12"/>
  <c r="G9" i="12"/>
  <c r="H12" i="12"/>
  <c r="G10" i="12"/>
  <c r="H9" i="12"/>
  <c r="AA68" i="5" l="1"/>
  <c r="AA67" i="5"/>
  <c r="AA66" i="5"/>
  <c r="J14" i="7"/>
  <c r="J28" i="7" s="1"/>
  <c r="H14" i="7"/>
  <c r="H28" i="7" s="1"/>
  <c r="F14" i="7"/>
  <c r="F28" i="7" s="1"/>
  <c r="J232" i="1"/>
  <c r="H232" i="1"/>
  <c r="F232" i="1"/>
  <c r="J231" i="1"/>
  <c r="H231" i="1"/>
  <c r="F231" i="1"/>
  <c r="F283" i="31"/>
  <c r="F278" i="31"/>
  <c r="F277" i="31"/>
  <c r="J276" i="31"/>
  <c r="H276" i="31"/>
  <c r="F276" i="31"/>
  <c r="U192" i="5" l="1"/>
  <c r="Y207" i="5"/>
  <c r="X207" i="5"/>
  <c r="W207" i="5"/>
  <c r="V207" i="5"/>
  <c r="Y205" i="5"/>
  <c r="X205" i="5"/>
  <c r="W205" i="5"/>
  <c r="V205" i="5"/>
  <c r="Y204" i="5"/>
  <c r="X204" i="5"/>
  <c r="W204" i="5"/>
  <c r="V204" i="5"/>
  <c r="Y203" i="5"/>
  <c r="X203" i="5"/>
  <c r="W203" i="5"/>
  <c r="V203" i="5"/>
  <c r="F58" i="11"/>
  <c r="F203" i="31" l="1"/>
  <c r="F33" i="11"/>
  <c r="F63" i="31" s="1"/>
  <c r="F1007" i="1" l="1"/>
  <c r="H1007" i="1"/>
  <c r="J1007" i="1"/>
  <c r="F1092" i="1"/>
  <c r="H1092" i="1"/>
  <c r="J1092" i="1"/>
  <c r="K1072" i="1"/>
  <c r="F1073" i="1"/>
  <c r="H1073" i="1"/>
  <c r="J1073" i="1"/>
  <c r="F1067" i="1"/>
  <c r="H1067" i="1"/>
  <c r="J1067" i="1"/>
  <c r="G1062" i="1"/>
  <c r="F1055" i="1"/>
  <c r="H1055" i="1"/>
  <c r="J1055" i="1"/>
  <c r="F1049" i="1"/>
  <c r="H1049" i="1"/>
  <c r="I1049" i="1"/>
  <c r="J1049" i="1"/>
  <c r="G1068" i="1"/>
  <c r="G1063" i="1"/>
  <c r="G1057" i="1"/>
  <c r="F105" i="35" l="1"/>
  <c r="F104" i="35"/>
  <c r="F103" i="35"/>
  <c r="F84" i="35" a="1"/>
  <c r="F85" i="35" s="1"/>
  <c r="F77" i="35" a="1"/>
  <c r="F77" i="35" s="1"/>
  <c r="E84" i="35" a="1"/>
  <c r="E84" i="35" s="1"/>
  <c r="E77" i="35" a="1"/>
  <c r="E78" i="35" s="1"/>
  <c r="F58" i="35"/>
  <c r="F88" i="35" l="1"/>
  <c r="F84" i="35"/>
  <c r="F87" i="35"/>
  <c r="F86" i="35"/>
  <c r="F80" i="35"/>
  <c r="F79" i="35"/>
  <c r="F78" i="35"/>
  <c r="F81" i="35"/>
  <c r="E88" i="35"/>
  <c r="E87" i="35"/>
  <c r="E86" i="35"/>
  <c r="E85" i="35"/>
  <c r="E79" i="35"/>
  <c r="E81" i="35"/>
  <c r="E77" i="35"/>
  <c r="E80" i="35"/>
  <c r="F17" i="35"/>
  <c r="F16" i="35"/>
  <c r="F15" i="35"/>
  <c r="F14" i="35"/>
  <c r="F12" i="35"/>
  <c r="F11" i="35"/>
  <c r="F10" i="35"/>
  <c r="J10" i="35" s="1"/>
  <c r="I10" i="35" s="1"/>
  <c r="C13" i="24" l="1"/>
  <c r="F12" i="1"/>
  <c r="F13" i="1" s="1"/>
  <c r="K10" i="1"/>
  <c r="L10" i="1" s="1"/>
  <c r="M10" i="1" s="1"/>
  <c r="N10" i="1" s="1"/>
  <c r="O10" i="1" s="1"/>
  <c r="P10" i="1" s="1"/>
  <c r="Q10" i="1" s="1"/>
  <c r="R10" i="1" s="1"/>
  <c r="S10" i="1" s="1"/>
  <c r="T10" i="1" s="1"/>
  <c r="U10" i="1" s="1"/>
  <c r="V10" i="1" s="1"/>
  <c r="W10" i="1" s="1"/>
  <c r="X10" i="1" s="1"/>
  <c r="Y10" i="1" s="1"/>
  <c r="Z10" i="1" s="1"/>
  <c r="AA10" i="1" s="1"/>
  <c r="AB10" i="1" s="1"/>
  <c r="AC10" i="1" s="1"/>
  <c r="AD10" i="1" s="1"/>
  <c r="AE10" i="1" s="1"/>
  <c r="AF10" i="1" s="1"/>
  <c r="AG10" i="1" s="1"/>
  <c r="AH10" i="1" s="1"/>
  <c r="AI10" i="1" s="1"/>
  <c r="AJ10" i="1" s="1"/>
  <c r="AK10" i="1" s="1"/>
  <c r="AL10" i="1" s="1"/>
  <c r="AM10" i="1" s="1"/>
  <c r="AN10" i="1" s="1"/>
  <c r="AO10" i="1" s="1"/>
  <c r="AP10" i="1" s="1"/>
  <c r="AQ10" i="1" s="1"/>
  <c r="AR10" i="1" s="1"/>
  <c r="AS10" i="1" s="1"/>
  <c r="AT10" i="1" s="1"/>
  <c r="AU10" i="1" s="1"/>
  <c r="AV10" i="1" s="1"/>
  <c r="AW10" i="1" s="1"/>
  <c r="AX10" i="1" s="1"/>
  <c r="A1" i="34"/>
  <c r="C5" i="24" s="1"/>
  <c r="F24" i="1" l="1"/>
  <c r="F180" i="1" s="1"/>
  <c r="F35" i="1"/>
  <c r="F72" i="1"/>
  <c r="F70" i="1"/>
  <c r="F87" i="1"/>
  <c r="F78" i="1"/>
  <c r="F715" i="1" s="1"/>
  <c r="F67" i="1"/>
  <c r="F794" i="1" s="1"/>
  <c r="F57" i="1"/>
  <c r="F47" i="1"/>
  <c r="F640" i="1" s="1"/>
  <c r="F25" i="1" a="1"/>
  <c r="F25" i="1" s="1"/>
  <c r="F44" i="1"/>
  <c r="F74" i="1"/>
  <c r="F63" i="1"/>
  <c r="F43" i="1"/>
  <c r="F82" i="1"/>
  <c r="F1050" i="1" s="1"/>
  <c r="F62" i="1"/>
  <c r="F23" i="1" a="1"/>
  <c r="F23" i="1" s="1"/>
  <c r="F193" i="1" s="1"/>
  <c r="F81" i="1"/>
  <c r="F1057" i="1" s="1"/>
  <c r="F22" i="1"/>
  <c r="F192" i="1" s="1"/>
  <c r="F50" i="1"/>
  <c r="F21" i="1" a="1"/>
  <c r="F21" i="1" s="1"/>
  <c r="F203" i="1" s="1"/>
  <c r="F68" i="1"/>
  <c r="F20" i="1" a="1"/>
  <c r="F20" i="1" s="1"/>
  <c r="F9" i="12" s="1"/>
  <c r="F86" i="1"/>
  <c r="F77" i="1"/>
  <c r="F433" i="1" s="1"/>
  <c r="F66" i="1"/>
  <c r="F760" i="1" s="1"/>
  <c r="F56" i="1"/>
  <c r="F45" i="1"/>
  <c r="F30" i="1" a="1"/>
  <c r="F30" i="1" s="1"/>
  <c r="F282" i="1" s="1"/>
  <c r="F18" i="1"/>
  <c r="F34" i="1" a="1"/>
  <c r="F34" i="1" s="1"/>
  <c r="F17" i="1"/>
  <c r="F83" i="1"/>
  <c r="F1063" i="1" s="1"/>
  <c r="F54" i="1"/>
  <c r="F29" i="1" a="1"/>
  <c r="F29" i="1" s="1"/>
  <c r="F243" i="1" s="1"/>
  <c r="F42" i="1"/>
  <c r="F11" i="12" s="1"/>
  <c r="F91" i="1"/>
  <c r="F973" i="1" s="1"/>
  <c r="F40" i="1"/>
  <c r="F90" i="1"/>
  <c r="F972" i="1" s="1"/>
  <c r="F38" i="1"/>
  <c r="F88" i="1"/>
  <c r="F37" i="1"/>
  <c r="F117" i="1" s="1"/>
  <c r="F94" i="1"/>
  <c r="F951" i="1" s="1"/>
  <c r="F84" i="1"/>
  <c r="F1068" i="1" s="1"/>
  <c r="F75" i="1"/>
  <c r="F65" i="1"/>
  <c r="F55" i="1"/>
  <c r="F16" i="1"/>
  <c r="F33" i="1" a="1"/>
  <c r="F33" i="1" s="1"/>
  <c r="F265" i="1" s="1"/>
  <c r="F51" i="1"/>
  <c r="F60" i="1"/>
  <c r="F59" i="1"/>
  <c r="F12" i="12" s="1"/>
  <c r="F31" i="1" a="1"/>
  <c r="F31" i="1" s="1"/>
  <c r="F260" i="1" s="1"/>
  <c r="F93" i="1"/>
  <c r="F985" i="1" s="1"/>
  <c r="F61" i="1"/>
  <c r="F80" i="1"/>
  <c r="F32" i="1" a="1"/>
  <c r="F32" i="1" s="1"/>
  <c r="F270" i="1" s="1"/>
  <c r="F49" i="1"/>
  <c r="F92" i="1"/>
  <c r="F974" i="1" s="1"/>
  <c r="F52" i="1"/>
  <c r="F71" i="1"/>
  <c r="F28" i="1" a="1"/>
  <c r="F28" i="1" s="1"/>
  <c r="F237" i="1" s="1"/>
  <c r="F27" i="1" a="1"/>
  <c r="F27" i="1" s="1"/>
  <c r="F79" i="1"/>
  <c r="I11" i="33"/>
  <c r="AX47" i="33"/>
  <c r="AW47" i="33"/>
  <c r="AV47" i="33"/>
  <c r="AU47" i="33"/>
  <c r="AT47" i="33"/>
  <c r="AS47" i="33"/>
  <c r="AR47" i="33"/>
  <c r="AQ47" i="33"/>
  <c r="AP47" i="33"/>
  <c r="AO47" i="33"/>
  <c r="AN47" i="33"/>
  <c r="AM47" i="33"/>
  <c r="AL47" i="33"/>
  <c r="AK47" i="33"/>
  <c r="AJ47" i="33"/>
  <c r="AI47" i="33"/>
  <c r="AH47" i="33"/>
  <c r="AG47" i="33"/>
  <c r="AF47" i="33"/>
  <c r="AE47" i="33"/>
  <c r="AD47" i="33"/>
  <c r="AC47" i="33"/>
  <c r="AB47" i="33"/>
  <c r="AA47" i="33"/>
  <c r="Z47" i="33"/>
  <c r="Y47" i="33"/>
  <c r="X47" i="33"/>
  <c r="W47" i="33"/>
  <c r="V47" i="33"/>
  <c r="U47" i="33"/>
  <c r="T47" i="33"/>
  <c r="S47" i="33"/>
  <c r="R47" i="33"/>
  <c r="Q47" i="33"/>
  <c r="P47" i="33"/>
  <c r="O47" i="33"/>
  <c r="N47" i="33"/>
  <c r="M47" i="33"/>
  <c r="L47" i="33"/>
  <c r="K47" i="33"/>
  <c r="J47" i="33"/>
  <c r="H47" i="33"/>
  <c r="F47" i="33"/>
  <c r="F43" i="33"/>
  <c r="AX42" i="33"/>
  <c r="AW42" i="33"/>
  <c r="AV42" i="33"/>
  <c r="AU42" i="33"/>
  <c r="AT42" i="33"/>
  <c r="AS42" i="33"/>
  <c r="AR42" i="33"/>
  <c r="AQ42" i="33"/>
  <c r="AP42" i="33"/>
  <c r="AO42" i="33"/>
  <c r="AN42" i="33"/>
  <c r="AM42" i="33"/>
  <c r="AL42" i="33"/>
  <c r="AK42" i="33"/>
  <c r="AJ42" i="33"/>
  <c r="AI42" i="33"/>
  <c r="AH42" i="33"/>
  <c r="AG42" i="33"/>
  <c r="AF42" i="33"/>
  <c r="AE42" i="33"/>
  <c r="AD42" i="33"/>
  <c r="AC42" i="33"/>
  <c r="AB42" i="33"/>
  <c r="AA42" i="33"/>
  <c r="Z42" i="33"/>
  <c r="Y42" i="33"/>
  <c r="X42" i="33"/>
  <c r="W42" i="33"/>
  <c r="V42" i="33"/>
  <c r="U42" i="33"/>
  <c r="T42" i="33"/>
  <c r="S42" i="33"/>
  <c r="R42" i="33"/>
  <c r="Q42" i="33"/>
  <c r="P42" i="33"/>
  <c r="O42" i="33"/>
  <c r="N42" i="33"/>
  <c r="M42" i="33"/>
  <c r="L42" i="33"/>
  <c r="K42" i="33"/>
  <c r="J42" i="33"/>
  <c r="I42" i="33"/>
  <c r="H42" i="33"/>
  <c r="F42" i="33"/>
  <c r="F36" i="33"/>
  <c r="F35" i="33"/>
  <c r="F18" i="33"/>
  <c r="I15" i="33"/>
  <c r="I14" i="33"/>
  <c r="I47" i="33" s="1"/>
  <c r="I13" i="33"/>
  <c r="I12" i="33"/>
  <c r="A1" i="33"/>
  <c r="G32" i="24" s="1"/>
  <c r="C3" i="24"/>
  <c r="F861" i="1" l="1"/>
  <c r="F482" i="1"/>
  <c r="F421" i="1"/>
  <c r="F6" i="12"/>
  <c r="AW201" i="1"/>
  <c r="AW204" i="1" s="1"/>
  <c r="AS201" i="1"/>
  <c r="AS204" i="1" s="1"/>
  <c r="AO201" i="1"/>
  <c r="AO204" i="1" s="1"/>
  <c r="AK201" i="1"/>
  <c r="AK204" i="1" s="1"/>
  <c r="AG201" i="1"/>
  <c r="AG204" i="1" s="1"/>
  <c r="AC201" i="1"/>
  <c r="AC204" i="1" s="1"/>
  <c r="Y201" i="1"/>
  <c r="Y204" i="1" s="1"/>
  <c r="U201" i="1"/>
  <c r="U204" i="1" s="1"/>
  <c r="Q201" i="1"/>
  <c r="Q204" i="1" s="1"/>
  <c r="M201" i="1"/>
  <c r="M204" i="1" s="1"/>
  <c r="AV201" i="1"/>
  <c r="AV204" i="1" s="1"/>
  <c r="AR201" i="1"/>
  <c r="AR204" i="1" s="1"/>
  <c r="AN201" i="1"/>
  <c r="AN204" i="1" s="1"/>
  <c r="AJ201" i="1"/>
  <c r="AJ204" i="1" s="1"/>
  <c r="AF201" i="1"/>
  <c r="AF204" i="1" s="1"/>
  <c r="AB201" i="1"/>
  <c r="AB204" i="1" s="1"/>
  <c r="X201" i="1"/>
  <c r="X204" i="1" s="1"/>
  <c r="T201" i="1"/>
  <c r="T204" i="1" s="1"/>
  <c r="P201" i="1"/>
  <c r="P204" i="1" s="1"/>
  <c r="L201" i="1"/>
  <c r="L204" i="1" s="1"/>
  <c r="AU201" i="1"/>
  <c r="AU204" i="1" s="1"/>
  <c r="AQ201" i="1"/>
  <c r="AQ204" i="1" s="1"/>
  <c r="AM201" i="1"/>
  <c r="AM204" i="1" s="1"/>
  <c r="AI201" i="1"/>
  <c r="AI204" i="1" s="1"/>
  <c r="AE201" i="1"/>
  <c r="AE204" i="1" s="1"/>
  <c r="AA201" i="1"/>
  <c r="AA204" i="1" s="1"/>
  <c r="W201" i="1"/>
  <c r="W204" i="1" s="1"/>
  <c r="S201" i="1"/>
  <c r="S204" i="1" s="1"/>
  <c r="O201" i="1"/>
  <c r="O204" i="1" s="1"/>
  <c r="K201" i="1"/>
  <c r="K204" i="1" s="1"/>
  <c r="AT201" i="1"/>
  <c r="AT204" i="1" s="1"/>
  <c r="AD201" i="1"/>
  <c r="AD204" i="1" s="1"/>
  <c r="N201" i="1"/>
  <c r="N204" i="1" s="1"/>
  <c r="AP201" i="1"/>
  <c r="AP204" i="1" s="1"/>
  <c r="Z201" i="1"/>
  <c r="Z204" i="1" s="1"/>
  <c r="AL201" i="1"/>
  <c r="AL204" i="1" s="1"/>
  <c r="V201" i="1"/>
  <c r="V204" i="1" s="1"/>
  <c r="R201" i="1"/>
  <c r="R204" i="1" s="1"/>
  <c r="AX201" i="1"/>
  <c r="AX204" i="1" s="1"/>
  <c r="AH201" i="1"/>
  <c r="AH204" i="1" s="1"/>
  <c r="F539" i="1"/>
  <c r="F269" i="1"/>
  <c r="F271" i="1" s="1"/>
  <c r="F273" i="1" s="1"/>
  <c r="F259" i="1"/>
  <c r="F228" i="1"/>
  <c r="F986" i="1"/>
  <c r="F987" i="1"/>
  <c r="F854" i="1"/>
  <c r="F221" i="1"/>
  <c r="F538" i="1"/>
  <c r="F916" i="1"/>
  <c r="F935" i="1"/>
  <c r="F37" i="33"/>
  <c r="F79" i="33" s="1"/>
  <c r="M4" i="24"/>
  <c r="F18" i="11"/>
  <c r="F6" i="33"/>
  <c r="J145" i="1"/>
  <c r="H145" i="1"/>
  <c r="F145" i="1"/>
  <c r="J134" i="1"/>
  <c r="H134" i="1"/>
  <c r="F134" i="1"/>
  <c r="J130" i="1"/>
  <c r="H130" i="1"/>
  <c r="F130" i="1"/>
  <c r="G129" i="1"/>
  <c r="J128" i="1"/>
  <c r="I128" i="1"/>
  <c r="H128" i="1"/>
  <c r="F128" i="1"/>
  <c r="J135" i="1"/>
  <c r="H135" i="1"/>
  <c r="F135" i="1"/>
  <c r="J124" i="1"/>
  <c r="I124" i="1"/>
  <c r="H124" i="1"/>
  <c r="F124" i="1"/>
  <c r="G577" i="1"/>
  <c r="G576" i="1"/>
  <c r="G575" i="1"/>
  <c r="G574" i="1"/>
  <c r="G573" i="1"/>
  <c r="J897" i="1"/>
  <c r="F897" i="1"/>
  <c r="J896" i="1"/>
  <c r="H896" i="1"/>
  <c r="J895" i="1"/>
  <c r="H895" i="1"/>
  <c r="J894" i="1"/>
  <c r="H894" i="1"/>
  <c r="J893" i="1"/>
  <c r="H893" i="1"/>
  <c r="J892" i="1"/>
  <c r="H892" i="1"/>
  <c r="G626" i="1"/>
  <c r="G625" i="1"/>
  <c r="G624" i="1"/>
  <c r="G623" i="1"/>
  <c r="G622" i="1"/>
  <c r="G344" i="1"/>
  <c r="AX47" i="21"/>
  <c r="AW47" i="21"/>
  <c r="AV47" i="21"/>
  <c r="AU47" i="21"/>
  <c r="AT47" i="21"/>
  <c r="AS47" i="21"/>
  <c r="AR47" i="21"/>
  <c r="AQ47" i="21"/>
  <c r="AP47" i="21"/>
  <c r="AO47" i="21"/>
  <c r="AN47" i="21"/>
  <c r="AM47" i="21"/>
  <c r="AL47" i="21"/>
  <c r="AK47" i="21"/>
  <c r="AJ47" i="21"/>
  <c r="AI47" i="21"/>
  <c r="AH47" i="21"/>
  <c r="AG47" i="21"/>
  <c r="AF47" i="21"/>
  <c r="AE47" i="21"/>
  <c r="AD47" i="21"/>
  <c r="AC47" i="21"/>
  <c r="AB47" i="21"/>
  <c r="AA47" i="21"/>
  <c r="Z47" i="21"/>
  <c r="Y47" i="21"/>
  <c r="X47" i="21"/>
  <c r="W47" i="21"/>
  <c r="V47" i="21"/>
  <c r="U47" i="21"/>
  <c r="T47" i="21"/>
  <c r="S47" i="21"/>
  <c r="R47" i="21"/>
  <c r="Q47" i="21"/>
  <c r="P47" i="21"/>
  <c r="O47" i="21"/>
  <c r="N47" i="21"/>
  <c r="M47" i="21"/>
  <c r="L47" i="21"/>
  <c r="K47" i="21"/>
  <c r="J47" i="21"/>
  <c r="H47" i="21"/>
  <c r="F47" i="21"/>
  <c r="F43" i="21"/>
  <c r="AX42" i="21"/>
  <c r="AW42" i="21"/>
  <c r="AV42" i="21"/>
  <c r="AU42" i="21"/>
  <c r="AT42" i="21"/>
  <c r="AS42" i="21"/>
  <c r="AR42" i="21"/>
  <c r="AQ42" i="21"/>
  <c r="AP42" i="21"/>
  <c r="AO42" i="21"/>
  <c r="AN42" i="21"/>
  <c r="AM42" i="21"/>
  <c r="AL42" i="21"/>
  <c r="AK42" i="21"/>
  <c r="AJ42" i="21"/>
  <c r="AI42" i="21"/>
  <c r="AH42" i="21"/>
  <c r="AG42" i="21"/>
  <c r="AF42" i="21"/>
  <c r="AE42" i="21"/>
  <c r="AD42" i="21"/>
  <c r="AC42" i="21"/>
  <c r="AB42" i="21"/>
  <c r="AA42" i="21"/>
  <c r="Z42" i="21"/>
  <c r="Y42" i="21"/>
  <c r="X42" i="21"/>
  <c r="W42" i="21"/>
  <c r="V42" i="21"/>
  <c r="U42" i="21"/>
  <c r="T42" i="21"/>
  <c r="S42" i="21"/>
  <c r="R42" i="21"/>
  <c r="Q42" i="21"/>
  <c r="P42" i="21"/>
  <c r="O42" i="21"/>
  <c r="N42" i="21"/>
  <c r="M42" i="21"/>
  <c r="L42" i="21"/>
  <c r="K42" i="21"/>
  <c r="J42" i="21"/>
  <c r="I42" i="21"/>
  <c r="H42" i="21"/>
  <c r="F42" i="21"/>
  <c r="F36" i="21"/>
  <c r="F35" i="21"/>
  <c r="F25" i="31"/>
  <c r="F24" i="31"/>
  <c r="K31" i="31"/>
  <c r="F33" i="31"/>
  <c r="F17" i="31"/>
  <c r="F172" i="31"/>
  <c r="H172" i="31"/>
  <c r="I172" i="31"/>
  <c r="J172" i="31"/>
  <c r="F186" i="31"/>
  <c r="H186" i="31"/>
  <c r="I186" i="31"/>
  <c r="J186" i="31"/>
  <c r="F187" i="31"/>
  <c r="H187" i="31"/>
  <c r="J187" i="31"/>
  <c r="F191" i="31"/>
  <c r="H191" i="31"/>
  <c r="J191" i="31"/>
  <c r="F68" i="31"/>
  <c r="H68" i="31"/>
  <c r="J68" i="31"/>
  <c r="F69" i="31"/>
  <c r="H69" i="31"/>
  <c r="I69" i="31"/>
  <c r="J69" i="31"/>
  <c r="F71" i="31"/>
  <c r="F139" i="31" s="1"/>
  <c r="H71" i="31"/>
  <c r="H139" i="31" s="1"/>
  <c r="J71" i="31"/>
  <c r="J139" i="31" s="1"/>
  <c r="F75" i="31"/>
  <c r="F142" i="31" s="1"/>
  <c r="H75" i="31"/>
  <c r="H142" i="31" s="1"/>
  <c r="J75" i="31"/>
  <c r="J142" i="31" s="1"/>
  <c r="F76" i="31"/>
  <c r="F143" i="31" s="1"/>
  <c r="H76" i="31"/>
  <c r="H143" i="31" s="1"/>
  <c r="J76" i="31"/>
  <c r="J143" i="31" s="1"/>
  <c r="F77" i="31"/>
  <c r="F144" i="31" s="1"/>
  <c r="H77" i="31"/>
  <c r="H144" i="31" s="1"/>
  <c r="J77" i="31"/>
  <c r="J144" i="31" s="1"/>
  <c r="F78" i="31"/>
  <c r="F145" i="31" s="1"/>
  <c r="H78" i="31"/>
  <c r="H145" i="31" s="1"/>
  <c r="J78" i="31"/>
  <c r="J145" i="31" s="1"/>
  <c r="F79" i="31"/>
  <c r="F146" i="31" s="1"/>
  <c r="H79" i="31"/>
  <c r="J79" i="31"/>
  <c r="J146" i="31" s="1"/>
  <c r="F83" i="31"/>
  <c r="H83" i="31"/>
  <c r="J83" i="31"/>
  <c r="F84" i="31"/>
  <c r="H84" i="31"/>
  <c r="J84" i="31"/>
  <c r="F198" i="31"/>
  <c r="G198" i="31"/>
  <c r="F199" i="31"/>
  <c r="H199" i="31"/>
  <c r="I199" i="31"/>
  <c r="J199" i="31"/>
  <c r="F207" i="31"/>
  <c r="H207" i="31"/>
  <c r="I207" i="31"/>
  <c r="J207" i="31"/>
  <c r="F211" i="31"/>
  <c r="H211" i="31"/>
  <c r="I211" i="31"/>
  <c r="J211" i="31"/>
  <c r="F230" i="31"/>
  <c r="I230" i="31"/>
  <c r="J230" i="31"/>
  <c r="F248" i="31"/>
  <c r="H248" i="31"/>
  <c r="J248" i="31"/>
  <c r="F249" i="31"/>
  <c r="H249" i="31"/>
  <c r="J249" i="31"/>
  <c r="F250" i="31"/>
  <c r="H250" i="31"/>
  <c r="J250" i="31"/>
  <c r="F251" i="31"/>
  <c r="H251" i="31"/>
  <c r="J251" i="31"/>
  <c r="A1" i="31"/>
  <c r="K3" i="24" l="1"/>
  <c r="H146" i="31"/>
  <c r="H152" i="31"/>
  <c r="H217" i="31" s="1"/>
  <c r="L31" i="31"/>
  <c r="L990" i="1" s="1"/>
  <c r="K990" i="1"/>
  <c r="AH208" i="1"/>
  <c r="AL208" i="1"/>
  <c r="AD208" i="1"/>
  <c r="S208" i="1"/>
  <c r="AI208" i="1"/>
  <c r="L208" i="1"/>
  <c r="AB208" i="1"/>
  <c r="AR208" i="1"/>
  <c r="U208" i="1"/>
  <c r="AK208" i="1"/>
  <c r="Z208" i="1"/>
  <c r="W208" i="1"/>
  <c r="P208" i="1"/>
  <c r="AV208" i="1"/>
  <c r="AO208" i="1"/>
  <c r="R208" i="1"/>
  <c r="AP208" i="1"/>
  <c r="K208" i="1"/>
  <c r="AA208" i="1"/>
  <c r="AQ208" i="1"/>
  <c r="T208" i="1"/>
  <c r="AJ208" i="1"/>
  <c r="M208" i="1"/>
  <c r="AC208" i="1"/>
  <c r="AS208" i="1"/>
  <c r="AX208" i="1"/>
  <c r="AT208" i="1"/>
  <c r="AM208" i="1"/>
  <c r="AF208" i="1"/>
  <c r="Y208" i="1"/>
  <c r="V208" i="1"/>
  <c r="N208" i="1"/>
  <c r="O208" i="1"/>
  <c r="AE208" i="1"/>
  <c r="AU208" i="1"/>
  <c r="X208" i="1"/>
  <c r="AN208" i="1"/>
  <c r="Q208" i="1"/>
  <c r="AG208" i="1"/>
  <c r="AW208" i="1"/>
  <c r="F146" i="1"/>
  <c r="F150" i="1"/>
  <c r="J146" i="1"/>
  <c r="J150" i="1"/>
  <c r="H146" i="1"/>
  <c r="H150" i="1"/>
  <c r="F37" i="21"/>
  <c r="F79" i="21" s="1"/>
  <c r="F26" i="31"/>
  <c r="F288" i="31" s="1"/>
  <c r="K34" i="31"/>
  <c r="AA91" i="5" a="1"/>
  <c r="AA91" i="5" s="1"/>
  <c r="AA90" i="5" a="1"/>
  <c r="AA90" i="5" s="1"/>
  <c r="AA89" i="5" a="1"/>
  <c r="AA89" i="5" s="1"/>
  <c r="AA88" i="5" a="1"/>
  <c r="AA88" i="5" s="1"/>
  <c r="AA87" i="5" a="1"/>
  <c r="AA87" i="5" s="1"/>
  <c r="AA85" i="5" a="1"/>
  <c r="AA85" i="5" s="1"/>
  <c r="AA84" i="5" a="1"/>
  <c r="AA84" i="5" s="1"/>
  <c r="AA83" i="5" a="1"/>
  <c r="AA83" i="5" s="1"/>
  <c r="AA82" i="5" a="1"/>
  <c r="AA82" i="5" s="1"/>
  <c r="AA80" i="5" a="1"/>
  <c r="AA80" i="5" s="1"/>
  <c r="AA79" i="5" a="1"/>
  <c r="AA79" i="5" s="1"/>
  <c r="AA77" i="5" a="1"/>
  <c r="AA77" i="5" s="1"/>
  <c r="AA76" i="5" a="1"/>
  <c r="AA76" i="5" s="1"/>
  <c r="AA75" i="5" a="1"/>
  <c r="AA75" i="5" s="1"/>
  <c r="AA73" i="5" a="1"/>
  <c r="AA73" i="5" s="1"/>
  <c r="AA72" i="5" a="1"/>
  <c r="AA72" i="5" s="1"/>
  <c r="AA71" i="5" a="1"/>
  <c r="AA71" i="5" s="1"/>
  <c r="AA70" i="5" a="1"/>
  <c r="AA70" i="5" s="1"/>
  <c r="AA69" i="5" a="1"/>
  <c r="AA69" i="5" s="1"/>
  <c r="AA64" i="5" a="1"/>
  <c r="AA64" i="5" s="1"/>
  <c r="J225" i="12"/>
  <c r="H225" i="12"/>
  <c r="F225" i="12"/>
  <c r="J224" i="12"/>
  <c r="H224" i="12"/>
  <c r="F224" i="12"/>
  <c r="J223" i="12"/>
  <c r="H223" i="12"/>
  <c r="F223" i="12"/>
  <c r="J222" i="12"/>
  <c r="H222" i="12"/>
  <c r="F222" i="12"/>
  <c r="J221" i="12"/>
  <c r="H221" i="12"/>
  <c r="F221" i="12"/>
  <c r="J220" i="12"/>
  <c r="H220" i="12"/>
  <c r="F220" i="12"/>
  <c r="J219" i="12"/>
  <c r="H219" i="12"/>
  <c r="F219" i="12"/>
  <c r="J218" i="12"/>
  <c r="H218" i="12"/>
  <c r="F218" i="12"/>
  <c r="J217" i="12"/>
  <c r="H217" i="12"/>
  <c r="F217" i="12"/>
  <c r="J65" i="12"/>
  <c r="H65" i="12"/>
  <c r="F65" i="12"/>
  <c r="J38" i="12"/>
  <c r="H38" i="12"/>
  <c r="F38" i="12"/>
  <c r="J727" i="1"/>
  <c r="H727" i="1"/>
  <c r="F727" i="1"/>
  <c r="J726" i="1"/>
  <c r="H726" i="1"/>
  <c r="F726" i="1"/>
  <c r="K81" i="7" l="1"/>
  <c r="K1030" i="1"/>
  <c r="M31" i="31"/>
  <c r="M990" i="1" s="1"/>
  <c r="K115" i="31"/>
  <c r="K110" i="31"/>
  <c r="K55" i="31"/>
  <c r="K99" i="31"/>
  <c r="K247" i="1"/>
  <c r="K236" i="1"/>
  <c r="K946" i="1"/>
  <c r="K1" i="36"/>
  <c r="K186" i="31"/>
  <c r="K1" i="33"/>
  <c r="L34" i="31"/>
  <c r="K1" i="31"/>
  <c r="K172" i="31"/>
  <c r="N31" i="31"/>
  <c r="N990" i="1" s="1"/>
  <c r="J1044" i="1"/>
  <c r="H1044" i="1"/>
  <c r="F1044" i="1"/>
  <c r="J1043" i="1"/>
  <c r="H1043" i="1"/>
  <c r="F1043" i="1"/>
  <c r="J832" i="1"/>
  <c r="H832" i="1"/>
  <c r="F832" i="1"/>
  <c r="J618" i="1"/>
  <c r="H618" i="1"/>
  <c r="F618" i="1"/>
  <c r="J601" i="1"/>
  <c r="H601" i="1"/>
  <c r="J327" i="1"/>
  <c r="H327" i="1"/>
  <c r="F60" i="11"/>
  <c r="F81" i="11"/>
  <c r="F49" i="36" l="1"/>
  <c r="F19" i="36"/>
  <c r="L81" i="7"/>
  <c r="L1030" i="1"/>
  <c r="L110" i="31"/>
  <c r="L115" i="31"/>
  <c r="L55" i="31"/>
  <c r="L99" i="31"/>
  <c r="L236" i="1"/>
  <c r="L247" i="1"/>
  <c r="L946" i="1"/>
  <c r="L1" i="36"/>
  <c r="F266" i="1"/>
  <c r="F238" i="1"/>
  <c r="L172" i="31"/>
  <c r="L1" i="33"/>
  <c r="F19" i="33"/>
  <c r="F44" i="33"/>
  <c r="F18" i="31"/>
  <c r="F44" i="21"/>
  <c r="F19" i="21"/>
  <c r="M34" i="31"/>
  <c r="L186" i="31"/>
  <c r="L1" i="31"/>
  <c r="O31" i="31"/>
  <c r="O990" i="1" s="1"/>
  <c r="F264" i="1" l="1"/>
  <c r="F267" i="1" s="1"/>
  <c r="F274" i="1" s="1"/>
  <c r="F275" i="1" s="1"/>
  <c r="U10" i="36"/>
  <c r="U16" i="36" s="1"/>
  <c r="N10" i="36"/>
  <c r="N16" i="36" s="1"/>
  <c r="W10" i="36"/>
  <c r="W16" i="36" s="1"/>
  <c r="X10" i="36"/>
  <c r="X16" i="36" s="1"/>
  <c r="AW10" i="36"/>
  <c r="AW16" i="36" s="1"/>
  <c r="S10" i="36"/>
  <c r="S16" i="36" s="1"/>
  <c r="AS10" i="36"/>
  <c r="AS16" i="36" s="1"/>
  <c r="T10" i="36"/>
  <c r="T16" i="36" s="1"/>
  <c r="O10" i="36"/>
  <c r="O16" i="36" s="1"/>
  <c r="Q10" i="36"/>
  <c r="Q16" i="36" s="1"/>
  <c r="M10" i="36"/>
  <c r="M16" i="36" s="1"/>
  <c r="V10" i="36"/>
  <c r="V16" i="36" s="1"/>
  <c r="AU10" i="36"/>
  <c r="AU16" i="36" s="1"/>
  <c r="AV10" i="36"/>
  <c r="AV16" i="36" s="1"/>
  <c r="R10" i="36"/>
  <c r="R16" i="36" s="1"/>
  <c r="L10" i="36"/>
  <c r="L16" i="36" s="1"/>
  <c r="AT10" i="36"/>
  <c r="AT16" i="36" s="1"/>
  <c r="AX10" i="36"/>
  <c r="AX16" i="36" s="1"/>
  <c r="P10" i="36"/>
  <c r="P16" i="36" s="1"/>
  <c r="K10" i="36"/>
  <c r="Y10" i="36"/>
  <c r="Y16" i="36" s="1"/>
  <c r="Z10" i="36"/>
  <c r="Z16" i="36" s="1"/>
  <c r="AA10" i="36"/>
  <c r="AA16" i="36" s="1"/>
  <c r="AB10" i="36"/>
  <c r="AB16" i="36" s="1"/>
  <c r="AC10" i="36"/>
  <c r="AC16" i="36" s="1"/>
  <c r="AD10" i="36"/>
  <c r="AD16" i="36" s="1"/>
  <c r="AE10" i="36"/>
  <c r="AE16" i="36" s="1"/>
  <c r="AF10" i="36"/>
  <c r="AF16" i="36" s="1"/>
  <c r="AG10" i="36"/>
  <c r="AG16" i="36" s="1"/>
  <c r="AH10" i="36"/>
  <c r="AH16" i="36" s="1"/>
  <c r="AI10" i="36"/>
  <c r="AI16" i="36" s="1"/>
  <c r="AJ10" i="36"/>
  <c r="AJ16" i="36" s="1"/>
  <c r="AK10" i="36"/>
  <c r="AK16" i="36" s="1"/>
  <c r="AL10" i="36"/>
  <c r="AL16" i="36" s="1"/>
  <c r="AM10" i="36"/>
  <c r="AM16" i="36" s="1"/>
  <c r="AN10" i="36"/>
  <c r="AN16" i="36" s="1"/>
  <c r="AO10" i="36"/>
  <c r="AO16" i="36" s="1"/>
  <c r="AP10" i="36"/>
  <c r="AP16" i="36" s="1"/>
  <c r="AQ10" i="36"/>
  <c r="AQ16" i="36" s="1"/>
  <c r="AR10" i="36"/>
  <c r="AR16" i="36" s="1"/>
  <c r="F20" i="36"/>
  <c r="R50" i="36"/>
  <c r="R53" i="36" s="1"/>
  <c r="Q50" i="36"/>
  <c r="Q53" i="36" s="1"/>
  <c r="K50" i="36"/>
  <c r="T50" i="36"/>
  <c r="T53" i="36" s="1"/>
  <c r="N50" i="36"/>
  <c r="N53" i="36" s="1"/>
  <c r="AT50" i="36"/>
  <c r="AT53" i="36" s="1"/>
  <c r="W50" i="36"/>
  <c r="W53" i="36" s="1"/>
  <c r="AV50" i="36"/>
  <c r="AV53" i="36" s="1"/>
  <c r="U50" i="36"/>
  <c r="U53" i="36" s="1"/>
  <c r="P50" i="36"/>
  <c r="P53" i="36" s="1"/>
  <c r="AU50" i="36"/>
  <c r="AU53" i="36" s="1"/>
  <c r="S50" i="36"/>
  <c r="S53" i="36" s="1"/>
  <c r="V50" i="36"/>
  <c r="V53" i="36" s="1"/>
  <c r="AS50" i="36"/>
  <c r="AS53" i="36" s="1"/>
  <c r="AW50" i="36"/>
  <c r="AW53" i="36" s="1"/>
  <c r="M50" i="36"/>
  <c r="M53" i="36" s="1"/>
  <c r="O50" i="36"/>
  <c r="O53" i="36" s="1"/>
  <c r="AX50" i="36"/>
  <c r="AX53" i="36" s="1"/>
  <c r="L50" i="36"/>
  <c r="L53" i="36" s="1"/>
  <c r="X50" i="36"/>
  <c r="X53" i="36" s="1"/>
  <c r="Z50" i="36"/>
  <c r="Z53" i="36" s="1"/>
  <c r="Y50" i="36"/>
  <c r="Y53" i="36" s="1"/>
  <c r="AA50" i="36"/>
  <c r="AA53" i="36" s="1"/>
  <c r="AB50" i="36"/>
  <c r="AB53" i="36" s="1"/>
  <c r="AC50" i="36"/>
  <c r="AC53" i="36" s="1"/>
  <c r="AD50" i="36"/>
  <c r="AD53" i="36" s="1"/>
  <c r="AE50" i="36"/>
  <c r="AE53" i="36" s="1"/>
  <c r="AF50" i="36"/>
  <c r="AF53" i="36" s="1"/>
  <c r="AG50" i="36"/>
  <c r="AG53" i="36" s="1"/>
  <c r="AH50" i="36"/>
  <c r="AH53" i="36" s="1"/>
  <c r="AI50" i="36"/>
  <c r="AI53" i="36" s="1"/>
  <c r="AJ50" i="36"/>
  <c r="AJ53" i="36" s="1"/>
  <c r="AK50" i="36"/>
  <c r="AK53" i="36" s="1"/>
  <c r="AL50" i="36"/>
  <c r="AL53" i="36" s="1"/>
  <c r="AM50" i="36"/>
  <c r="AM53" i="36" s="1"/>
  <c r="AN50" i="36"/>
  <c r="AN53" i="36" s="1"/>
  <c r="AO50" i="36"/>
  <c r="AO53" i="36" s="1"/>
  <c r="AP50" i="36"/>
  <c r="AP53" i="36" s="1"/>
  <c r="AQ50" i="36"/>
  <c r="AQ53" i="36" s="1"/>
  <c r="AR50" i="36"/>
  <c r="AR53" i="36" s="1"/>
  <c r="M81" i="7"/>
  <c r="M1030" i="1"/>
  <c r="M110" i="31"/>
  <c r="M115" i="31"/>
  <c r="M55" i="31"/>
  <c r="M99" i="31"/>
  <c r="K239" i="1"/>
  <c r="K277" i="1" s="1"/>
  <c r="K240" i="1"/>
  <c r="K278" i="1" s="1"/>
  <c r="M247" i="1"/>
  <c r="M236" i="1"/>
  <c r="M1" i="36"/>
  <c r="M946" i="1"/>
  <c r="F251" i="1"/>
  <c r="L240" i="1"/>
  <c r="L239" i="1"/>
  <c r="L277" i="1" s="1"/>
  <c r="F20" i="33"/>
  <c r="F29" i="33" s="1"/>
  <c r="L10" i="33"/>
  <c r="L16" i="33" s="1"/>
  <c r="AK10" i="33"/>
  <c r="AK16" i="33" s="1"/>
  <c r="W10" i="33"/>
  <c r="W16" i="33" s="1"/>
  <c r="AF10" i="33"/>
  <c r="AF16" i="33" s="1"/>
  <c r="AW10" i="33"/>
  <c r="AW16" i="33" s="1"/>
  <c r="T10" i="33"/>
  <c r="T16" i="33" s="1"/>
  <c r="AS10" i="33"/>
  <c r="AS16" i="33" s="1"/>
  <c r="AE10" i="33"/>
  <c r="AE16" i="33" s="1"/>
  <c r="AN10" i="33"/>
  <c r="AN16" i="33" s="1"/>
  <c r="AQ10" i="33"/>
  <c r="AQ16" i="33" s="1"/>
  <c r="M10" i="33"/>
  <c r="M16" i="33" s="1"/>
  <c r="AB10" i="33"/>
  <c r="AB16" i="33" s="1"/>
  <c r="N10" i="33"/>
  <c r="N16" i="33" s="1"/>
  <c r="AM10" i="33"/>
  <c r="AM16" i="33" s="1"/>
  <c r="AV10" i="33"/>
  <c r="AV16" i="33" s="1"/>
  <c r="R10" i="33"/>
  <c r="R16" i="33" s="1"/>
  <c r="AR10" i="33"/>
  <c r="AR16" i="33" s="1"/>
  <c r="Q10" i="33"/>
  <c r="Q16" i="33" s="1"/>
  <c r="AL10" i="33"/>
  <c r="AL16" i="33" s="1"/>
  <c r="Y10" i="33"/>
  <c r="Y16" i="33" s="1"/>
  <c r="O10" i="33"/>
  <c r="O16" i="33" s="1"/>
  <c r="X10" i="33"/>
  <c r="X16" i="33" s="1"/>
  <c r="AJ10" i="33"/>
  <c r="AJ16" i="33" s="1"/>
  <c r="V10" i="33"/>
  <c r="V16" i="33" s="1"/>
  <c r="AU10" i="33"/>
  <c r="AU16" i="33" s="1"/>
  <c r="AA10" i="33"/>
  <c r="AA16" i="33" s="1"/>
  <c r="Z10" i="33"/>
  <c r="Z16" i="33" s="1"/>
  <c r="AD10" i="33"/>
  <c r="AD16" i="33" s="1"/>
  <c r="AI10" i="33"/>
  <c r="AI16" i="33" s="1"/>
  <c r="AH10" i="33"/>
  <c r="AH16" i="33" s="1"/>
  <c r="K10" i="33"/>
  <c r="AP10" i="33"/>
  <c r="AP16" i="33" s="1"/>
  <c r="AC10" i="33"/>
  <c r="AC16" i="33" s="1"/>
  <c r="S10" i="33"/>
  <c r="S16" i="33" s="1"/>
  <c r="U10" i="33"/>
  <c r="U16" i="33" s="1"/>
  <c r="AT10" i="33"/>
  <c r="AT16" i="33" s="1"/>
  <c r="P10" i="33"/>
  <c r="P16" i="33" s="1"/>
  <c r="AG10" i="33"/>
  <c r="AG16" i="33" s="1"/>
  <c r="AX10" i="33"/>
  <c r="AX16" i="33" s="1"/>
  <c r="AO10" i="33"/>
  <c r="AO16" i="33" s="1"/>
  <c r="M1" i="31"/>
  <c r="M1" i="33"/>
  <c r="M45" i="21"/>
  <c r="M48" i="21" s="1"/>
  <c r="L45" i="21"/>
  <c r="L48" i="21" s="1"/>
  <c r="AL45" i="21"/>
  <c r="AL48" i="21" s="1"/>
  <c r="P45" i="21"/>
  <c r="P48" i="21" s="1"/>
  <c r="AO45" i="21"/>
  <c r="AO48" i="21" s="1"/>
  <c r="Z45" i="21"/>
  <c r="Z48" i="21" s="1"/>
  <c r="AI45" i="21"/>
  <c r="AI48" i="21" s="1"/>
  <c r="T45" i="21"/>
  <c r="T48" i="21" s="1"/>
  <c r="AT45" i="21"/>
  <c r="AT48" i="21" s="1"/>
  <c r="X45" i="21"/>
  <c r="X48" i="21" s="1"/>
  <c r="AW45" i="21"/>
  <c r="AW48" i="21" s="1"/>
  <c r="R45" i="21"/>
  <c r="R48" i="21" s="1"/>
  <c r="AB45" i="21"/>
  <c r="AB48" i="21" s="1"/>
  <c r="AF45" i="21"/>
  <c r="AF48" i="21" s="1"/>
  <c r="AJ45" i="21"/>
  <c r="AJ48" i="21" s="1"/>
  <c r="AN45" i="21"/>
  <c r="AN48" i="21" s="1"/>
  <c r="AS45" i="21"/>
  <c r="AS48" i="21" s="1"/>
  <c r="AA45" i="21"/>
  <c r="AA48" i="21" s="1"/>
  <c r="S45" i="21"/>
  <c r="S48" i="21" s="1"/>
  <c r="AR45" i="21"/>
  <c r="AR48" i="21" s="1"/>
  <c r="W45" i="21"/>
  <c r="W48" i="21" s="1"/>
  <c r="AV45" i="21"/>
  <c r="AV48" i="21" s="1"/>
  <c r="AC45" i="21"/>
  <c r="AC48" i="21" s="1"/>
  <c r="AX45" i="21"/>
  <c r="AX48" i="21" s="1"/>
  <c r="AP45" i="21"/>
  <c r="AP48" i="21" s="1"/>
  <c r="N45" i="21"/>
  <c r="N48" i="21" s="1"/>
  <c r="AE45" i="21"/>
  <c r="AE48" i="21" s="1"/>
  <c r="Q45" i="21"/>
  <c r="Q48" i="21" s="1"/>
  <c r="K45" i="21"/>
  <c r="K48" i="21" s="1"/>
  <c r="U45" i="21"/>
  <c r="U48" i="21" s="1"/>
  <c r="V45" i="21"/>
  <c r="V48" i="21" s="1"/>
  <c r="AM45" i="21"/>
  <c r="AM48" i="21" s="1"/>
  <c r="Y45" i="21"/>
  <c r="Y48" i="21" s="1"/>
  <c r="AH45" i="21"/>
  <c r="AH48" i="21" s="1"/>
  <c r="AQ45" i="21"/>
  <c r="AQ48" i="21" s="1"/>
  <c r="AD45" i="21"/>
  <c r="AD48" i="21" s="1"/>
  <c r="AU45" i="21"/>
  <c r="AU48" i="21" s="1"/>
  <c r="AG45" i="21"/>
  <c r="AG48" i="21" s="1"/>
  <c r="AK45" i="21"/>
  <c r="AK48" i="21" s="1"/>
  <c r="O45" i="21"/>
  <c r="O48" i="21" s="1"/>
  <c r="L45" i="33"/>
  <c r="L48" i="33" s="1"/>
  <c r="Z45" i="33"/>
  <c r="Z48" i="33" s="1"/>
  <c r="AK45" i="33"/>
  <c r="AK48" i="33" s="1"/>
  <c r="AN45" i="33"/>
  <c r="AN48" i="33" s="1"/>
  <c r="Y45" i="33"/>
  <c r="Y48" i="33" s="1"/>
  <c r="AQ45" i="33"/>
  <c r="AQ48" i="33" s="1"/>
  <c r="AI45" i="33"/>
  <c r="AI48" i="33" s="1"/>
  <c r="T45" i="33"/>
  <c r="T48" i="33" s="1"/>
  <c r="AP45" i="33"/>
  <c r="AP48" i="33" s="1"/>
  <c r="AS45" i="33"/>
  <c r="AS48" i="33" s="1"/>
  <c r="AV45" i="33"/>
  <c r="AV48" i="33" s="1"/>
  <c r="AG45" i="33"/>
  <c r="AG48" i="33" s="1"/>
  <c r="AB45" i="33"/>
  <c r="AB48" i="33" s="1"/>
  <c r="AR45" i="33"/>
  <c r="AR48" i="33" s="1"/>
  <c r="AL45" i="33"/>
  <c r="AL48" i="33" s="1"/>
  <c r="V45" i="33"/>
  <c r="V48" i="33" s="1"/>
  <c r="AO45" i="33"/>
  <c r="AO48" i="33" s="1"/>
  <c r="AH45" i="33"/>
  <c r="AH48" i="33" s="1"/>
  <c r="AJ45" i="33"/>
  <c r="AJ48" i="33" s="1"/>
  <c r="AU45" i="33"/>
  <c r="AU48" i="33" s="1"/>
  <c r="N45" i="33"/>
  <c r="N48" i="33" s="1"/>
  <c r="AD45" i="33"/>
  <c r="AD48" i="33" s="1"/>
  <c r="AW45" i="33"/>
  <c r="AW48" i="33" s="1"/>
  <c r="Q45" i="33"/>
  <c r="Q48" i="33" s="1"/>
  <c r="O45" i="33"/>
  <c r="O48" i="33" s="1"/>
  <c r="AX45" i="33"/>
  <c r="AX48" i="33" s="1"/>
  <c r="AE45" i="33"/>
  <c r="AE48" i="33" s="1"/>
  <c r="AT45" i="33"/>
  <c r="AT48" i="33" s="1"/>
  <c r="K45" i="33"/>
  <c r="R45" i="33"/>
  <c r="R48" i="33" s="1"/>
  <c r="M45" i="33"/>
  <c r="M48" i="33" s="1"/>
  <c r="P45" i="33"/>
  <c r="P48" i="33" s="1"/>
  <c r="W45" i="33"/>
  <c r="W48" i="33" s="1"/>
  <c r="S45" i="33"/>
  <c r="S48" i="33" s="1"/>
  <c r="AF45" i="33"/>
  <c r="AF48" i="33" s="1"/>
  <c r="U45" i="33"/>
  <c r="U48" i="33" s="1"/>
  <c r="X45" i="33"/>
  <c r="X48" i="33" s="1"/>
  <c r="AM45" i="33"/>
  <c r="AM48" i="33" s="1"/>
  <c r="AA45" i="33"/>
  <c r="AA48" i="33" s="1"/>
  <c r="AC45" i="33"/>
  <c r="AC48" i="33" s="1"/>
  <c r="N34" i="31"/>
  <c r="M172" i="31"/>
  <c r="M186" i="31"/>
  <c r="P31" i="31"/>
  <c r="P990" i="1" s="1"/>
  <c r="F31" i="33" l="1"/>
  <c r="K53" i="36"/>
  <c r="I50" i="36"/>
  <c r="K16" i="36"/>
  <c r="I16" i="36" s="1"/>
  <c r="I10" i="36"/>
  <c r="F31" i="36"/>
  <c r="F28" i="33"/>
  <c r="F33" i="36"/>
  <c r="F36" i="36"/>
  <c r="F34" i="36"/>
  <c r="F32" i="36"/>
  <c r="F35" i="36"/>
  <c r="F27" i="33"/>
  <c r="N81" i="7"/>
  <c r="N1030" i="1"/>
  <c r="F30" i="33"/>
  <c r="N110" i="31"/>
  <c r="N115" i="31"/>
  <c r="N55" i="31"/>
  <c r="N99" i="31"/>
  <c r="K258" i="1"/>
  <c r="K261" i="1" s="1"/>
  <c r="K286" i="1" s="1"/>
  <c r="K279" i="1"/>
  <c r="K287" i="1" s="1"/>
  <c r="L278" i="1"/>
  <c r="L279" i="1" s="1"/>
  <c r="L287" i="1" s="1"/>
  <c r="L258" i="1"/>
  <c r="N247" i="1"/>
  <c r="N236" i="1"/>
  <c r="N1" i="36"/>
  <c r="N946" i="1"/>
  <c r="M239" i="1"/>
  <c r="M277" i="1" s="1"/>
  <c r="M240" i="1"/>
  <c r="K16" i="33"/>
  <c r="I16" i="33" s="1"/>
  <c r="I10" i="33"/>
  <c r="F26" i="33"/>
  <c r="N186" i="31"/>
  <c r="N1" i="33"/>
  <c r="K48" i="33"/>
  <c r="I45" i="33"/>
  <c r="N1" i="31"/>
  <c r="O34" i="31"/>
  <c r="N172" i="31"/>
  <c r="Q31" i="31"/>
  <c r="Q990" i="1" s="1"/>
  <c r="F37" i="36" l="1"/>
  <c r="F32" i="33"/>
  <c r="O81" i="7"/>
  <c r="O1030" i="1"/>
  <c r="O115" i="31"/>
  <c r="O110" i="31"/>
  <c r="O55" i="31"/>
  <c r="O99" i="31"/>
  <c r="M278" i="1"/>
  <c r="M279" i="1" s="1"/>
  <c r="M287" i="1" s="1"/>
  <c r="M258" i="1"/>
  <c r="L261" i="1"/>
  <c r="L286" i="1" s="1"/>
  <c r="O247" i="1"/>
  <c r="O236" i="1"/>
  <c r="O946" i="1"/>
  <c r="O1" i="36"/>
  <c r="N240" i="1"/>
  <c r="N239" i="1"/>
  <c r="N277" i="1" s="1"/>
  <c r="O172" i="31"/>
  <c r="O1" i="33"/>
  <c r="O186" i="31"/>
  <c r="O1" i="31"/>
  <c r="P34" i="31"/>
  <c r="R31" i="31"/>
  <c r="R990" i="1" s="1"/>
  <c r="P81" i="7" l="1"/>
  <c r="P1030" i="1"/>
  <c r="P110" i="31"/>
  <c r="P115" i="31"/>
  <c r="P55" i="31"/>
  <c r="P99" i="31"/>
  <c r="M261" i="1"/>
  <c r="M286" i="1" s="1"/>
  <c r="N278" i="1"/>
  <c r="N279" i="1" s="1"/>
  <c r="N287" i="1" s="1"/>
  <c r="N258" i="1"/>
  <c r="P236" i="1"/>
  <c r="P247" i="1"/>
  <c r="P946" i="1"/>
  <c r="P1" i="36"/>
  <c r="O240" i="1"/>
  <c r="O239" i="1"/>
  <c r="O277" i="1" s="1"/>
  <c r="P172" i="31"/>
  <c r="P1" i="33"/>
  <c r="P1" i="31"/>
  <c r="Q34" i="31"/>
  <c r="P186" i="31"/>
  <c r="S31" i="31"/>
  <c r="S990" i="1" s="1"/>
  <c r="Q81" i="7" l="1"/>
  <c r="Q1030" i="1"/>
  <c r="Q115" i="31"/>
  <c r="Q110" i="31"/>
  <c r="Q55" i="31"/>
  <c r="Q99" i="31"/>
  <c r="N261" i="1"/>
  <c r="N286" i="1" s="1"/>
  <c r="O278" i="1"/>
  <c r="O279" i="1" s="1"/>
  <c r="O287" i="1" s="1"/>
  <c r="O258" i="1"/>
  <c r="Q236" i="1"/>
  <c r="Q247" i="1"/>
  <c r="Q1" i="36"/>
  <c r="Q946" i="1"/>
  <c r="P240" i="1"/>
  <c r="P239" i="1"/>
  <c r="R34" i="31"/>
  <c r="Q1" i="33"/>
  <c r="Q1" i="31"/>
  <c r="Q186" i="31"/>
  <c r="Q172" i="31"/>
  <c r="T31" i="31"/>
  <c r="T990" i="1" s="1"/>
  <c r="R81" i="7" l="1"/>
  <c r="R1030" i="1"/>
  <c r="R110" i="31"/>
  <c r="R115" i="31"/>
  <c r="R55" i="31"/>
  <c r="R99" i="31"/>
  <c r="P278" i="1"/>
  <c r="P258" i="1"/>
  <c r="O261" i="1"/>
  <c r="O286" i="1" s="1"/>
  <c r="R1" i="33"/>
  <c r="R247" i="1"/>
  <c r="R236" i="1"/>
  <c r="R1" i="36"/>
  <c r="R946" i="1"/>
  <c r="P277" i="1"/>
  <c r="Q240" i="1"/>
  <c r="Q239" i="1"/>
  <c r="Q277" i="1" s="1"/>
  <c r="R186" i="31"/>
  <c r="R172" i="31"/>
  <c r="S34" i="31"/>
  <c r="R1" i="31"/>
  <c r="U31" i="31"/>
  <c r="U990" i="1" s="1"/>
  <c r="S81" i="7" l="1"/>
  <c r="S1030" i="1"/>
  <c r="S115" i="31"/>
  <c r="S110" i="31"/>
  <c r="S55" i="31"/>
  <c r="S99" i="31"/>
  <c r="P279" i="1"/>
  <c r="P287" i="1" s="1"/>
  <c r="P261" i="1"/>
  <c r="P286" i="1" s="1"/>
  <c r="Q278" i="1"/>
  <c r="Q279" i="1" s="1"/>
  <c r="Q287" i="1" s="1"/>
  <c r="Q258" i="1"/>
  <c r="R239" i="1"/>
  <c r="R277" i="1" s="1"/>
  <c r="R240" i="1"/>
  <c r="S1" i="33"/>
  <c r="S247" i="1"/>
  <c r="S236" i="1"/>
  <c r="S946" i="1"/>
  <c r="S1" i="36"/>
  <c r="S1" i="31"/>
  <c r="S186" i="31"/>
  <c r="S172" i="31"/>
  <c r="T34" i="31"/>
  <c r="V31" i="31"/>
  <c r="V990" i="1" s="1"/>
  <c r="T81" i="7" l="1"/>
  <c r="T1030" i="1"/>
  <c r="T115" i="31"/>
  <c r="T110" i="31"/>
  <c r="T55" i="31"/>
  <c r="T99" i="31"/>
  <c r="Q261" i="1"/>
  <c r="Q286" i="1" s="1"/>
  <c r="R278" i="1"/>
  <c r="R279" i="1" s="1"/>
  <c r="R287" i="1" s="1"/>
  <c r="R258" i="1"/>
  <c r="T1" i="33"/>
  <c r="T236" i="1"/>
  <c r="T247" i="1"/>
  <c r="T946" i="1"/>
  <c r="T1" i="36"/>
  <c r="S240" i="1"/>
  <c r="S239" i="1"/>
  <c r="S277" i="1" s="1"/>
  <c r="U34" i="31"/>
  <c r="T172" i="31"/>
  <c r="T1" i="31"/>
  <c r="T186" i="31"/>
  <c r="W31" i="31"/>
  <c r="W990" i="1" s="1"/>
  <c r="U81" i="7" l="1"/>
  <c r="U1030" i="1"/>
  <c r="U115" i="31"/>
  <c r="U110" i="31"/>
  <c r="U55" i="31"/>
  <c r="U99" i="31"/>
  <c r="R261" i="1"/>
  <c r="R286" i="1" s="1"/>
  <c r="S278" i="1"/>
  <c r="S279" i="1" s="1"/>
  <c r="S287" i="1" s="1"/>
  <c r="S258" i="1"/>
  <c r="U1" i="33"/>
  <c r="U247" i="1"/>
  <c r="U236" i="1"/>
  <c r="U1" i="36"/>
  <c r="U946" i="1"/>
  <c r="T239" i="1"/>
  <c r="T277" i="1" s="1"/>
  <c r="T240" i="1"/>
  <c r="U1" i="31"/>
  <c r="V34" i="31"/>
  <c r="U186" i="31"/>
  <c r="U172" i="31"/>
  <c r="X31" i="31"/>
  <c r="X990" i="1" s="1"/>
  <c r="V81" i="7" l="1"/>
  <c r="V1030" i="1"/>
  <c r="V110" i="31"/>
  <c r="V115" i="31"/>
  <c r="V55" i="31"/>
  <c r="V99" i="31"/>
  <c r="S261" i="1"/>
  <c r="S286" i="1" s="1"/>
  <c r="T278" i="1"/>
  <c r="T279" i="1" s="1"/>
  <c r="T287" i="1" s="1"/>
  <c r="T258" i="1"/>
  <c r="U239" i="1"/>
  <c r="U277" i="1" s="1"/>
  <c r="U240" i="1"/>
  <c r="V1" i="33"/>
  <c r="V247" i="1"/>
  <c r="V236" i="1"/>
  <c r="V1" i="36"/>
  <c r="V946" i="1"/>
  <c r="V172" i="31"/>
  <c r="V1" i="31"/>
  <c r="W34" i="31"/>
  <c r="V186" i="31"/>
  <c r="Y31" i="31"/>
  <c r="Y990" i="1" s="1"/>
  <c r="W81" i="7" l="1"/>
  <c r="W1030" i="1"/>
  <c r="W115" i="31"/>
  <c r="W110" i="31"/>
  <c r="W55" i="31"/>
  <c r="W99" i="31"/>
  <c r="T261" i="1"/>
  <c r="T286" i="1" s="1"/>
  <c r="U278" i="1"/>
  <c r="U279" i="1" s="1"/>
  <c r="U287" i="1" s="1"/>
  <c r="U258" i="1"/>
  <c r="W1" i="33"/>
  <c r="W247" i="1"/>
  <c r="W236" i="1"/>
  <c r="W946" i="1"/>
  <c r="W1" i="36"/>
  <c r="V239" i="1"/>
  <c r="V277" i="1" s="1"/>
  <c r="V240" i="1"/>
  <c r="X34" i="31"/>
  <c r="W1" i="31"/>
  <c r="W172" i="31"/>
  <c r="W186" i="31"/>
  <c r="Z31" i="31"/>
  <c r="Z990" i="1" s="1"/>
  <c r="X81" i="7" l="1"/>
  <c r="X1030" i="1"/>
  <c r="X99" i="31"/>
  <c r="X115" i="31"/>
  <c r="X110" i="31"/>
  <c r="Y34" i="31"/>
  <c r="Y1030" i="1" s="1"/>
  <c r="X55" i="31"/>
  <c r="U261" i="1"/>
  <c r="U286" i="1" s="1"/>
  <c r="V278" i="1"/>
  <c r="V279" i="1" s="1"/>
  <c r="V287" i="1" s="1"/>
  <c r="V258" i="1"/>
  <c r="X1" i="33"/>
  <c r="X236" i="1"/>
  <c r="X247" i="1"/>
  <c r="X946" i="1"/>
  <c r="X1" i="36"/>
  <c r="W239" i="1"/>
  <c r="W277" i="1" s="1"/>
  <c r="W240" i="1"/>
  <c r="X1" i="31"/>
  <c r="X172" i="31"/>
  <c r="X186" i="31"/>
  <c r="AA31" i="31"/>
  <c r="AA990" i="1" s="1"/>
  <c r="Y1" i="33" l="1"/>
  <c r="Y236" i="1"/>
  <c r="Y239" i="1" s="1"/>
  <c r="Y277" i="1" s="1"/>
  <c r="Y81" i="7"/>
  <c r="Y1" i="31"/>
  <c r="Z34" i="31"/>
  <c r="Z1" i="31" s="1"/>
  <c r="Y946" i="1"/>
  <c r="Y1" i="36"/>
  <c r="Y186" i="31"/>
  <c r="Y172" i="31"/>
  <c r="Y247" i="1"/>
  <c r="Y115" i="31"/>
  <c r="Y110" i="31"/>
  <c r="Y55" i="31"/>
  <c r="Y99" i="31"/>
  <c r="V261" i="1"/>
  <c r="V286" i="1" s="1"/>
  <c r="W278" i="1"/>
  <c r="W279" i="1" s="1"/>
  <c r="W287" i="1" s="1"/>
  <c r="W258" i="1"/>
  <c r="X240" i="1"/>
  <c r="X239" i="1"/>
  <c r="X277" i="1" s="1"/>
  <c r="AB31" i="31"/>
  <c r="AB990" i="1" s="1"/>
  <c r="Y240" i="1" l="1"/>
  <c r="Y258" i="1" s="1"/>
  <c r="Z247" i="1"/>
  <c r="Z1030" i="1"/>
  <c r="Z172" i="31"/>
  <c r="Z1" i="36"/>
  <c r="Z115" i="31"/>
  <c r="Z81" i="7"/>
  <c r="Z186" i="31"/>
  <c r="Z110" i="31"/>
  <c r="Z946" i="1"/>
  <c r="Z55" i="31"/>
  <c r="Z1" i="33"/>
  <c r="AA34" i="31"/>
  <c r="AA186" i="31" s="1"/>
  <c r="Z236" i="1"/>
  <c r="Z239" i="1" s="1"/>
  <c r="Z277" i="1" s="1"/>
  <c r="Z99" i="31"/>
  <c r="W261" i="1"/>
  <c r="W286" i="1" s="1"/>
  <c r="X278" i="1"/>
  <c r="X279" i="1" s="1"/>
  <c r="X287" i="1" s="1"/>
  <c r="X258" i="1"/>
  <c r="AC31" i="31"/>
  <c r="AC990" i="1" s="1"/>
  <c r="Y278" i="1" l="1"/>
  <c r="Y279" i="1" s="1"/>
  <c r="Y287" i="1" s="1"/>
  <c r="AA1" i="33"/>
  <c r="Z240" i="1"/>
  <c r="Z278" i="1" s="1"/>
  <c r="Z279" i="1" s="1"/>
  <c r="Z287" i="1" s="1"/>
  <c r="AA81" i="7"/>
  <c r="AA1030" i="1"/>
  <c r="AA1" i="36"/>
  <c r="AB34" i="31"/>
  <c r="AB55" i="31" s="1"/>
  <c r="AA172" i="31"/>
  <c r="AA236" i="1"/>
  <c r="AA240" i="1" s="1"/>
  <c r="AA99" i="31"/>
  <c r="AA110" i="31"/>
  <c r="AA946" i="1"/>
  <c r="AA115" i="31"/>
  <c r="AA1" i="31"/>
  <c r="AA247" i="1"/>
  <c r="AA55" i="31"/>
  <c r="X261" i="1"/>
  <c r="X286" i="1" s="1"/>
  <c r="Y261" i="1"/>
  <c r="Y286" i="1" s="1"/>
  <c r="AD31" i="31"/>
  <c r="AD990" i="1" s="1"/>
  <c r="Z258" i="1" l="1"/>
  <c r="Z261" i="1" s="1"/>
  <c r="Z286" i="1" s="1"/>
  <c r="AB1" i="31"/>
  <c r="AB946" i="1"/>
  <c r="AB81" i="7"/>
  <c r="AB1030" i="1"/>
  <c r="AB186" i="31"/>
  <c r="AB247" i="1"/>
  <c r="AB115" i="31"/>
  <c r="AB172" i="31"/>
  <c r="AB236" i="1"/>
  <c r="AB240" i="1" s="1"/>
  <c r="AB110" i="31"/>
  <c r="AC34" i="31"/>
  <c r="AC55" i="31" s="1"/>
  <c r="AB1" i="36"/>
  <c r="AB1" i="33"/>
  <c r="AA239" i="1"/>
  <c r="AA277" i="1" s="1"/>
  <c r="AB99" i="31"/>
  <c r="AA278" i="1"/>
  <c r="AA258" i="1"/>
  <c r="AE31" i="31"/>
  <c r="AE990" i="1" s="1"/>
  <c r="J127" i="7"/>
  <c r="H127" i="7"/>
  <c r="F127" i="7"/>
  <c r="J136" i="1"/>
  <c r="H136" i="1"/>
  <c r="F136" i="1"/>
  <c r="AC1" i="36" l="1"/>
  <c r="AC110" i="31"/>
  <c r="AC1" i="31"/>
  <c r="AC186" i="31"/>
  <c r="AC247" i="1"/>
  <c r="AD34" i="31"/>
  <c r="AD115" i="31" s="1"/>
  <c r="AC236" i="1"/>
  <c r="AC239" i="1" s="1"/>
  <c r="AC277" i="1" s="1"/>
  <c r="AC115" i="31"/>
  <c r="AC172" i="31"/>
  <c r="AC946" i="1"/>
  <c r="AC1" i="33"/>
  <c r="AC99" i="31"/>
  <c r="AB239" i="1"/>
  <c r="AB277" i="1" s="1"/>
  <c r="AC81" i="7"/>
  <c r="AC1030" i="1"/>
  <c r="AA279" i="1"/>
  <c r="AA287" i="1" s="1"/>
  <c r="AA261" i="1"/>
  <c r="AA286" i="1" s="1"/>
  <c r="AB278" i="1"/>
  <c r="AB258" i="1"/>
  <c r="J147" i="1"/>
  <c r="J151" i="1"/>
  <c r="F147" i="1"/>
  <c r="F151" i="1"/>
  <c r="H147" i="1"/>
  <c r="H151" i="1"/>
  <c r="AF31" i="31"/>
  <c r="AF990" i="1" s="1"/>
  <c r="J17" i="7"/>
  <c r="J31" i="7" s="1"/>
  <c r="H17" i="7"/>
  <c r="H31" i="7" s="1"/>
  <c r="F17" i="7"/>
  <c r="F31" i="7" s="1"/>
  <c r="J1108" i="1"/>
  <c r="H1108" i="1"/>
  <c r="F1108" i="1"/>
  <c r="J1009" i="1"/>
  <c r="H1009" i="1"/>
  <c r="F1009" i="1"/>
  <c r="G931" i="1"/>
  <c r="K925" i="1"/>
  <c r="J928" i="1"/>
  <c r="H928" i="1"/>
  <c r="F928" i="1"/>
  <c r="J927" i="1"/>
  <c r="H927" i="1"/>
  <c r="F927" i="1"/>
  <c r="G923" i="1"/>
  <c r="J915" i="1"/>
  <c r="H915" i="1"/>
  <c r="F915" i="1"/>
  <c r="J909" i="1"/>
  <c r="H909" i="1"/>
  <c r="F909" i="1"/>
  <c r="J786" i="1"/>
  <c r="H786" i="1"/>
  <c r="F786" i="1"/>
  <c r="J785" i="1"/>
  <c r="H785" i="1"/>
  <c r="F785" i="1"/>
  <c r="J905" i="1"/>
  <c r="H905" i="1"/>
  <c r="F905" i="1"/>
  <c r="J777" i="1"/>
  <c r="F777" i="1"/>
  <c r="J768" i="1"/>
  <c r="H768" i="1"/>
  <c r="J273" i="12"/>
  <c r="I273" i="12"/>
  <c r="H273" i="12"/>
  <c r="F273" i="12"/>
  <c r="J71" i="12"/>
  <c r="I71" i="12"/>
  <c r="H71" i="12"/>
  <c r="F71" i="12"/>
  <c r="J173" i="12"/>
  <c r="I173" i="12"/>
  <c r="H173" i="12"/>
  <c r="F173" i="12"/>
  <c r="J1156" i="1"/>
  <c r="H1156" i="1"/>
  <c r="F1156" i="1"/>
  <c r="J1155" i="1"/>
  <c r="H1155" i="1"/>
  <c r="F1155" i="1"/>
  <c r="J1152" i="1"/>
  <c r="H1152" i="1"/>
  <c r="F1152" i="1"/>
  <c r="J1151" i="1"/>
  <c r="H1151" i="1"/>
  <c r="F1151" i="1"/>
  <c r="J1110" i="1"/>
  <c r="H1110" i="1"/>
  <c r="F1110" i="1"/>
  <c r="J1109" i="1"/>
  <c r="H1109" i="1"/>
  <c r="F1109" i="1"/>
  <c r="J1107" i="1"/>
  <c r="H1107" i="1"/>
  <c r="F1107" i="1"/>
  <c r="J1106" i="1"/>
  <c r="H1106" i="1"/>
  <c r="F1106" i="1"/>
  <c r="J1103" i="1"/>
  <c r="H1103" i="1"/>
  <c r="F1103" i="1"/>
  <c r="J1008" i="1"/>
  <c r="H1008" i="1"/>
  <c r="F1008" i="1"/>
  <c r="J1006" i="1"/>
  <c r="H1006" i="1"/>
  <c r="F1006" i="1"/>
  <c r="J1005" i="1"/>
  <c r="H1005" i="1"/>
  <c r="F1005" i="1"/>
  <c r="J868" i="1"/>
  <c r="H868" i="1"/>
  <c r="F868" i="1"/>
  <c r="J776" i="1"/>
  <c r="H776" i="1"/>
  <c r="F776" i="1"/>
  <c r="J758" i="1"/>
  <c r="H758" i="1"/>
  <c r="J872" i="1"/>
  <c r="J907" i="1" s="1"/>
  <c r="H872" i="1"/>
  <c r="H907" i="1" s="1"/>
  <c r="F872" i="1"/>
  <c r="F907" i="1" s="1"/>
  <c r="J871" i="1"/>
  <c r="H871" i="1"/>
  <c r="J870" i="1"/>
  <c r="H870" i="1"/>
  <c r="J869" i="1"/>
  <c r="J908" i="1" s="1"/>
  <c r="H869" i="1"/>
  <c r="H908" i="1" s="1"/>
  <c r="F869" i="1"/>
  <c r="F908" i="1" s="1"/>
  <c r="J838" i="1"/>
  <c r="H838" i="1"/>
  <c r="F838" i="1"/>
  <c r="J837" i="1"/>
  <c r="H837" i="1"/>
  <c r="F837" i="1"/>
  <c r="J825" i="1"/>
  <c r="H825" i="1"/>
  <c r="F825" i="1"/>
  <c r="J813" i="1"/>
  <c r="H813" i="1"/>
  <c r="F813" i="1"/>
  <c r="J780" i="1"/>
  <c r="H780" i="1"/>
  <c r="F780" i="1"/>
  <c r="J779" i="1"/>
  <c r="H779" i="1"/>
  <c r="J778" i="1"/>
  <c r="H778" i="1"/>
  <c r="I168" i="1"/>
  <c r="J635" i="1"/>
  <c r="I635" i="1"/>
  <c r="H635" i="1"/>
  <c r="G635" i="1"/>
  <c r="F635" i="1"/>
  <c r="J634" i="1"/>
  <c r="I634" i="1"/>
  <c r="H634" i="1"/>
  <c r="G634" i="1"/>
  <c r="F634" i="1"/>
  <c r="K603" i="1"/>
  <c r="J597" i="1"/>
  <c r="H597" i="1"/>
  <c r="F597" i="1"/>
  <c r="J596" i="1"/>
  <c r="H596" i="1"/>
  <c r="F596" i="1"/>
  <c r="J589" i="1"/>
  <c r="H589" i="1"/>
  <c r="F589" i="1"/>
  <c r="J588" i="1"/>
  <c r="H588" i="1"/>
  <c r="F588" i="1"/>
  <c r="J587" i="1"/>
  <c r="H587" i="1"/>
  <c r="F587" i="1"/>
  <c r="J586" i="1"/>
  <c r="H586" i="1"/>
  <c r="F586" i="1"/>
  <c r="J579" i="1"/>
  <c r="H579" i="1"/>
  <c r="F579" i="1"/>
  <c r="J533" i="1"/>
  <c r="H533" i="1"/>
  <c r="F533" i="1"/>
  <c r="J519" i="1"/>
  <c r="H519" i="1"/>
  <c r="F519" i="1"/>
  <c r="J510" i="1"/>
  <c r="I510" i="1"/>
  <c r="H510" i="1"/>
  <c r="F510" i="1"/>
  <c r="J509" i="1"/>
  <c r="H509" i="1"/>
  <c r="F509" i="1"/>
  <c r="I45" i="1" s="1" a="1"/>
  <c r="I45" i="1" s="1"/>
  <c r="J498" i="1"/>
  <c r="H498" i="1"/>
  <c r="F498" i="1"/>
  <c r="J496" i="1"/>
  <c r="H496" i="1"/>
  <c r="F496" i="1"/>
  <c r="J495" i="1"/>
  <c r="H495" i="1"/>
  <c r="F495" i="1"/>
  <c r="J494" i="1"/>
  <c r="H494" i="1"/>
  <c r="F494" i="1"/>
  <c r="J490" i="1"/>
  <c r="J590" i="1" s="1"/>
  <c r="H490" i="1"/>
  <c r="H590" i="1" s="1"/>
  <c r="F490" i="1"/>
  <c r="F590" i="1" s="1"/>
  <c r="J489" i="1"/>
  <c r="H489" i="1"/>
  <c r="F489" i="1"/>
  <c r="J488" i="1"/>
  <c r="H488" i="1"/>
  <c r="F488" i="1"/>
  <c r="J470" i="1"/>
  <c r="H470" i="1"/>
  <c r="F470" i="1"/>
  <c r="J469" i="1"/>
  <c r="H469" i="1"/>
  <c r="F469" i="1"/>
  <c r="J468" i="1"/>
  <c r="H468" i="1"/>
  <c r="F468" i="1"/>
  <c r="J474" i="1"/>
  <c r="H474" i="1"/>
  <c r="F474" i="1"/>
  <c r="AD81" i="7" l="1"/>
  <c r="AD1" i="36"/>
  <c r="AC240" i="1"/>
  <c r="AC258" i="1" s="1"/>
  <c r="AD1" i="31"/>
  <c r="AD99" i="31"/>
  <c r="AD236" i="1"/>
  <c r="AD240" i="1" s="1"/>
  <c r="AD186" i="31"/>
  <c r="AD110" i="31"/>
  <c r="AD1030" i="1"/>
  <c r="AD172" i="31"/>
  <c r="AD247" i="1"/>
  <c r="AD55" i="31"/>
  <c r="AE34" i="31"/>
  <c r="AE1030" i="1" s="1"/>
  <c r="AD946" i="1"/>
  <c r="AD1" i="33"/>
  <c r="AB279" i="1"/>
  <c r="AB287" i="1" s="1"/>
  <c r="AB261" i="1"/>
  <c r="AB286" i="1" s="1"/>
  <c r="AG31" i="31"/>
  <c r="AG990" i="1" s="1"/>
  <c r="J460" i="1"/>
  <c r="H460" i="1"/>
  <c r="F460" i="1"/>
  <c r="J459" i="1"/>
  <c r="H459" i="1"/>
  <c r="F459" i="1"/>
  <c r="J377" i="1"/>
  <c r="I377" i="1"/>
  <c r="H377" i="1"/>
  <c r="F377" i="1"/>
  <c r="J376" i="1"/>
  <c r="H376" i="1"/>
  <c r="F376" i="1"/>
  <c r="J368" i="1"/>
  <c r="H368" i="1"/>
  <c r="F368" i="1"/>
  <c r="J349" i="1"/>
  <c r="J365" i="1" s="1"/>
  <c r="H349" i="1"/>
  <c r="H365" i="1" s="1"/>
  <c r="F349" i="1"/>
  <c r="F365" i="1" s="1"/>
  <c r="J339" i="1"/>
  <c r="I339" i="1"/>
  <c r="H339" i="1"/>
  <c r="F339" i="1"/>
  <c r="J333" i="1"/>
  <c r="H333" i="1"/>
  <c r="F333" i="1"/>
  <c r="J323" i="1"/>
  <c r="H323" i="1"/>
  <c r="F323" i="1"/>
  <c r="J312" i="1"/>
  <c r="H312" i="1"/>
  <c r="F312" i="1"/>
  <c r="J311" i="1"/>
  <c r="H311" i="1"/>
  <c r="F311" i="1"/>
  <c r="J310" i="1"/>
  <c r="H310" i="1"/>
  <c r="F310" i="1"/>
  <c r="J309" i="1"/>
  <c r="H309" i="1"/>
  <c r="F309" i="1"/>
  <c r="J308" i="1"/>
  <c r="H308" i="1"/>
  <c r="F308" i="1"/>
  <c r="J307" i="1"/>
  <c r="H307" i="1"/>
  <c r="F307" i="1"/>
  <c r="J168" i="1"/>
  <c r="H168" i="1"/>
  <c r="F168" i="1"/>
  <c r="J178" i="1"/>
  <c r="H178" i="1"/>
  <c r="F178" i="1"/>
  <c r="J177" i="1"/>
  <c r="H177" i="1"/>
  <c r="F177" i="1"/>
  <c r="J155" i="1"/>
  <c r="H155" i="1"/>
  <c r="F155" i="1"/>
  <c r="J108" i="1"/>
  <c r="H108" i="1"/>
  <c r="F108" i="1"/>
  <c r="J104" i="1"/>
  <c r="H104" i="1"/>
  <c r="F104" i="1"/>
  <c r="J163" i="1"/>
  <c r="I163" i="1"/>
  <c r="H163" i="1"/>
  <c r="F163" i="1"/>
  <c r="AE186" i="31" l="1"/>
  <c r="AE55" i="31"/>
  <c r="AE946" i="1"/>
  <c r="AC278" i="1"/>
  <c r="AC279" i="1" s="1"/>
  <c r="AC287" i="1" s="1"/>
  <c r="AD239" i="1"/>
  <c r="AD277" i="1" s="1"/>
  <c r="AE81" i="7"/>
  <c r="AE110" i="31"/>
  <c r="AF34" i="31"/>
  <c r="AF1030" i="1" s="1"/>
  <c r="AE247" i="1"/>
  <c r="AE115" i="31"/>
  <c r="AE172" i="31"/>
  <c r="AE236" i="1"/>
  <c r="AE239" i="1" s="1"/>
  <c r="AE277" i="1" s="1"/>
  <c r="AE1" i="31"/>
  <c r="AE1" i="36"/>
  <c r="AE1" i="33"/>
  <c r="AE99" i="31"/>
  <c r="AC261" i="1"/>
  <c r="AC286" i="1" s="1"/>
  <c r="AD278" i="1"/>
  <c r="AD258" i="1"/>
  <c r="AH31" i="31"/>
  <c r="AH990" i="1" s="1"/>
  <c r="F732" i="1"/>
  <c r="F742" i="1"/>
  <c r="F892" i="1" s="1"/>
  <c r="F733" i="1"/>
  <c r="F743" i="1"/>
  <c r="F893" i="1" s="1"/>
  <c r="F734" i="1"/>
  <c r="F744" i="1"/>
  <c r="F894" i="1" s="1"/>
  <c r="F735" i="1"/>
  <c r="F745" i="1"/>
  <c r="F895" i="1" s="1"/>
  <c r="F736" i="1"/>
  <c r="F746" i="1"/>
  <c r="F896" i="1" s="1"/>
  <c r="F737" i="1"/>
  <c r="F747" i="1"/>
  <c r="F768" i="1" s="1"/>
  <c r="AF236" i="1" l="1"/>
  <c r="AF239" i="1" s="1"/>
  <c r="AF277" i="1" s="1"/>
  <c r="AF81" i="7"/>
  <c r="AD279" i="1"/>
  <c r="AD287" i="1" s="1"/>
  <c r="AF1" i="36"/>
  <c r="AG34" i="31"/>
  <c r="AG110" i="31" s="1"/>
  <c r="AF1" i="33"/>
  <c r="AF55" i="31"/>
  <c r="AF172" i="31"/>
  <c r="AF115" i="31"/>
  <c r="AF946" i="1"/>
  <c r="AE240" i="1"/>
  <c r="AE258" i="1" s="1"/>
  <c r="AF110" i="31"/>
  <c r="AF1" i="31"/>
  <c r="AF186" i="31"/>
  <c r="AF247" i="1"/>
  <c r="AF99" i="31"/>
  <c r="AD261" i="1"/>
  <c r="AD286" i="1" s="1"/>
  <c r="AI31" i="31"/>
  <c r="AI990" i="1" s="1"/>
  <c r="F870" i="1"/>
  <c r="F778" i="1"/>
  <c r="F871" i="1"/>
  <c r="F779" i="1"/>
  <c r="F758" i="1"/>
  <c r="AF240" i="1" l="1"/>
  <c r="AF278" i="1" s="1"/>
  <c r="AF279" i="1" s="1"/>
  <c r="AF287" i="1" s="1"/>
  <c r="AH34" i="31"/>
  <c r="AH115" i="31" s="1"/>
  <c r="AG236" i="1"/>
  <c r="AG240" i="1" s="1"/>
  <c r="AG946" i="1"/>
  <c r="AG1" i="31"/>
  <c r="AG186" i="31"/>
  <c r="AG172" i="31"/>
  <c r="AG1030" i="1"/>
  <c r="AG81" i="7"/>
  <c r="AG1" i="36"/>
  <c r="AG1" i="33"/>
  <c r="AG99" i="31"/>
  <c r="AG115" i="31"/>
  <c r="AG55" i="31"/>
  <c r="AG247" i="1"/>
  <c r="AE278" i="1"/>
  <c r="AE279" i="1" s="1"/>
  <c r="AE287" i="1" s="1"/>
  <c r="AE261" i="1"/>
  <c r="AE286" i="1" s="1"/>
  <c r="AJ31" i="31"/>
  <c r="AJ990" i="1" s="1"/>
  <c r="AH247" i="1" l="1"/>
  <c r="AH186" i="31"/>
  <c r="AI34" i="31"/>
  <c r="AI110" i="31" s="1"/>
  <c r="AH110" i="31"/>
  <c r="AF258" i="1"/>
  <c r="AF261" i="1" s="1"/>
  <c r="AF286" i="1" s="1"/>
  <c r="AH81" i="7"/>
  <c r="AG239" i="1"/>
  <c r="AG277" i="1" s="1"/>
  <c r="AH1030" i="1"/>
  <c r="AH946" i="1"/>
  <c r="AH99" i="31"/>
  <c r="AH1" i="33"/>
  <c r="AH1" i="31"/>
  <c r="AH1" i="36"/>
  <c r="AH55" i="31"/>
  <c r="AH172" i="31"/>
  <c r="AH236" i="1"/>
  <c r="AH239" i="1" s="1"/>
  <c r="AH277" i="1" s="1"/>
  <c r="AG278" i="1"/>
  <c r="AG258" i="1"/>
  <c r="AK31" i="31"/>
  <c r="AK990" i="1" s="1"/>
  <c r="AI236" i="1" l="1"/>
  <c r="AI239" i="1" s="1"/>
  <c r="AI277" i="1" s="1"/>
  <c r="AI247" i="1"/>
  <c r="AI1" i="33"/>
  <c r="AI81" i="7"/>
  <c r="AJ34" i="31"/>
  <c r="AJ1030" i="1" s="1"/>
  <c r="AI186" i="31"/>
  <c r="AI115" i="31"/>
  <c r="AI1030" i="1"/>
  <c r="AI1" i="31"/>
  <c r="AI172" i="31"/>
  <c r="AI99" i="31"/>
  <c r="AI1" i="36"/>
  <c r="AI55" i="31"/>
  <c r="AI946" i="1"/>
  <c r="AH240" i="1"/>
  <c r="AH278" i="1" s="1"/>
  <c r="AH279" i="1" s="1"/>
  <c r="AH287" i="1" s="1"/>
  <c r="AG279" i="1"/>
  <c r="AG287" i="1" s="1"/>
  <c r="AG261" i="1"/>
  <c r="AG286" i="1" s="1"/>
  <c r="AL31" i="31"/>
  <c r="AL990" i="1" s="1"/>
  <c r="AJ186" i="31" l="1"/>
  <c r="AJ81" i="7"/>
  <c r="AJ172" i="31"/>
  <c r="AJ1" i="33"/>
  <c r="AH258" i="1"/>
  <c r="AH261" i="1" s="1"/>
  <c r="AH286" i="1" s="1"/>
  <c r="AJ99" i="31"/>
  <c r="AJ55" i="31"/>
  <c r="AK34" i="31"/>
  <c r="AK55" i="31" s="1"/>
  <c r="AJ110" i="31"/>
  <c r="AJ247" i="1"/>
  <c r="AJ115" i="31"/>
  <c r="AI240" i="1"/>
  <c r="AI278" i="1" s="1"/>
  <c r="AI279" i="1" s="1"/>
  <c r="AI287" i="1" s="1"/>
  <c r="AJ1" i="36"/>
  <c r="AJ946" i="1"/>
  <c r="AJ1" i="31"/>
  <c r="AJ236" i="1"/>
  <c r="AJ240" i="1" s="1"/>
  <c r="AM31" i="31"/>
  <c r="AM990" i="1" s="1"/>
  <c r="AK946" i="1" l="1"/>
  <c r="AK1030" i="1"/>
  <c r="AK81" i="7"/>
  <c r="AK1" i="33"/>
  <c r="AJ239" i="1"/>
  <c r="AJ277" i="1" s="1"/>
  <c r="AK172" i="31"/>
  <c r="AK186" i="31"/>
  <c r="AK110" i="31"/>
  <c r="AL34" i="31"/>
  <c r="AL110" i="31" s="1"/>
  <c r="AK115" i="31"/>
  <c r="AK1" i="36"/>
  <c r="AI258" i="1"/>
  <c r="AI261" i="1" s="1"/>
  <c r="AI286" i="1" s="1"/>
  <c r="AK247" i="1"/>
  <c r="AK99" i="31"/>
  <c r="AK1" i="31"/>
  <c r="AK236" i="1"/>
  <c r="AK239" i="1" s="1"/>
  <c r="AK277" i="1" s="1"/>
  <c r="AJ278" i="1"/>
  <c r="AJ258" i="1"/>
  <c r="AN31" i="31"/>
  <c r="AN990" i="1" s="1"/>
  <c r="AL1030" i="1" l="1"/>
  <c r="AL1" i="31"/>
  <c r="AK240" i="1"/>
  <c r="AK278" i="1" s="1"/>
  <c r="AK279" i="1" s="1"/>
  <c r="AK287" i="1" s="1"/>
  <c r="AJ279" i="1"/>
  <c r="AJ287" i="1" s="1"/>
  <c r="AL172" i="31"/>
  <c r="AL81" i="7"/>
  <c r="AL946" i="1"/>
  <c r="AL186" i="31"/>
  <c r="AM34" i="31"/>
  <c r="AM99" i="31" s="1"/>
  <c r="AL247" i="1"/>
  <c r="AL115" i="31"/>
  <c r="AL1" i="36"/>
  <c r="AL99" i="31"/>
  <c r="AL236" i="1"/>
  <c r="AL240" i="1" s="1"/>
  <c r="AL55" i="31"/>
  <c r="AL1" i="33"/>
  <c r="AJ261" i="1"/>
  <c r="AJ286" i="1" s="1"/>
  <c r="AO31" i="31"/>
  <c r="AO990" i="1" s="1"/>
  <c r="AK258" i="1" l="1"/>
  <c r="AK261" i="1" s="1"/>
  <c r="AK286" i="1" s="1"/>
  <c r="AM115" i="31"/>
  <c r="AM1" i="31"/>
  <c r="AM236" i="1"/>
  <c r="AM239" i="1" s="1"/>
  <c r="AM277" i="1" s="1"/>
  <c r="AM186" i="31"/>
  <c r="AM172" i="31"/>
  <c r="AM247" i="1"/>
  <c r="AN34" i="31"/>
  <c r="AN99" i="31" s="1"/>
  <c r="AM81" i="7"/>
  <c r="AM1" i="33"/>
  <c r="AL239" i="1"/>
  <c r="AL277" i="1" s="1"/>
  <c r="AM55" i="31"/>
  <c r="AM946" i="1"/>
  <c r="AM110" i="31"/>
  <c r="AM1030" i="1"/>
  <c r="AM1" i="36"/>
  <c r="AL278" i="1"/>
  <c r="AL258" i="1"/>
  <c r="AP31" i="31"/>
  <c r="AP990" i="1" s="1"/>
  <c r="BG106" i="5"/>
  <c r="BF106" i="5"/>
  <c r="BE106" i="5"/>
  <c r="BD106" i="5"/>
  <c r="BC106" i="5"/>
  <c r="BB106" i="5"/>
  <c r="BA106" i="5"/>
  <c r="AZ106" i="5"/>
  <c r="AY106" i="5"/>
  <c r="AX106" i="5"/>
  <c r="AW106" i="5"/>
  <c r="AV106" i="5"/>
  <c r="AU106" i="5"/>
  <c r="AT106" i="5"/>
  <c r="AS106" i="5"/>
  <c r="AR106" i="5"/>
  <c r="AQ106" i="5"/>
  <c r="AP106" i="5"/>
  <c r="AO106" i="5"/>
  <c r="AN106" i="5"/>
  <c r="AM106" i="5"/>
  <c r="AL106" i="5"/>
  <c r="AK106" i="5"/>
  <c r="AJ106" i="5"/>
  <c r="AI106" i="5"/>
  <c r="AH106" i="5"/>
  <c r="AG106" i="5"/>
  <c r="AF106" i="5"/>
  <c r="AE106" i="5"/>
  <c r="AD106" i="5"/>
  <c r="AC106" i="5"/>
  <c r="AB106" i="5"/>
  <c r="AA106" i="5"/>
  <c r="Z106" i="5"/>
  <c r="Y106" i="5"/>
  <c r="X106" i="5"/>
  <c r="W106" i="5"/>
  <c r="V106" i="5"/>
  <c r="U106" i="5"/>
  <c r="T106" i="5"/>
  <c r="T107" i="5" s="1"/>
  <c r="AM240" i="1" l="1"/>
  <c r="AM278" i="1" s="1"/>
  <c r="AM279" i="1" s="1"/>
  <c r="AM287" i="1" s="1"/>
  <c r="AN81" i="7"/>
  <c r="AL279" i="1"/>
  <c r="AL287" i="1" s="1"/>
  <c r="AN1" i="31"/>
  <c r="AN1" i="33"/>
  <c r="AN55" i="31"/>
  <c r="AN946" i="1"/>
  <c r="AN115" i="31"/>
  <c r="AN186" i="31"/>
  <c r="AN172" i="31"/>
  <c r="AN247" i="1"/>
  <c r="AN110" i="31"/>
  <c r="AO34" i="31"/>
  <c r="AO99" i="31" s="1"/>
  <c r="AN236" i="1"/>
  <c r="AN239" i="1" s="1"/>
  <c r="AN277" i="1" s="1"/>
  <c r="AN1030" i="1"/>
  <c r="AN1" i="36"/>
  <c r="AL261" i="1"/>
  <c r="AL286" i="1" s="1"/>
  <c r="AQ31" i="31"/>
  <c r="AQ990" i="1" s="1"/>
  <c r="U107" i="5"/>
  <c r="V107" i="5" s="1"/>
  <c r="W107" i="5" s="1"/>
  <c r="X107" i="5" s="1"/>
  <c r="Y107" i="5" s="1"/>
  <c r="Z107" i="5" s="1"/>
  <c r="AA107" i="5" s="1"/>
  <c r="AB107" i="5" s="1"/>
  <c r="AC107" i="5" s="1"/>
  <c r="AD107" i="5" s="1"/>
  <c r="AE107" i="5" s="1"/>
  <c r="AF107" i="5" s="1"/>
  <c r="AG107" i="5" s="1"/>
  <c r="AH107" i="5" s="1"/>
  <c r="AI107" i="5" s="1"/>
  <c r="AJ107" i="5" s="1"/>
  <c r="AK107" i="5" s="1"/>
  <c r="AL107" i="5" s="1"/>
  <c r="AM107" i="5" s="1"/>
  <c r="AN107" i="5" s="1"/>
  <c r="AO107" i="5" s="1"/>
  <c r="AP107" i="5" s="1"/>
  <c r="AQ107" i="5" s="1"/>
  <c r="AR107" i="5" s="1"/>
  <c r="AS107" i="5" s="1"/>
  <c r="AT107" i="5" s="1"/>
  <c r="AU107" i="5" s="1"/>
  <c r="AV107" i="5" s="1"/>
  <c r="AW107" i="5" s="1"/>
  <c r="AX107" i="5" s="1"/>
  <c r="AY107" i="5" s="1"/>
  <c r="AZ107" i="5" s="1"/>
  <c r="BA107" i="5" s="1"/>
  <c r="BB107" i="5" s="1"/>
  <c r="BC107" i="5" s="1"/>
  <c r="BD107" i="5" s="1"/>
  <c r="BE107" i="5" s="1"/>
  <c r="BF107" i="5" s="1"/>
  <c r="BG107" i="5" s="1"/>
  <c r="AM258" i="1" l="1"/>
  <c r="AM261" i="1" s="1"/>
  <c r="AM286" i="1" s="1"/>
  <c r="AO55" i="31"/>
  <c r="AO1" i="31"/>
  <c r="AO236" i="1"/>
  <c r="AO239" i="1" s="1"/>
  <c r="AO277" i="1" s="1"/>
  <c r="AN240" i="1"/>
  <c r="AN278" i="1" s="1"/>
  <c r="AN279" i="1" s="1"/>
  <c r="AN287" i="1" s="1"/>
  <c r="AO186" i="31"/>
  <c r="AO1" i="33"/>
  <c r="AO110" i="31"/>
  <c r="AO172" i="31"/>
  <c r="AO115" i="31"/>
  <c r="AP34" i="31"/>
  <c r="AP99" i="31" s="1"/>
  <c r="AO81" i="7"/>
  <c r="AO946" i="1"/>
  <c r="AO1030" i="1"/>
  <c r="AO1" i="36"/>
  <c r="AO247" i="1"/>
  <c r="AR31" i="31"/>
  <c r="AR990" i="1" s="1"/>
  <c r="A1" i="24"/>
  <c r="R99" i="5"/>
  <c r="S121" i="5"/>
  <c r="AO240" i="1" l="1"/>
  <c r="AO258" i="1" s="1"/>
  <c r="AN258" i="1"/>
  <c r="AN261" i="1" s="1"/>
  <c r="AN286" i="1" s="1"/>
  <c r="AP1" i="31"/>
  <c r="AP115" i="31"/>
  <c r="AP1" i="36"/>
  <c r="AP236" i="1"/>
  <c r="AP240" i="1" s="1"/>
  <c r="AP1" i="33"/>
  <c r="AP247" i="1"/>
  <c r="AP1030" i="1"/>
  <c r="AP186" i="31"/>
  <c r="AQ34" i="31"/>
  <c r="AQ946" i="1" s="1"/>
  <c r="AP110" i="31"/>
  <c r="AP172" i="31"/>
  <c r="AP81" i="7"/>
  <c r="AP55" i="31"/>
  <c r="AP946" i="1"/>
  <c r="C7" i="24"/>
  <c r="AS31" i="31"/>
  <c r="AS990" i="1" s="1"/>
  <c r="S124" i="5"/>
  <c r="F18" i="21"/>
  <c r="I15" i="21"/>
  <c r="I14" i="21"/>
  <c r="I13" i="21"/>
  <c r="I12" i="21"/>
  <c r="I11" i="21"/>
  <c r="A1" i="21"/>
  <c r="G33" i="24" s="1"/>
  <c r="F30" i="11"/>
  <c r="F62" i="31" s="1"/>
  <c r="F64" i="31" s="1"/>
  <c r="F37" i="11"/>
  <c r="F43" i="31" s="1"/>
  <c r="F36" i="11"/>
  <c r="F42" i="31" s="1"/>
  <c r="F35" i="11"/>
  <c r="F41" i="31" s="1"/>
  <c r="F34" i="11"/>
  <c r="F40" i="31" s="1"/>
  <c r="F12" i="11"/>
  <c r="F6" i="31" s="1"/>
  <c r="F327" i="1"/>
  <c r="AO278" i="1" l="1"/>
  <c r="AO279" i="1" s="1"/>
  <c r="AO287" i="1" s="1"/>
  <c r="AQ247" i="1"/>
  <c r="AQ115" i="31"/>
  <c r="AP239" i="1"/>
  <c r="AP277" i="1" s="1"/>
  <c r="AR34" i="31"/>
  <c r="AR115" i="31" s="1"/>
  <c r="AQ172" i="31"/>
  <c r="AQ99" i="31"/>
  <c r="AQ236" i="1"/>
  <c r="AQ240" i="1" s="1"/>
  <c r="AQ55" i="31"/>
  <c r="AQ1" i="31"/>
  <c r="AQ1" i="33"/>
  <c r="AQ110" i="31"/>
  <c r="AQ186" i="31"/>
  <c r="AQ1030" i="1"/>
  <c r="AQ81" i="7"/>
  <c r="AQ1" i="36"/>
  <c r="M5" i="24"/>
  <c r="AO261" i="1"/>
  <c r="AO286" i="1" s="1"/>
  <c r="AP278" i="1"/>
  <c r="AP258" i="1"/>
  <c r="S10" i="21"/>
  <c r="S16" i="21" s="1"/>
  <c r="AA10" i="21"/>
  <c r="AA16" i="21" s="1"/>
  <c r="AI10" i="21"/>
  <c r="AI16" i="21" s="1"/>
  <c r="AQ10" i="21"/>
  <c r="AQ16" i="21" s="1"/>
  <c r="K10" i="21"/>
  <c r="L10" i="21"/>
  <c r="L16" i="21" s="1"/>
  <c r="T10" i="21"/>
  <c r="T16" i="21" s="1"/>
  <c r="AB10" i="21"/>
  <c r="AB16" i="21" s="1"/>
  <c r="AJ10" i="21"/>
  <c r="AJ16" i="21" s="1"/>
  <c r="AR10" i="21"/>
  <c r="AR16" i="21" s="1"/>
  <c r="M10" i="21"/>
  <c r="M16" i="21" s="1"/>
  <c r="U10" i="21"/>
  <c r="U16" i="21" s="1"/>
  <c r="AC10" i="21"/>
  <c r="AC16" i="21" s="1"/>
  <c r="AK10" i="21"/>
  <c r="AK16" i="21" s="1"/>
  <c r="AS10" i="21"/>
  <c r="AS16" i="21" s="1"/>
  <c r="N10" i="21"/>
  <c r="N16" i="21" s="1"/>
  <c r="V10" i="21"/>
  <c r="V16" i="21" s="1"/>
  <c r="AD10" i="21"/>
  <c r="AD16" i="21" s="1"/>
  <c r="AL10" i="21"/>
  <c r="AL16" i="21" s="1"/>
  <c r="AT10" i="21"/>
  <c r="AT16" i="21" s="1"/>
  <c r="O10" i="21"/>
  <c r="O16" i="21" s="1"/>
  <c r="W10" i="21"/>
  <c r="W16" i="21" s="1"/>
  <c r="AE10" i="21"/>
  <c r="AE16" i="21" s="1"/>
  <c r="AM10" i="21"/>
  <c r="AM16" i="21" s="1"/>
  <c r="AU10" i="21"/>
  <c r="AU16" i="21" s="1"/>
  <c r="P10" i="21"/>
  <c r="P16" i="21" s="1"/>
  <c r="X10" i="21"/>
  <c r="X16" i="21" s="1"/>
  <c r="AF10" i="21"/>
  <c r="AF16" i="21" s="1"/>
  <c r="AN10" i="21"/>
  <c r="AN16" i="21" s="1"/>
  <c r="AV10" i="21"/>
  <c r="AV16" i="21" s="1"/>
  <c r="Q10" i="21"/>
  <c r="Q16" i="21" s="1"/>
  <c r="Y10" i="21"/>
  <c r="Y16" i="21" s="1"/>
  <c r="AG10" i="21"/>
  <c r="AG16" i="21" s="1"/>
  <c r="AO10" i="21"/>
  <c r="AO16" i="21" s="1"/>
  <c r="AW10" i="21"/>
  <c r="AW16" i="21" s="1"/>
  <c r="R10" i="21"/>
  <c r="R16" i="21" s="1"/>
  <c r="Z10" i="21"/>
  <c r="Z16" i="21" s="1"/>
  <c r="AH10" i="21"/>
  <c r="AH16" i="21" s="1"/>
  <c r="AP10" i="21"/>
  <c r="AP16" i="21" s="1"/>
  <c r="AX10" i="21"/>
  <c r="AX16" i="21" s="1"/>
  <c r="I47" i="21"/>
  <c r="F19" i="11"/>
  <c r="F20" i="21"/>
  <c r="F6" i="21"/>
  <c r="K65" i="31"/>
  <c r="K136" i="31" s="1"/>
  <c r="AJ65" i="31"/>
  <c r="AJ136" i="31" s="1"/>
  <c r="N65" i="31"/>
  <c r="N136" i="31" s="1"/>
  <c r="AL65" i="31"/>
  <c r="AL136" i="31" s="1"/>
  <c r="T65" i="31"/>
  <c r="T136" i="31" s="1"/>
  <c r="AN65" i="31"/>
  <c r="AN136" i="31" s="1"/>
  <c r="V65" i="31"/>
  <c r="V136" i="31" s="1"/>
  <c r="AO65" i="31"/>
  <c r="AO136" i="31" s="1"/>
  <c r="AF65" i="31"/>
  <c r="AF136" i="31" s="1"/>
  <c r="X65" i="31"/>
  <c r="X136" i="31" s="1"/>
  <c r="AQ65" i="31"/>
  <c r="AQ136" i="31" s="1"/>
  <c r="Y65" i="31"/>
  <c r="Y136" i="31" s="1"/>
  <c r="AU65" i="31"/>
  <c r="AU136" i="31" s="1"/>
  <c r="AD65" i="31"/>
  <c r="AD136" i="31" s="1"/>
  <c r="AI65" i="31"/>
  <c r="AI136" i="31" s="1"/>
  <c r="W65" i="31"/>
  <c r="W136" i="31" s="1"/>
  <c r="Z65" i="31"/>
  <c r="Z136" i="31" s="1"/>
  <c r="AA65" i="31"/>
  <c r="AA136" i="31" s="1"/>
  <c r="S65" i="31"/>
  <c r="S136" i="31" s="1"/>
  <c r="M65" i="31"/>
  <c r="M136" i="31" s="1"/>
  <c r="AH65" i="31"/>
  <c r="AH136" i="31" s="1"/>
  <c r="P65" i="31"/>
  <c r="P136" i="31" s="1"/>
  <c r="AT65" i="31"/>
  <c r="AT136" i="31" s="1"/>
  <c r="U65" i="31"/>
  <c r="U136" i="31" s="1"/>
  <c r="AP65" i="31"/>
  <c r="AP136" i="31" s="1"/>
  <c r="AE65" i="31"/>
  <c r="AE136" i="31" s="1"/>
  <c r="AC65" i="31"/>
  <c r="AC136" i="31" s="1"/>
  <c r="AX65" i="31"/>
  <c r="AX136" i="31" s="1"/>
  <c r="AS65" i="31"/>
  <c r="AS136" i="31" s="1"/>
  <c r="L65" i="31"/>
  <c r="L136" i="31" s="1"/>
  <c r="AK65" i="31"/>
  <c r="AK136" i="31" s="1"/>
  <c r="AW65" i="31"/>
  <c r="AW136" i="31" s="1"/>
  <c r="AM65" i="31"/>
  <c r="AM136" i="31" s="1"/>
  <c r="AR65" i="31"/>
  <c r="AR136" i="31" s="1"/>
  <c r="O65" i="31"/>
  <c r="O136" i="31" s="1"/>
  <c r="AB65" i="31"/>
  <c r="AB136" i="31" s="1"/>
  <c r="AV65" i="31"/>
  <c r="AV136" i="31" s="1"/>
  <c r="AG65" i="31"/>
  <c r="AG136" i="31" s="1"/>
  <c r="R65" i="31"/>
  <c r="R136" i="31" s="1"/>
  <c r="Q65" i="31"/>
  <c r="Q136" i="31" s="1"/>
  <c r="AT31" i="31"/>
  <c r="AT990" i="1" s="1"/>
  <c r="AR1" i="36" l="1"/>
  <c r="AR1" i="31"/>
  <c r="AS34" i="31"/>
  <c r="AS99" i="31" s="1"/>
  <c r="AR1" i="33"/>
  <c r="AR186" i="31"/>
  <c r="AR172" i="31"/>
  <c r="AR1030" i="1"/>
  <c r="AR247" i="1"/>
  <c r="AR81" i="7"/>
  <c r="AR236" i="1"/>
  <c r="AR239" i="1" s="1"/>
  <c r="AR277" i="1" s="1"/>
  <c r="AR110" i="31"/>
  <c r="AP279" i="1"/>
  <c r="AP287" i="1" s="1"/>
  <c r="AR99" i="31"/>
  <c r="AR946" i="1"/>
  <c r="AR55" i="31"/>
  <c r="AQ239" i="1"/>
  <c r="AQ277" i="1" s="1"/>
  <c r="AP261" i="1"/>
  <c r="AP286" i="1" s="1"/>
  <c r="AQ278" i="1"/>
  <c r="AQ258" i="1"/>
  <c r="K16" i="21"/>
  <c r="I16" i="21" s="1"/>
  <c r="I10" i="21"/>
  <c r="Q69" i="31"/>
  <c r="AW69" i="31"/>
  <c r="U69" i="31"/>
  <c r="W69" i="31"/>
  <c r="AO69" i="31"/>
  <c r="R69" i="31"/>
  <c r="AK69" i="31"/>
  <c r="AT69" i="31"/>
  <c r="AI69" i="31"/>
  <c r="V69" i="31"/>
  <c r="AD69" i="31"/>
  <c r="AV69" i="31"/>
  <c r="AS69" i="31"/>
  <c r="AH69" i="31"/>
  <c r="AU69" i="31"/>
  <c r="T69" i="31"/>
  <c r="L69" i="31"/>
  <c r="P69" i="31"/>
  <c r="AN69" i="31"/>
  <c r="AB69" i="31"/>
  <c r="AX69" i="31"/>
  <c r="M69" i="31"/>
  <c r="Y69" i="31"/>
  <c r="AL69" i="31"/>
  <c r="O69" i="31"/>
  <c r="AC69" i="31"/>
  <c r="S69" i="31"/>
  <c r="AQ69" i="31"/>
  <c r="N69" i="31"/>
  <c r="AR69" i="31"/>
  <c r="AE69" i="31"/>
  <c r="AA69" i="31"/>
  <c r="X69" i="31"/>
  <c r="AJ69" i="31"/>
  <c r="AG69" i="31"/>
  <c r="AM69" i="31"/>
  <c r="AP69" i="31"/>
  <c r="Z69" i="31"/>
  <c r="AF69" i="31"/>
  <c r="K69" i="31"/>
  <c r="AU31" i="31"/>
  <c r="AU990" i="1" s="1"/>
  <c r="AR240" i="1" l="1"/>
  <c r="AR278" i="1" s="1"/>
  <c r="AR279" i="1" s="1"/>
  <c r="AR287" i="1" s="1"/>
  <c r="AS1" i="33"/>
  <c r="AS1030" i="1"/>
  <c r="AS172" i="31"/>
  <c r="AS1" i="36"/>
  <c r="AS55" i="31"/>
  <c r="AS186" i="31"/>
  <c r="AS236" i="1"/>
  <c r="AS239" i="1" s="1"/>
  <c r="AS277" i="1" s="1"/>
  <c r="AS115" i="31"/>
  <c r="AT34" i="31"/>
  <c r="AT81" i="7" s="1"/>
  <c r="AS247" i="1"/>
  <c r="AS110" i="31"/>
  <c r="AS81" i="7"/>
  <c r="AS1" i="31"/>
  <c r="AS946" i="1"/>
  <c r="AQ279" i="1"/>
  <c r="AQ287" i="1" s="1"/>
  <c r="AQ261" i="1"/>
  <c r="AQ286" i="1" s="1"/>
  <c r="AV31" i="31"/>
  <c r="AV990" i="1" s="1"/>
  <c r="AT172" i="31" l="1"/>
  <c r="AR258" i="1"/>
  <c r="AR261" i="1" s="1"/>
  <c r="AR286" i="1" s="1"/>
  <c r="AS240" i="1"/>
  <c r="AS278" i="1" s="1"/>
  <c r="AS279" i="1" s="1"/>
  <c r="AS287" i="1" s="1"/>
  <c r="AT99" i="31"/>
  <c r="AT1" i="36"/>
  <c r="AT55" i="31"/>
  <c r="AT236" i="1"/>
  <c r="AT239" i="1" s="1"/>
  <c r="AT277" i="1" s="1"/>
  <c r="AT115" i="31"/>
  <c r="AU34" i="31"/>
  <c r="AU110" i="31" s="1"/>
  <c r="AT247" i="1"/>
  <c r="AT110" i="31"/>
  <c r="AT946" i="1"/>
  <c r="AT1" i="31"/>
  <c r="AT1" i="33"/>
  <c r="AT1030" i="1"/>
  <c r="AT186" i="31"/>
  <c r="AW31" i="31"/>
  <c r="AW990" i="1" s="1"/>
  <c r="AU1030" i="1" l="1"/>
  <c r="AU115" i="31"/>
  <c r="AU81" i="7"/>
  <c r="AT240" i="1"/>
  <c r="AT258" i="1" s="1"/>
  <c r="AU247" i="1"/>
  <c r="AU1" i="33"/>
  <c r="AS258" i="1"/>
  <c r="AS261" i="1" s="1"/>
  <c r="AS286" i="1" s="1"/>
  <c r="AU172" i="31"/>
  <c r="AV34" i="31"/>
  <c r="AV55" i="31" s="1"/>
  <c r="AU1" i="36"/>
  <c r="AU99" i="31"/>
  <c r="AU1" i="31"/>
  <c r="AU946" i="1"/>
  <c r="AU55" i="31"/>
  <c r="AU186" i="31"/>
  <c r="AU236" i="1"/>
  <c r="AU239" i="1" s="1"/>
  <c r="AU277" i="1" s="1"/>
  <c r="AX31" i="31"/>
  <c r="AX990" i="1" s="1"/>
  <c r="AW34" i="31" l="1"/>
  <c r="AW1030" i="1" s="1"/>
  <c r="AT278" i="1"/>
  <c r="AT279" i="1" s="1"/>
  <c r="AT287" i="1" s="1"/>
  <c r="AV110" i="31"/>
  <c r="AV115" i="31"/>
  <c r="AV247" i="1"/>
  <c r="AV236" i="1"/>
  <c r="AV240" i="1" s="1"/>
  <c r="AV1" i="33"/>
  <c r="AV186" i="31"/>
  <c r="AV172" i="31"/>
  <c r="AV1" i="36"/>
  <c r="AV1030" i="1"/>
  <c r="AV1" i="31"/>
  <c r="AV81" i="7"/>
  <c r="AV99" i="31"/>
  <c r="AV946" i="1"/>
  <c r="AU240" i="1"/>
  <c r="AU278" i="1" s="1"/>
  <c r="AU279" i="1" s="1"/>
  <c r="AU287" i="1" s="1"/>
  <c r="AT261" i="1"/>
  <c r="AT286" i="1" s="1"/>
  <c r="AW946" i="1" l="1"/>
  <c r="AW81" i="7"/>
  <c r="AW1" i="31"/>
  <c r="AW1" i="36"/>
  <c r="AW55" i="31"/>
  <c r="AW1" i="33"/>
  <c r="AW186" i="31"/>
  <c r="AX34" i="31"/>
  <c r="AX81" i="7" s="1"/>
  <c r="AW236" i="1"/>
  <c r="AW240" i="1" s="1"/>
  <c r="AW115" i="31"/>
  <c r="AW110" i="31"/>
  <c r="AW172" i="31"/>
  <c r="AW247" i="1"/>
  <c r="AW99" i="31"/>
  <c r="AV239" i="1"/>
  <c r="AV277" i="1" s="1"/>
  <c r="AU258" i="1"/>
  <c r="AU261" i="1" s="1"/>
  <c r="AU286" i="1" s="1"/>
  <c r="AV278" i="1"/>
  <c r="AV258" i="1"/>
  <c r="AX946" i="1" l="1"/>
  <c r="AX236" i="1"/>
  <c r="AX240" i="1" s="1"/>
  <c r="AX186" i="31"/>
  <c r="AX1" i="31"/>
  <c r="AX172" i="31"/>
  <c r="AX99" i="31"/>
  <c r="AX1" i="33"/>
  <c r="AX247" i="1"/>
  <c r="AX115" i="31"/>
  <c r="AX110" i="31"/>
  <c r="AX1" i="36"/>
  <c r="AX1030" i="1"/>
  <c r="AW239" i="1"/>
  <c r="AW277" i="1" s="1"/>
  <c r="AX55" i="31"/>
  <c r="AV279" i="1"/>
  <c r="AV287" i="1" s="1"/>
  <c r="AV261" i="1"/>
  <c r="AV286" i="1" s="1"/>
  <c r="AW278" i="1"/>
  <c r="AW258" i="1"/>
  <c r="AX239" i="1" l="1"/>
  <c r="I239" i="1" s="1"/>
  <c r="I277" i="1" s="1"/>
  <c r="AW279" i="1"/>
  <c r="AW287" i="1" s="1"/>
  <c r="AW261" i="1"/>
  <c r="AW286" i="1" s="1"/>
  <c r="AX278" i="1"/>
  <c r="AX258" i="1"/>
  <c r="A1" i="13"/>
  <c r="C9" i="24" s="1"/>
  <c r="AX277" i="1" l="1"/>
  <c r="AX279" i="1" s="1"/>
  <c r="AX287" i="1" s="1"/>
  <c r="AX261" i="1"/>
  <c r="AX286" i="1" s="1"/>
  <c r="T174" i="5"/>
  <c r="T173" i="5"/>
  <c r="Y171" i="5"/>
  <c r="X171" i="5"/>
  <c r="W171" i="5"/>
  <c r="V171" i="5"/>
  <c r="U171" i="5"/>
  <c r="I45" i="21" l="1"/>
  <c r="F30" i="21"/>
  <c r="F26" i="21"/>
  <c r="F31" i="21"/>
  <c r="F29" i="21"/>
  <c r="F27" i="21"/>
  <c r="F28" i="21"/>
  <c r="S171" i="5"/>
  <c r="B161" i="5"/>
  <c r="B98" i="5"/>
  <c r="T148" i="5"/>
  <c r="U148" i="5" s="1"/>
  <c r="V148" i="5" s="1"/>
  <c r="W148" i="5" s="1"/>
  <c r="X148" i="5" s="1"/>
  <c r="Y148" i="5" s="1"/>
  <c r="Z148" i="5" s="1"/>
  <c r="AA148" i="5" s="1"/>
  <c r="AB148" i="5" s="1"/>
  <c r="AC148" i="5" s="1"/>
  <c r="AD148" i="5" s="1"/>
  <c r="AE148" i="5" s="1"/>
  <c r="AF148" i="5" s="1"/>
  <c r="AG148" i="5" s="1"/>
  <c r="AH148" i="5" s="1"/>
  <c r="AI148" i="5" s="1"/>
  <c r="AJ148" i="5" s="1"/>
  <c r="AK148" i="5" s="1"/>
  <c r="AL148" i="5" s="1"/>
  <c r="AM148" i="5" s="1"/>
  <c r="AM155" i="5" s="1"/>
  <c r="F32" i="21" l="1"/>
  <c r="U155" i="5"/>
  <c r="AH155" i="5"/>
  <c r="V155" i="5"/>
  <c r="AL155" i="5"/>
  <c r="Z155" i="5"/>
  <c r="T155" i="5"/>
  <c r="AD155" i="5"/>
  <c r="W155" i="5"/>
  <c r="AA155" i="5"/>
  <c r="AE155" i="5"/>
  <c r="AI155" i="5"/>
  <c r="X155" i="5"/>
  <c r="AB155" i="5"/>
  <c r="AF155" i="5"/>
  <c r="AJ155" i="5"/>
  <c r="Y155" i="5"/>
  <c r="AC155" i="5"/>
  <c r="AG155" i="5"/>
  <c r="AK155" i="5"/>
  <c r="I791" i="1" l="1"/>
  <c r="T63" i="5" l="1"/>
  <c r="J122" i="7" l="1"/>
  <c r="I122" i="7"/>
  <c r="H122" i="7"/>
  <c r="F122" i="7"/>
  <c r="A1" i="12"/>
  <c r="A1" i="11"/>
  <c r="A1" i="7"/>
  <c r="A1" i="6"/>
  <c r="J282" i="12"/>
  <c r="I282" i="12"/>
  <c r="H282" i="12"/>
  <c r="F282" i="12"/>
  <c r="J272" i="12"/>
  <c r="I272" i="12"/>
  <c r="H272" i="12"/>
  <c r="F272" i="12"/>
  <c r="J268" i="12"/>
  <c r="I268" i="12"/>
  <c r="F268" i="12"/>
  <c r="J267" i="12"/>
  <c r="I267" i="12"/>
  <c r="F267" i="12"/>
  <c r="H232" i="12"/>
  <c r="H231" i="12"/>
  <c r="H230" i="12"/>
  <c r="H267" i="12" s="1"/>
  <c r="J227" i="12"/>
  <c r="H227" i="12"/>
  <c r="F227" i="12"/>
  <c r="J182" i="12"/>
  <c r="I182" i="12"/>
  <c r="H182" i="12"/>
  <c r="F182" i="12"/>
  <c r="J172" i="12"/>
  <c r="I172" i="12"/>
  <c r="H172" i="12"/>
  <c r="F172" i="12"/>
  <c r="J168" i="12"/>
  <c r="H168" i="12"/>
  <c r="F168" i="12"/>
  <c r="J167" i="12"/>
  <c r="H167" i="12"/>
  <c r="F167" i="12"/>
  <c r="J70" i="12"/>
  <c r="I70" i="12"/>
  <c r="H70" i="12"/>
  <c r="F70" i="12"/>
  <c r="J66" i="12"/>
  <c r="H66" i="12"/>
  <c r="F66" i="12"/>
  <c r="J41" i="12"/>
  <c r="F41" i="12"/>
  <c r="J35" i="12"/>
  <c r="H35" i="12"/>
  <c r="F35" i="12"/>
  <c r="J34" i="12"/>
  <c r="H34" i="12"/>
  <c r="F34" i="12"/>
  <c r="J33" i="12"/>
  <c r="H33" i="12"/>
  <c r="F33" i="12"/>
  <c r="J30" i="12"/>
  <c r="H30" i="12"/>
  <c r="F30" i="12"/>
  <c r="J28" i="12"/>
  <c r="H28" i="12"/>
  <c r="F28" i="12"/>
  <c r="J27" i="12"/>
  <c r="H27" i="12"/>
  <c r="F27" i="12"/>
  <c r="J26" i="12"/>
  <c r="H26" i="12"/>
  <c r="F26" i="12"/>
  <c r="J25" i="12"/>
  <c r="H25" i="12"/>
  <c r="F25" i="12"/>
  <c r="J24" i="12"/>
  <c r="H24" i="12"/>
  <c r="F24" i="12"/>
  <c r="J23" i="12"/>
  <c r="H23" i="12"/>
  <c r="F23" i="12"/>
  <c r="J21" i="12"/>
  <c r="H21" i="12"/>
  <c r="F21" i="12"/>
  <c r="J20" i="12"/>
  <c r="H20" i="12"/>
  <c r="F20" i="12"/>
  <c r="J19" i="12"/>
  <c r="H19" i="12"/>
  <c r="F19" i="12"/>
  <c r="K16" i="24" l="1"/>
  <c r="G39" i="24"/>
  <c r="G12" i="24"/>
  <c r="G31" i="24"/>
  <c r="K22" i="24"/>
  <c r="I3" i="24"/>
  <c r="F931" i="1"/>
  <c r="F923" i="1"/>
  <c r="K926" i="1" s="1"/>
  <c r="F162" i="1"/>
  <c r="F769" i="1"/>
  <c r="F344" i="1"/>
  <c r="F553" i="1"/>
  <c r="F107" i="1"/>
  <c r="F551" i="1"/>
  <c r="F554" i="1"/>
  <c r="F552" i="1"/>
  <c r="F573" i="1" l="1"/>
  <c r="F622" i="1"/>
  <c r="F575" i="1"/>
  <c r="F624" i="1"/>
  <c r="F577" i="1"/>
  <c r="F626" i="1"/>
  <c r="F623" i="1"/>
  <c r="F574" i="1"/>
  <c r="F576" i="1"/>
  <c r="F625" i="1"/>
  <c r="B106" i="11"/>
  <c r="J10" i="7" l="1"/>
  <c r="I10" i="7"/>
  <c r="H10" i="7"/>
  <c r="F10" i="7"/>
  <c r="J23" i="7"/>
  <c r="H23" i="7"/>
  <c r="F23" i="7"/>
  <c r="J22" i="7"/>
  <c r="J35" i="7" s="1"/>
  <c r="H22" i="7"/>
  <c r="H35" i="7" s="1"/>
  <c r="F22" i="7"/>
  <c r="F35" i="7" s="1"/>
  <c r="J21" i="7"/>
  <c r="H21" i="7"/>
  <c r="F21" i="7"/>
  <c r="J19" i="7"/>
  <c r="J33" i="7" s="1"/>
  <c r="H19" i="7"/>
  <c r="H33" i="7" s="1"/>
  <c r="F19" i="7"/>
  <c r="F33" i="7" s="1"/>
  <c r="J18" i="7"/>
  <c r="J32" i="7" s="1"/>
  <c r="H18" i="7"/>
  <c r="H32" i="7" s="1"/>
  <c r="F18" i="7"/>
  <c r="F32" i="7" s="1"/>
  <c r="J16" i="7"/>
  <c r="J30" i="7" s="1"/>
  <c r="H16" i="7"/>
  <c r="H30" i="7" s="1"/>
  <c r="F16" i="7"/>
  <c r="F30" i="7" s="1"/>
  <c r="J15" i="7"/>
  <c r="J29" i="7" s="1"/>
  <c r="H15" i="7"/>
  <c r="H29" i="7" s="1"/>
  <c r="F15" i="7"/>
  <c r="F29" i="7" s="1"/>
  <c r="J12" i="7"/>
  <c r="J26" i="7" s="1"/>
  <c r="H12" i="7"/>
  <c r="H26" i="7" s="1"/>
  <c r="F12" i="7"/>
  <c r="F26" i="7" s="1"/>
  <c r="J13" i="7"/>
  <c r="J27" i="7" s="1"/>
  <c r="H13" i="7"/>
  <c r="H27" i="7" s="1"/>
  <c r="F13" i="7"/>
  <c r="F27" i="7" s="1"/>
  <c r="F47" i="11"/>
  <c r="G38" i="24" l="1"/>
  <c r="G37" i="24"/>
  <c r="G36" i="24"/>
  <c r="G189" i="5"/>
  <c r="G212" i="5"/>
  <c r="G143" i="5"/>
  <c r="G167" i="5"/>
  <c r="G93" i="5"/>
  <c r="G118" i="5"/>
  <c r="G35" i="24"/>
  <c r="E3" i="24"/>
  <c r="G60" i="5"/>
  <c r="F129" i="1"/>
  <c r="F1062" i="1"/>
  <c r="F1064" i="1" s="1"/>
  <c r="T120" i="5" l="1"/>
  <c r="K1" i="21"/>
  <c r="T95" i="5"/>
  <c r="K1" i="12"/>
  <c r="K122" i="7"/>
  <c r="K10" i="7"/>
  <c r="K1" i="11"/>
  <c r="U120" i="5" l="1"/>
  <c r="L1" i="21"/>
  <c r="L1" i="12"/>
  <c r="L1" i="1"/>
  <c r="L1" i="7"/>
  <c r="L1" i="11"/>
  <c r="U95" i="5"/>
  <c r="L122" i="7"/>
  <c r="L10" i="7"/>
  <c r="K1" i="7"/>
  <c r="V120" i="5" l="1"/>
  <c r="M1" i="12"/>
  <c r="M1" i="21"/>
  <c r="M1" i="1"/>
  <c r="M1" i="7"/>
  <c r="M1" i="11"/>
  <c r="V95" i="5"/>
  <c r="M122" i="7"/>
  <c r="H233" i="12"/>
  <c r="M10" i="7"/>
  <c r="AO14" i="31"/>
  <c r="U15" i="31"/>
  <c r="AJ15" i="31"/>
  <c r="AW9" i="31"/>
  <c r="AV15" i="31"/>
  <c r="AB10" i="31"/>
  <c r="AT10" i="31"/>
  <c r="AO15" i="31"/>
  <c r="N9" i="31"/>
  <c r="AR13" i="31"/>
  <c r="R10" i="31"/>
  <c r="U12" i="31"/>
  <c r="AR10" i="31"/>
  <c r="Z15" i="31"/>
  <c r="AQ9" i="31"/>
  <c r="K10" i="31"/>
  <c r="AS14" i="31"/>
  <c r="T12" i="31"/>
  <c r="Q13" i="31"/>
  <c r="AU10" i="31"/>
  <c r="AN12" i="31"/>
  <c r="AJ13" i="31"/>
  <c r="AF11" i="31"/>
  <c r="AQ11" i="31"/>
  <c r="W14" i="31"/>
  <c r="AQ15" i="31"/>
  <c r="AQ10" i="31"/>
  <c r="AK14" i="31"/>
  <c r="AK13" i="31"/>
  <c r="AL15" i="31"/>
  <c r="X11" i="31"/>
  <c r="AB13" i="31"/>
  <c r="AR9" i="31"/>
  <c r="AS13" i="31"/>
  <c r="Z14" i="31"/>
  <c r="U13" i="31"/>
  <c r="V9" i="31"/>
  <c r="AI13" i="31"/>
  <c r="AX10" i="31"/>
  <c r="P10" i="31"/>
  <c r="Z12" i="31"/>
  <c r="Y10" i="31"/>
  <c r="O13" i="31"/>
  <c r="L11" i="31"/>
  <c r="AP14" i="31"/>
  <c r="AM11" i="31"/>
  <c r="AN9" i="31"/>
  <c r="AU11" i="31"/>
  <c r="Y14" i="31"/>
  <c r="AL14" i="31"/>
  <c r="AV9" i="31"/>
  <c r="M9" i="31"/>
  <c r="N13" i="31"/>
  <c r="P14" i="31"/>
  <c r="O14" i="31"/>
  <c r="Z11" i="31"/>
  <c r="AT11" i="31"/>
  <c r="O10" i="31"/>
  <c r="AN14" i="31"/>
  <c r="AH12" i="31"/>
  <c r="W10" i="31"/>
  <c r="R15" i="31"/>
  <c r="AN10" i="31"/>
  <c r="T15" i="31"/>
  <c r="X10" i="31"/>
  <c r="AR12" i="31"/>
  <c r="AV11" i="31"/>
  <c r="AA12" i="31"/>
  <c r="AT13" i="31"/>
  <c r="U11" i="31"/>
  <c r="AW10" i="31"/>
  <c r="AF9" i="31"/>
  <c r="AK9" i="31"/>
  <c r="L10" i="31"/>
  <c r="AC9" i="31"/>
  <c r="V11" i="31"/>
  <c r="K9" i="31"/>
  <c r="S15" i="31"/>
  <c r="W15" i="31"/>
  <c r="AT15" i="31"/>
  <c r="AK15" i="31"/>
  <c r="AQ13" i="31"/>
  <c r="V10" i="31"/>
  <c r="AF15" i="31"/>
  <c r="AH13" i="31"/>
  <c r="AP10" i="31"/>
  <c r="AA10" i="31"/>
  <c r="AV13" i="31"/>
  <c r="AX14" i="31"/>
  <c r="AE13" i="31"/>
  <c r="AN11" i="31"/>
  <c r="AF10" i="31"/>
  <c r="AD13" i="31"/>
  <c r="T11" i="31"/>
  <c r="AG15" i="31"/>
  <c r="S9" i="31"/>
  <c r="AI12" i="31"/>
  <c r="AE12" i="31"/>
  <c r="S10" i="31"/>
  <c r="M15" i="31"/>
  <c r="AO10" i="31"/>
  <c r="K12" i="31"/>
  <c r="Q9" i="31"/>
  <c r="AK11" i="31"/>
  <c r="K15" i="31"/>
  <c r="AM12" i="31"/>
  <c r="AO12" i="31"/>
  <c r="AA9" i="31"/>
  <c r="X15" i="31"/>
  <c r="AL12" i="31"/>
  <c r="AC15" i="31"/>
  <c r="AD12" i="31"/>
  <c r="AU15" i="31"/>
  <c r="AT14" i="31"/>
  <c r="Z10" i="31"/>
  <c r="L14" i="31"/>
  <c r="P12" i="31"/>
  <c r="S12" i="31"/>
  <c r="AO11" i="31"/>
  <c r="X12" i="31"/>
  <c r="K14" i="31"/>
  <c r="AO9" i="31"/>
  <c r="AT9" i="31"/>
  <c r="AA13" i="31"/>
  <c r="AP11" i="31"/>
  <c r="AB14" i="31"/>
  <c r="AD11" i="31"/>
  <c r="L13" i="31"/>
  <c r="T14" i="31"/>
  <c r="AL9" i="31"/>
  <c r="AU9" i="31"/>
  <c r="Y15" i="31"/>
  <c r="AB12" i="31"/>
  <c r="L15" i="31"/>
  <c r="O12" i="31"/>
  <c r="M14" i="31"/>
  <c r="AC13" i="31"/>
  <c r="U10" i="31"/>
  <c r="P15" i="31"/>
  <c r="AN15" i="31"/>
  <c r="AR15" i="31"/>
  <c r="AX11" i="31"/>
  <c r="AN13" i="31"/>
  <c r="P13" i="31"/>
  <c r="AB9" i="31"/>
  <c r="AV14" i="31"/>
  <c r="X14" i="31"/>
  <c r="AD15" i="31"/>
  <c r="AK10" i="31"/>
  <c r="R13" i="31"/>
  <c r="Y12" i="31"/>
  <c r="AS9" i="31"/>
  <c r="AH15" i="31"/>
  <c r="O15" i="31"/>
  <c r="N11" i="31"/>
  <c r="O11" i="31"/>
  <c r="X13" i="31"/>
  <c r="AC12" i="31"/>
  <c r="K11" i="31"/>
  <c r="R14" i="31"/>
  <c r="U14" i="31"/>
  <c r="P11" i="31"/>
  <c r="Y11" i="31"/>
  <c r="V14" i="31"/>
  <c r="X9" i="31"/>
  <c r="M12" i="31"/>
  <c r="AE11" i="31"/>
  <c r="AM14" i="31"/>
  <c r="AW14" i="31"/>
  <c r="Q15" i="31"/>
  <c r="AX9" i="31"/>
  <c r="AF14" i="31"/>
  <c r="AJ14" i="31"/>
  <c r="AS11" i="31"/>
  <c r="AL11" i="31"/>
  <c r="AP15" i="31"/>
  <c r="L12" i="31"/>
  <c r="AC11" i="31"/>
  <c r="AM15" i="31"/>
  <c r="AP9" i="31"/>
  <c r="AT12" i="31"/>
  <c r="AG9" i="31"/>
  <c r="R12" i="31"/>
  <c r="AR11" i="31"/>
  <c r="AG14" i="31"/>
  <c r="AJ10" i="31"/>
  <c r="AH9" i="31"/>
  <c r="M13" i="31"/>
  <c r="AM10" i="31"/>
  <c r="W11" i="31"/>
  <c r="AI10" i="31"/>
  <c r="Z9" i="31"/>
  <c r="V15" i="31"/>
  <c r="AC10" i="31"/>
  <c r="R9" i="31"/>
  <c r="AL13" i="31"/>
  <c r="AO13" i="31"/>
  <c r="AU14" i="31"/>
  <c r="AG11" i="31"/>
  <c r="AS10" i="31"/>
  <c r="AD9" i="31"/>
  <c r="AH14" i="31"/>
  <c r="AA14" i="31"/>
  <c r="AW12" i="31"/>
  <c r="N10" i="31"/>
  <c r="AB11" i="31"/>
  <c r="U9" i="31"/>
  <c r="AI15" i="31"/>
  <c r="AL10" i="31"/>
  <c r="S13" i="31"/>
  <c r="K13" i="31"/>
  <c r="Y9" i="31"/>
  <c r="AW11" i="31"/>
  <c r="AF12" i="31"/>
  <c r="Z13" i="31"/>
  <c r="AM13" i="31"/>
  <c r="AQ14" i="31"/>
  <c r="AG10" i="31"/>
  <c r="AS12" i="31"/>
  <c r="AW15" i="31"/>
  <c r="AJ12" i="31"/>
  <c r="AA15" i="31"/>
  <c r="L9" i="31"/>
  <c r="Q11" i="31"/>
  <c r="T13" i="31"/>
  <c r="AV10" i="31"/>
  <c r="AJ9" i="31"/>
  <c r="AI11" i="31"/>
  <c r="AH10" i="31"/>
  <c r="AV12" i="31"/>
  <c r="AH11" i="31"/>
  <c r="AX13" i="31"/>
  <c r="P9" i="31"/>
  <c r="R11" i="31"/>
  <c r="AA11" i="31"/>
  <c r="AI14" i="31"/>
  <c r="W13" i="31"/>
  <c r="T9" i="31"/>
  <c r="S14" i="31"/>
  <c r="AP13" i="31"/>
  <c r="S11" i="31"/>
  <c r="AG13" i="31"/>
  <c r="AD10" i="31"/>
  <c r="V12" i="31"/>
  <c r="AU12" i="31"/>
  <c r="Q14" i="31"/>
  <c r="N14" i="31"/>
  <c r="AI9" i="31"/>
  <c r="AR14" i="31"/>
  <c r="AQ12" i="31"/>
  <c r="W9" i="31"/>
  <c r="AW13" i="31"/>
  <c r="M10" i="31"/>
  <c r="T10" i="31"/>
  <c r="AF13" i="31"/>
  <c r="AE14" i="31"/>
  <c r="AB15" i="31"/>
  <c r="AP12" i="31"/>
  <c r="N12" i="31"/>
  <c r="AD14" i="31"/>
  <c r="AK12" i="31"/>
  <c r="AS15" i="31"/>
  <c r="N15" i="31"/>
  <c r="AM9" i="31"/>
  <c r="Y13" i="31"/>
  <c r="W12" i="31"/>
  <c r="V13" i="31"/>
  <c r="AE10" i="31"/>
  <c r="AE15" i="31"/>
  <c r="AG12" i="31"/>
  <c r="O9" i="31"/>
  <c r="Q12" i="31"/>
  <c r="AE9" i="31"/>
  <c r="M11" i="31"/>
  <c r="AU13" i="31"/>
  <c r="Q10" i="31"/>
  <c r="AX15" i="31"/>
  <c r="AJ11" i="31"/>
  <c r="AC14" i="31"/>
  <c r="AX12" i="31"/>
  <c r="Q49" i="31" l="1"/>
  <c r="Q75" i="31" s="1"/>
  <c r="Q142" i="31" s="1"/>
  <c r="AW49" i="31"/>
  <c r="AW75" i="31" s="1"/>
  <c r="AW142" i="31" s="1"/>
  <c r="AN49" i="31"/>
  <c r="AN75" i="31" s="1"/>
  <c r="AN142" i="31" s="1"/>
  <c r="AG53" i="31"/>
  <c r="AT20" i="31"/>
  <c r="AT47" i="31" s="1"/>
  <c r="AT46" i="31"/>
  <c r="AT129" i="31" s="1"/>
  <c r="AN46" i="31"/>
  <c r="AN129" i="31" s="1"/>
  <c r="AN20" i="31"/>
  <c r="AN47" i="31" s="1"/>
  <c r="AN130" i="31" s="1"/>
  <c r="AQ53" i="31"/>
  <c r="AH52" i="31"/>
  <c r="AH78" i="31" s="1"/>
  <c r="AH145" i="31" s="1"/>
  <c r="O48" i="31"/>
  <c r="O71" i="31" s="1"/>
  <c r="O139" i="31" s="1"/>
  <c r="AJ50" i="31"/>
  <c r="AJ187" i="31" s="1"/>
  <c r="P52" i="31"/>
  <c r="P78" i="31" s="1"/>
  <c r="P145" i="31" s="1"/>
  <c r="K53" i="31"/>
  <c r="I15" i="31"/>
  <c r="AX48" i="31"/>
  <c r="AX71" i="31" s="1"/>
  <c r="AX139" i="31" s="1"/>
  <c r="AW50" i="31"/>
  <c r="Y49" i="31"/>
  <c r="Y75" i="31" s="1"/>
  <c r="Y142" i="31" s="1"/>
  <c r="AD48" i="31"/>
  <c r="AD71" i="31" s="1"/>
  <c r="AD139" i="31" s="1"/>
  <c r="AL20" i="31"/>
  <c r="AL47" i="31" s="1"/>
  <c r="AL46" i="31"/>
  <c r="AL129" i="31" s="1"/>
  <c r="AA53" i="31"/>
  <c r="Y53" i="31"/>
  <c r="Y95" i="31" s="1"/>
  <c r="AK52" i="31"/>
  <c r="AK78" i="31" s="1"/>
  <c r="AK145" i="31" s="1"/>
  <c r="U51" i="31"/>
  <c r="U77" i="31" s="1"/>
  <c r="U144" i="31" s="1"/>
  <c r="AS50" i="31"/>
  <c r="R53" i="31"/>
  <c r="AT52" i="31"/>
  <c r="AT78" i="31" s="1"/>
  <c r="AT145" i="31" s="1"/>
  <c r="T52" i="31"/>
  <c r="T78" i="31" s="1"/>
  <c r="T145" i="31" s="1"/>
  <c r="AC46" i="31"/>
  <c r="AC129" i="31" s="1"/>
  <c r="AC20" i="31"/>
  <c r="AC47" i="31" s="1"/>
  <c r="X51" i="31"/>
  <c r="X77" i="31" s="1"/>
  <c r="X144" i="31" s="1"/>
  <c r="AK50" i="31"/>
  <c r="AD46" i="31"/>
  <c r="AD129" i="31" s="1"/>
  <c r="AD20" i="31"/>
  <c r="AD47" i="31" s="1"/>
  <c r="AD130" i="31" s="1"/>
  <c r="V50" i="31"/>
  <c r="AE20" i="31"/>
  <c r="AE47" i="31" s="1"/>
  <c r="AE46" i="31"/>
  <c r="AE129" i="31" s="1"/>
  <c r="AO48" i="31"/>
  <c r="AO71" i="31" s="1"/>
  <c r="AO139" i="31" s="1"/>
  <c r="P51" i="31"/>
  <c r="P77" i="31" s="1"/>
  <c r="P144" i="31" s="1"/>
  <c r="Y46" i="31"/>
  <c r="Y129" i="31" s="1"/>
  <c r="Y20" i="31"/>
  <c r="Y47" i="31" s="1"/>
  <c r="Y130" i="31" s="1"/>
  <c r="N50" i="31"/>
  <c r="N76" i="31" s="1"/>
  <c r="N143" i="31" s="1"/>
  <c r="L51" i="31"/>
  <c r="L77" i="31" s="1"/>
  <c r="L144" i="31" s="1"/>
  <c r="AD50" i="31"/>
  <c r="AD187" i="31" s="1"/>
  <c r="I13" i="31"/>
  <c r="K51" i="31"/>
  <c r="K77" i="31" s="1"/>
  <c r="K144" i="31" s="1"/>
  <c r="U49" i="31"/>
  <c r="U75" i="31" s="1"/>
  <c r="U142" i="31" s="1"/>
  <c r="AX50" i="31"/>
  <c r="AG50" i="31"/>
  <c r="AC48" i="31"/>
  <c r="AC71" i="31" s="1"/>
  <c r="AC139" i="31" s="1"/>
  <c r="AA46" i="31"/>
  <c r="AA129" i="31" s="1"/>
  <c r="AA20" i="31"/>
  <c r="AA47" i="31" s="1"/>
  <c r="AA68" i="31" s="1"/>
  <c r="AA70" i="31" s="1"/>
  <c r="AA138" i="31" s="1"/>
  <c r="AO53" i="31"/>
  <c r="Y51" i="31"/>
  <c r="Y77" i="31" s="1"/>
  <c r="Y144" i="31" s="1"/>
  <c r="T51" i="31"/>
  <c r="T77" i="31" s="1"/>
  <c r="T144" i="31" s="1"/>
  <c r="L49" i="31"/>
  <c r="L75" i="31" s="1"/>
  <c r="L142" i="31" s="1"/>
  <c r="AT51" i="31"/>
  <c r="AT77" i="31" s="1"/>
  <c r="AT144" i="31" s="1"/>
  <c r="AR48" i="31"/>
  <c r="AR71" i="31" s="1"/>
  <c r="AR139" i="31" s="1"/>
  <c r="N51" i="31"/>
  <c r="N77" i="31" s="1"/>
  <c r="N144" i="31" s="1"/>
  <c r="AM52" i="31"/>
  <c r="AM78" i="31" s="1"/>
  <c r="AM145" i="31" s="1"/>
  <c r="Z51" i="31"/>
  <c r="Z77" i="31" s="1"/>
  <c r="Z144" i="31" s="1"/>
  <c r="S50" i="31"/>
  <c r="S187" i="31" s="1"/>
  <c r="I11" i="31"/>
  <c r="K49" i="31"/>
  <c r="K75" i="31" s="1"/>
  <c r="K142" i="31" s="1"/>
  <c r="S48" i="31"/>
  <c r="S71" i="31" s="1"/>
  <c r="S139" i="31" s="1"/>
  <c r="N52" i="31"/>
  <c r="N78" i="31" s="1"/>
  <c r="N145" i="31" s="1"/>
  <c r="AR49" i="31"/>
  <c r="AR75" i="31" s="1"/>
  <c r="AR142" i="31" s="1"/>
  <c r="AF49" i="31"/>
  <c r="AF75" i="31" s="1"/>
  <c r="AF142" i="31" s="1"/>
  <c r="M51" i="31"/>
  <c r="M77" i="31" s="1"/>
  <c r="M144" i="31" s="1"/>
  <c r="T48" i="31"/>
  <c r="T71" i="31" s="1"/>
  <c r="T139" i="31" s="1"/>
  <c r="Q51" i="31"/>
  <c r="Q77" i="31" s="1"/>
  <c r="Q144" i="31" s="1"/>
  <c r="S53" i="31"/>
  <c r="S95" i="31" s="1"/>
  <c r="AM50" i="31"/>
  <c r="AM187" i="31" s="1"/>
  <c r="N46" i="31"/>
  <c r="N129" i="31" s="1"/>
  <c r="N20" i="31"/>
  <c r="N47" i="31" s="1"/>
  <c r="AR52" i="31"/>
  <c r="AR78" i="31" s="1"/>
  <c r="AR145" i="31" s="1"/>
  <c r="M49" i="31"/>
  <c r="M75" i="31" s="1"/>
  <c r="M142" i="31" s="1"/>
  <c r="AO50" i="31"/>
  <c r="AO187" i="31" s="1"/>
  <c r="W52" i="31"/>
  <c r="W78" i="31" s="1"/>
  <c r="W145" i="31" s="1"/>
  <c r="W49" i="31"/>
  <c r="W75" i="31" s="1"/>
  <c r="W142" i="31" s="1"/>
  <c r="AG20" i="31"/>
  <c r="AG47" i="31" s="1"/>
  <c r="AG68" i="31" s="1"/>
  <c r="AG70" i="31" s="1"/>
  <c r="AG138" i="31" s="1"/>
  <c r="AG46" i="31"/>
  <c r="AG129" i="31" s="1"/>
  <c r="AV52" i="31"/>
  <c r="AV78" i="31" s="1"/>
  <c r="AV145" i="31" s="1"/>
  <c r="AF53" i="31"/>
  <c r="AJ51" i="31"/>
  <c r="AJ77" i="31" s="1"/>
  <c r="AJ144" i="31" s="1"/>
  <c r="AA50" i="31"/>
  <c r="AA76" i="31" s="1"/>
  <c r="AA143" i="31" s="1"/>
  <c r="AK53" i="31"/>
  <c r="AK95" i="31" s="1"/>
  <c r="O49" i="31"/>
  <c r="O75" i="31" s="1"/>
  <c r="O142" i="31" s="1"/>
  <c r="R48" i="31"/>
  <c r="R71" i="31" s="1"/>
  <c r="R139" i="31" s="1"/>
  <c r="X20" i="31"/>
  <c r="X47" i="31" s="1"/>
  <c r="X130" i="31" s="1"/>
  <c r="X46" i="31"/>
  <c r="X129" i="31" s="1"/>
  <c r="AV50" i="31"/>
  <c r="AV76" i="31" s="1"/>
  <c r="AV143" i="31" s="1"/>
  <c r="AC49" i="31"/>
  <c r="AC75" i="31" s="1"/>
  <c r="AC142" i="31" s="1"/>
  <c r="AH49" i="31"/>
  <c r="AH75" i="31" s="1"/>
  <c r="AH142" i="31" s="1"/>
  <c r="AU46" i="31"/>
  <c r="AU129" i="31" s="1"/>
  <c r="AU20" i="31"/>
  <c r="AU47" i="31" s="1"/>
  <c r="AU130" i="31" s="1"/>
  <c r="AR20" i="31"/>
  <c r="AR47" i="31" s="1"/>
  <c r="AR130" i="31" s="1"/>
  <c r="AR46" i="31"/>
  <c r="AR129" i="31" s="1"/>
  <c r="AJ49" i="31"/>
  <c r="AJ75" i="31" s="1"/>
  <c r="AJ142" i="31" s="1"/>
  <c r="AE51" i="31"/>
  <c r="AE77" i="31" s="1"/>
  <c r="AE144" i="31" s="1"/>
  <c r="AH48" i="31"/>
  <c r="AH71" i="31" s="1"/>
  <c r="AH139" i="31" s="1"/>
  <c r="K20" i="31"/>
  <c r="K47" i="31" s="1"/>
  <c r="K130" i="31" s="1"/>
  <c r="K46" i="31"/>
  <c r="K129" i="31" s="1"/>
  <c r="AP20" i="31"/>
  <c r="AP47" i="31" s="1"/>
  <c r="AP46" i="31"/>
  <c r="AP129" i="31" s="1"/>
  <c r="AP49" i="31"/>
  <c r="AP75" i="31" s="1"/>
  <c r="AP142" i="31" s="1"/>
  <c r="AB53" i="31"/>
  <c r="AT49" i="31"/>
  <c r="AT75" i="31" s="1"/>
  <c r="AT142" i="31" s="1"/>
  <c r="P50" i="31"/>
  <c r="P76" i="31" s="1"/>
  <c r="P143" i="31" s="1"/>
  <c r="AH51" i="31"/>
  <c r="AH77" i="31" s="1"/>
  <c r="AH144" i="31" s="1"/>
  <c r="AN48" i="31"/>
  <c r="AN71" i="31" s="1"/>
  <c r="AN139" i="31" s="1"/>
  <c r="AR51" i="31"/>
  <c r="AR77" i="31" s="1"/>
  <c r="AR144" i="31" s="1"/>
  <c r="P48" i="31"/>
  <c r="P71" i="31" s="1"/>
  <c r="P139" i="31" s="1"/>
  <c r="AU49" i="31"/>
  <c r="AU75" i="31" s="1"/>
  <c r="AU142" i="31" s="1"/>
  <c r="U53" i="31"/>
  <c r="U111" i="31" s="1"/>
  <c r="AF20" i="31"/>
  <c r="AF47" i="31" s="1"/>
  <c r="AF68" i="31" s="1"/>
  <c r="AF70" i="31" s="1"/>
  <c r="AF138" i="31" s="1"/>
  <c r="AF46" i="31"/>
  <c r="AF129" i="31" s="1"/>
  <c r="Z48" i="31"/>
  <c r="Z71" i="31" s="1"/>
  <c r="Z139" i="31" s="1"/>
  <c r="AG52" i="31"/>
  <c r="AG78" i="31" s="1"/>
  <c r="AG145" i="31" s="1"/>
  <c r="L50" i="31"/>
  <c r="AV53" i="31"/>
  <c r="AV79" i="31" s="1"/>
  <c r="AV146" i="31" s="1"/>
  <c r="P46" i="31"/>
  <c r="P129" i="31" s="1"/>
  <c r="P20" i="31"/>
  <c r="P47" i="31" s="1"/>
  <c r="P130" i="31" s="1"/>
  <c r="AR53" i="31"/>
  <c r="K52" i="31"/>
  <c r="K78" i="31" s="1"/>
  <c r="K145" i="31" s="1"/>
  <c r="I14" i="31"/>
  <c r="AW20" i="31"/>
  <c r="AW47" i="31" s="1"/>
  <c r="AW46" i="31"/>
  <c r="AW129" i="31" s="1"/>
  <c r="V52" i="31"/>
  <c r="V78" i="31" s="1"/>
  <c r="V145" i="31" s="1"/>
  <c r="AP51" i="31"/>
  <c r="AP77" i="31" s="1"/>
  <c r="AP144" i="31" s="1"/>
  <c r="Q50" i="31"/>
  <c r="AF52" i="31"/>
  <c r="AF78" i="31" s="1"/>
  <c r="AF145" i="31" s="1"/>
  <c r="O53" i="31"/>
  <c r="O111" i="31" s="1"/>
  <c r="V53" i="31"/>
  <c r="V95" i="31" s="1"/>
  <c r="O46" i="31"/>
  <c r="O129" i="31" s="1"/>
  <c r="O20" i="31"/>
  <c r="O47" i="31" s="1"/>
  <c r="AP52" i="31"/>
  <c r="AP78" i="31" s="1"/>
  <c r="AP145" i="31" s="1"/>
  <c r="AG48" i="31"/>
  <c r="AG71" i="31" s="1"/>
  <c r="AG139" i="31" s="1"/>
  <c r="AH53" i="31"/>
  <c r="AH111" i="31" s="1"/>
  <c r="T49" i="31"/>
  <c r="T75" i="31" s="1"/>
  <c r="T142" i="31" s="1"/>
  <c r="Q53" i="31"/>
  <c r="Q111" i="31" s="1"/>
  <c r="S20" i="31"/>
  <c r="S47" i="31" s="1"/>
  <c r="S68" i="31" s="1"/>
  <c r="S70" i="31" s="1"/>
  <c r="S138" i="31" s="1"/>
  <c r="S46" i="31"/>
  <c r="S129" i="31" s="1"/>
  <c r="AS46" i="31"/>
  <c r="AS129" i="31" s="1"/>
  <c r="AS20" i="31"/>
  <c r="AS47" i="31" s="1"/>
  <c r="AS68" i="31" s="1"/>
  <c r="AS70" i="31" s="1"/>
  <c r="AS138" i="31" s="1"/>
  <c r="AG51" i="31"/>
  <c r="AG77" i="31" s="1"/>
  <c r="AG144" i="31" s="1"/>
  <c r="AV48" i="31"/>
  <c r="AV71" i="31" s="1"/>
  <c r="AV139" i="31" s="1"/>
  <c r="AU51" i="31"/>
  <c r="AU77" i="31" s="1"/>
  <c r="AU144" i="31" s="1"/>
  <c r="AX51" i="31"/>
  <c r="AX77" i="31" s="1"/>
  <c r="AX144" i="31" s="1"/>
  <c r="K48" i="31"/>
  <c r="K71" i="31" s="1"/>
  <c r="K139" i="31" s="1"/>
  <c r="I10" i="31"/>
  <c r="AK20" i="31"/>
  <c r="AK47" i="31" s="1"/>
  <c r="AK130" i="31" s="1"/>
  <c r="AK46" i="31"/>
  <c r="AK129" i="31" s="1"/>
  <c r="AD53" i="31"/>
  <c r="AD111" i="31" s="1"/>
  <c r="L20" i="31"/>
  <c r="L47" i="31" s="1"/>
  <c r="L68" i="31" s="1"/>
  <c r="L70" i="31" s="1"/>
  <c r="L138" i="31" s="1"/>
  <c r="L46" i="31"/>
  <c r="L129" i="31" s="1"/>
  <c r="M20" i="31"/>
  <c r="M47" i="31" s="1"/>
  <c r="M68" i="31" s="1"/>
  <c r="M70" i="31" s="1"/>
  <c r="M138" i="31" s="1"/>
  <c r="M46" i="31"/>
  <c r="M129" i="31" s="1"/>
  <c r="AW48" i="31"/>
  <c r="AW71" i="31" s="1"/>
  <c r="AW139" i="31" s="1"/>
  <c r="AE48" i="31"/>
  <c r="AE71" i="31" s="1"/>
  <c r="AE139" i="31" s="1"/>
  <c r="X50" i="31"/>
  <c r="X76" i="31" s="1"/>
  <c r="X143" i="31" s="1"/>
  <c r="AF48" i="31"/>
  <c r="AF71" i="31" s="1"/>
  <c r="AF139" i="31" s="1"/>
  <c r="AF50" i="31"/>
  <c r="AF187" i="31" s="1"/>
  <c r="W46" i="31"/>
  <c r="W129" i="31" s="1"/>
  <c r="W20" i="31"/>
  <c r="W47" i="31" s="1"/>
  <c r="W68" i="31" s="1"/>
  <c r="W70" i="31" s="1"/>
  <c r="W138" i="31" s="1"/>
  <c r="AQ51" i="31"/>
  <c r="AQ77" i="31" s="1"/>
  <c r="AQ144" i="31" s="1"/>
  <c r="AQ52" i="31"/>
  <c r="AQ78" i="31" s="1"/>
  <c r="AQ145" i="31" s="1"/>
  <c r="AE49" i="31"/>
  <c r="AE75" i="31" s="1"/>
  <c r="AE142" i="31" s="1"/>
  <c r="X53" i="31"/>
  <c r="X111" i="31" s="1"/>
  <c r="AV49" i="31"/>
  <c r="AV75" i="31" s="1"/>
  <c r="AV142" i="31" s="1"/>
  <c r="AQ49" i="31"/>
  <c r="AQ75" i="31" s="1"/>
  <c r="AQ142" i="31" s="1"/>
  <c r="AO52" i="31"/>
  <c r="AO78" i="31" s="1"/>
  <c r="AO145" i="31" s="1"/>
  <c r="AM53" i="31"/>
  <c r="AM111" i="31" s="1"/>
  <c r="U48" i="31"/>
  <c r="U71" i="31" s="1"/>
  <c r="U139" i="31" s="1"/>
  <c r="U52" i="31"/>
  <c r="U78" i="31" s="1"/>
  <c r="U145" i="31" s="1"/>
  <c r="AI48" i="31"/>
  <c r="AI71" i="31" s="1"/>
  <c r="AI139" i="31" s="1"/>
  <c r="AS53" i="31"/>
  <c r="AS79" i="31" s="1"/>
  <c r="AS146" i="31" s="1"/>
  <c r="AI53" i="31"/>
  <c r="AI111" i="31" s="1"/>
  <c r="Z50" i="31"/>
  <c r="Z187" i="31" s="1"/>
  <c r="AL52" i="31"/>
  <c r="AL78" i="31" s="1"/>
  <c r="AL145" i="31" s="1"/>
  <c r="N49" i="31"/>
  <c r="N75" i="31" s="1"/>
  <c r="N142" i="31" s="1"/>
  <c r="AW53" i="31"/>
  <c r="AW95" i="31" s="1"/>
  <c r="AX53" i="31"/>
  <c r="AP53" i="31"/>
  <c r="AP79" i="31" s="1"/>
  <c r="AP146" i="31" s="1"/>
  <c r="AJ52" i="31"/>
  <c r="AJ78" i="31" s="1"/>
  <c r="AJ145" i="31" s="1"/>
  <c r="P53" i="31"/>
  <c r="P111" i="31" s="1"/>
  <c r="Y50" i="31"/>
  <c r="U20" i="31"/>
  <c r="U47" i="31" s="1"/>
  <c r="U130" i="31" s="1"/>
  <c r="U46" i="31"/>
  <c r="U129" i="31" s="1"/>
  <c r="Y52" i="31"/>
  <c r="Y78" i="31" s="1"/>
  <c r="Y145" i="31" s="1"/>
  <c r="T53" i="31"/>
  <c r="T79" i="31" s="1"/>
  <c r="T146" i="31" s="1"/>
  <c r="S51" i="31"/>
  <c r="S77" i="31" s="1"/>
  <c r="S144" i="31" s="1"/>
  <c r="AV20" i="31"/>
  <c r="AV47" i="31" s="1"/>
  <c r="AV130" i="31" s="1"/>
  <c r="AV46" i="31"/>
  <c r="AV129" i="31" s="1"/>
  <c r="AC51" i="31"/>
  <c r="AC77" i="31" s="1"/>
  <c r="AC144" i="31" s="1"/>
  <c r="AU53" i="31"/>
  <c r="AU79" i="31" s="1"/>
  <c r="AU146" i="31" s="1"/>
  <c r="Z49" i="31"/>
  <c r="Z75" i="31" s="1"/>
  <c r="Z142" i="31" s="1"/>
  <c r="AX52" i="31"/>
  <c r="AX78" i="31" s="1"/>
  <c r="AX145" i="31" s="1"/>
  <c r="AA51" i="31"/>
  <c r="AA77" i="31" s="1"/>
  <c r="AA144" i="31" s="1"/>
  <c r="O50" i="31"/>
  <c r="O187" i="31" s="1"/>
  <c r="T20" i="31"/>
  <c r="T47" i="31" s="1"/>
  <c r="T46" i="31"/>
  <c r="T129" i="31" s="1"/>
  <c r="AN52" i="31"/>
  <c r="AN78" i="31" s="1"/>
  <c r="AN145" i="31" s="1"/>
  <c r="AL53" i="31"/>
  <c r="N53" i="31"/>
  <c r="W51" i="31"/>
  <c r="W77" i="31" s="1"/>
  <c r="W144" i="31" s="1"/>
  <c r="W48" i="31"/>
  <c r="W71" i="31" s="1"/>
  <c r="W139" i="31" s="1"/>
  <c r="AI49" i="31"/>
  <c r="AI75" i="31" s="1"/>
  <c r="AI142" i="31" s="1"/>
  <c r="AV51" i="31"/>
  <c r="AV77" i="31" s="1"/>
  <c r="AV144" i="31" s="1"/>
  <c r="AL50" i="31"/>
  <c r="AL187" i="31" s="1"/>
  <c r="AB48" i="31"/>
  <c r="AB71" i="31" s="1"/>
  <c r="AB139" i="31" s="1"/>
  <c r="Q48" i="31"/>
  <c r="Q71" i="31" s="1"/>
  <c r="Q139" i="31" s="1"/>
  <c r="M48" i="31"/>
  <c r="M71" i="31" s="1"/>
  <c r="M139" i="31" s="1"/>
  <c r="AJ20" i="31"/>
  <c r="AJ47" i="31" s="1"/>
  <c r="AJ130" i="31" s="1"/>
  <c r="AJ46" i="31"/>
  <c r="AJ129" i="31" s="1"/>
  <c r="AI51" i="31"/>
  <c r="AI77" i="31" s="1"/>
  <c r="AI144" i="31" s="1"/>
  <c r="AL51" i="31"/>
  <c r="AL77" i="31" s="1"/>
  <c r="AL144" i="31" s="1"/>
  <c r="R52" i="31"/>
  <c r="R78" i="31" s="1"/>
  <c r="R145" i="31" s="1"/>
  <c r="AH50" i="31"/>
  <c r="Y48" i="31"/>
  <c r="Y71" i="31" s="1"/>
  <c r="Y139" i="31" s="1"/>
  <c r="AU48" i="31"/>
  <c r="AU71" i="31" s="1"/>
  <c r="AU139" i="31" s="1"/>
  <c r="AI20" i="31"/>
  <c r="AI47" i="31" s="1"/>
  <c r="AI68" i="31" s="1"/>
  <c r="AI70" i="31" s="1"/>
  <c r="AI138" i="31" s="1"/>
  <c r="AI46" i="31"/>
  <c r="AI129" i="31" s="1"/>
  <c r="AH46" i="31"/>
  <c r="AH129" i="31" s="1"/>
  <c r="AH20" i="31"/>
  <c r="AH47" i="31" s="1"/>
  <c r="AH130" i="31" s="1"/>
  <c r="AL48" i="31"/>
  <c r="AL71" i="31" s="1"/>
  <c r="AL139" i="31" s="1"/>
  <c r="L53" i="31"/>
  <c r="L111" i="31" s="1"/>
  <c r="AQ50" i="31"/>
  <c r="AQ76" i="31" s="1"/>
  <c r="AQ143" i="31" s="1"/>
  <c r="AS49" i="31"/>
  <c r="AS75" i="31" s="1"/>
  <c r="AS142" i="31" s="1"/>
  <c r="AA49" i="31"/>
  <c r="AA75" i="31" s="1"/>
  <c r="AA142" i="31" s="1"/>
  <c r="AU52" i="31"/>
  <c r="AU78" i="31" s="1"/>
  <c r="AU145" i="31" s="1"/>
  <c r="O52" i="31"/>
  <c r="O78" i="31" s="1"/>
  <c r="O145" i="31" s="1"/>
  <c r="V46" i="31"/>
  <c r="V129" i="31" s="1"/>
  <c r="V20" i="31"/>
  <c r="V47" i="31" s="1"/>
  <c r="V130" i="31" s="1"/>
  <c r="AD49" i="31"/>
  <c r="AD75" i="31" s="1"/>
  <c r="AD142" i="31" s="1"/>
  <c r="AS48" i="31"/>
  <c r="AS71" i="31" s="1"/>
  <c r="AS139" i="31" s="1"/>
  <c r="AN50" i="31"/>
  <c r="AN187" i="31" s="1"/>
  <c r="AC53" i="31"/>
  <c r="AC111" i="31" s="1"/>
  <c r="AJ53" i="31"/>
  <c r="AJ95" i="31" s="1"/>
  <c r="AW52" i="31"/>
  <c r="AW78" i="31" s="1"/>
  <c r="AW145" i="31" s="1"/>
  <c r="W53" i="31"/>
  <c r="W111" i="31" s="1"/>
  <c r="V48" i="31"/>
  <c r="V71" i="31" s="1"/>
  <c r="V139" i="31" s="1"/>
  <c r="L48" i="31"/>
  <c r="L71" i="31" s="1"/>
  <c r="L139" i="31" s="1"/>
  <c r="AQ48" i="31"/>
  <c r="AQ71" i="31" s="1"/>
  <c r="AQ139" i="31" s="1"/>
  <c r="S52" i="31"/>
  <c r="S78" i="31" s="1"/>
  <c r="S145" i="31" s="1"/>
  <c r="V49" i="31"/>
  <c r="V75" i="31" s="1"/>
  <c r="V142" i="31" s="1"/>
  <c r="AC50" i="31"/>
  <c r="AC52" i="31"/>
  <c r="AC78" i="31" s="1"/>
  <c r="AC145" i="31" s="1"/>
  <c r="AN51" i="31"/>
  <c r="AN77" i="31" s="1"/>
  <c r="AN144" i="31" s="1"/>
  <c r="AT50" i="31"/>
  <c r="U50" i="31"/>
  <c r="AQ46" i="31"/>
  <c r="AQ129" i="31" s="1"/>
  <c r="AQ20" i="31"/>
  <c r="AQ47" i="31" s="1"/>
  <c r="AI52" i="31"/>
  <c r="AI78" i="31" s="1"/>
  <c r="AI145" i="31" s="1"/>
  <c r="R51" i="31"/>
  <c r="R77" i="31" s="1"/>
  <c r="R144" i="31" s="1"/>
  <c r="AA52" i="31"/>
  <c r="AA78" i="31" s="1"/>
  <c r="AA145" i="31" s="1"/>
  <c r="X48" i="31"/>
  <c r="X71" i="31" s="1"/>
  <c r="X139" i="31" s="1"/>
  <c r="AS52" i="31"/>
  <c r="AS78" i="31" s="1"/>
  <c r="AS145" i="31" s="1"/>
  <c r="AO46" i="31"/>
  <c r="AO129" i="31" s="1"/>
  <c r="AO20" i="31"/>
  <c r="AO47" i="31" s="1"/>
  <c r="AO130" i="31" s="1"/>
  <c r="AM48" i="31"/>
  <c r="AM71" i="31" s="1"/>
  <c r="AM139" i="31" s="1"/>
  <c r="AP50" i="31"/>
  <c r="M53" i="31"/>
  <c r="AD52" i="31"/>
  <c r="AD78" i="31" s="1"/>
  <c r="AD145" i="31" s="1"/>
  <c r="AT53" i="31"/>
  <c r="AT111" i="31" s="1"/>
  <c r="AI50" i="31"/>
  <c r="AX20" i="31"/>
  <c r="AX47" i="31" s="1"/>
  <c r="AX130" i="31" s="1"/>
  <c r="AX46" i="31"/>
  <c r="AX129" i="31" s="1"/>
  <c r="S49" i="31"/>
  <c r="S75" i="31" s="1"/>
  <c r="S142" i="31" s="1"/>
  <c r="Q52" i="31"/>
  <c r="Q78" i="31" s="1"/>
  <c r="Q145" i="31" s="1"/>
  <c r="AS51" i="31"/>
  <c r="AS77" i="31" s="1"/>
  <c r="AS144" i="31" s="1"/>
  <c r="AR50" i="31"/>
  <c r="V51" i="31"/>
  <c r="V77" i="31" s="1"/>
  <c r="V144" i="31" s="1"/>
  <c r="K50" i="31"/>
  <c r="I12" i="31"/>
  <c r="AE52" i="31"/>
  <c r="AE78" i="31" s="1"/>
  <c r="AE145" i="31" s="1"/>
  <c r="AN53" i="31"/>
  <c r="AN111" i="31" s="1"/>
  <c r="AL49" i="31"/>
  <c r="AL75" i="31" s="1"/>
  <c r="AL142" i="31" s="1"/>
  <c r="AD51" i="31"/>
  <c r="AD77" i="31" s="1"/>
  <c r="AD144" i="31" s="1"/>
  <c r="AK48" i="31"/>
  <c r="AK71" i="31" s="1"/>
  <c r="AK139" i="31" s="1"/>
  <c r="AO51" i="31"/>
  <c r="AO77" i="31" s="1"/>
  <c r="AO144" i="31" s="1"/>
  <c r="X49" i="31"/>
  <c r="X75" i="31" s="1"/>
  <c r="X142" i="31" s="1"/>
  <c r="AE53" i="31"/>
  <c r="AE95" i="31" s="1"/>
  <c r="AM51" i="31"/>
  <c r="AM77" i="31" s="1"/>
  <c r="AM144" i="31" s="1"/>
  <c r="AO49" i="31"/>
  <c r="AO75" i="31" s="1"/>
  <c r="AO142" i="31" s="1"/>
  <c r="X52" i="31"/>
  <c r="X78" i="31" s="1"/>
  <c r="X145" i="31" s="1"/>
  <c r="AB50" i="31"/>
  <c r="AB187" i="31" s="1"/>
  <c r="AJ48" i="31"/>
  <c r="AJ71" i="31" s="1"/>
  <c r="AJ139" i="31" s="1"/>
  <c r="M52" i="31"/>
  <c r="M78" i="31" s="1"/>
  <c r="M145" i="31" s="1"/>
  <c r="R46" i="31"/>
  <c r="R129" i="31" s="1"/>
  <c r="R20" i="31"/>
  <c r="R47" i="31" s="1"/>
  <c r="R130" i="31" s="1"/>
  <c r="AU50" i="31"/>
  <c r="AU187" i="31" s="1"/>
  <c r="AK51" i="31"/>
  <c r="AK77" i="31" s="1"/>
  <c r="AK144" i="31" s="1"/>
  <c r="AX49" i="31"/>
  <c r="AX75" i="31" s="1"/>
  <c r="AX142" i="31" s="1"/>
  <c r="AB52" i="31"/>
  <c r="AB78" i="31" s="1"/>
  <c r="AB145" i="31" s="1"/>
  <c r="AT48" i="31"/>
  <c r="AT71" i="31" s="1"/>
  <c r="AT139" i="31" s="1"/>
  <c r="AW51" i="31"/>
  <c r="AW77" i="31" s="1"/>
  <c r="AW144" i="31" s="1"/>
  <c r="AB51" i="31"/>
  <c r="AB77" i="31" s="1"/>
  <c r="AB144" i="31" s="1"/>
  <c r="N48" i="31"/>
  <c r="N71" i="31" s="1"/>
  <c r="N139" i="31" s="1"/>
  <c r="AK49" i="31"/>
  <c r="AK75" i="31" s="1"/>
  <c r="AK142" i="31" s="1"/>
  <c r="AM46" i="31"/>
  <c r="AM129" i="31" s="1"/>
  <c r="AM20" i="31"/>
  <c r="AM47" i="31" s="1"/>
  <c r="AM130" i="31" s="1"/>
  <c r="Q20" i="31"/>
  <c r="Q47" i="31" s="1"/>
  <c r="Q130" i="31" s="1"/>
  <c r="Q46" i="31"/>
  <c r="Q129" i="31" s="1"/>
  <c r="Z53" i="31"/>
  <c r="Z95" i="31" s="1"/>
  <c r="AG49" i="31"/>
  <c r="AG75" i="31" s="1"/>
  <c r="AG142" i="31" s="1"/>
  <c r="R50" i="31"/>
  <c r="R76" i="31" s="1"/>
  <c r="R143" i="31" s="1"/>
  <c r="W50" i="31"/>
  <c r="W76" i="31" s="1"/>
  <c r="W143" i="31" s="1"/>
  <c r="Z52" i="31"/>
  <c r="Z78" i="31" s="1"/>
  <c r="Z145" i="31" s="1"/>
  <c r="AP48" i="31"/>
  <c r="AP71" i="31" s="1"/>
  <c r="AP139" i="31" s="1"/>
  <c r="AA48" i="31"/>
  <c r="AA71" i="31" s="1"/>
  <c r="AA139" i="31" s="1"/>
  <c r="Z20" i="31"/>
  <c r="Z47" i="31" s="1"/>
  <c r="Z130" i="31" s="1"/>
  <c r="Z46" i="31"/>
  <c r="Z129" i="31" s="1"/>
  <c r="AB49" i="31"/>
  <c r="AB75" i="31" s="1"/>
  <c r="AB142" i="31" s="1"/>
  <c r="AE50" i="31"/>
  <c r="AE187" i="31" s="1"/>
  <c r="L52" i="31"/>
  <c r="L78" i="31" s="1"/>
  <c r="L145" i="31" s="1"/>
  <c r="R49" i="31"/>
  <c r="R75" i="31" s="1"/>
  <c r="R142" i="31" s="1"/>
  <c r="T50" i="31"/>
  <c r="T187" i="31" s="1"/>
  <c r="M50" i="31"/>
  <c r="M187" i="31" s="1"/>
  <c r="P49" i="31"/>
  <c r="P75" i="31" s="1"/>
  <c r="P142" i="31" s="1"/>
  <c r="AF51" i="31"/>
  <c r="AF77" i="31" s="1"/>
  <c r="AF144" i="31" s="1"/>
  <c r="O51" i="31"/>
  <c r="O77" i="31" s="1"/>
  <c r="O144" i="31" s="1"/>
  <c r="AB46" i="31"/>
  <c r="AB129" i="31" s="1"/>
  <c r="AB20" i="31"/>
  <c r="AB47" i="31" s="1"/>
  <c r="AB130" i="31" s="1"/>
  <c r="AM49" i="31"/>
  <c r="AM75" i="31" s="1"/>
  <c r="AM142" i="31" s="1"/>
  <c r="W120" i="5"/>
  <c r="N1" i="21"/>
  <c r="N1" i="12"/>
  <c r="N1" i="1"/>
  <c r="N1" i="7"/>
  <c r="N1" i="11"/>
  <c r="W95" i="5"/>
  <c r="N122" i="7"/>
  <c r="N10" i="7"/>
  <c r="AA187" i="31" l="1"/>
  <c r="Y68" i="31"/>
  <c r="Y70" i="31" s="1"/>
  <c r="Y138" i="31" s="1"/>
  <c r="N187" i="31"/>
  <c r="AD68" i="31"/>
  <c r="AD70" i="31" s="1"/>
  <c r="AD138" i="31" s="1"/>
  <c r="AR68" i="31"/>
  <c r="AR70" i="31" s="1"/>
  <c r="AR138" i="31" s="1"/>
  <c r="W79" i="31"/>
  <c r="W146" i="31" s="1"/>
  <c r="AM76" i="31"/>
  <c r="AM143" i="31" s="1"/>
  <c r="AS130" i="31"/>
  <c r="AG130" i="31"/>
  <c r="AV68" i="31"/>
  <c r="AV70" i="31" s="1"/>
  <c r="AV138" i="31" s="1"/>
  <c r="AH68" i="31"/>
  <c r="AH70" i="31" s="1"/>
  <c r="AH72" i="31" s="1"/>
  <c r="AH83" i="31" s="1"/>
  <c r="AU68" i="31"/>
  <c r="AU70" i="31" s="1"/>
  <c r="AU138" i="31" s="1"/>
  <c r="V111" i="31"/>
  <c r="X79" i="31"/>
  <c r="X146" i="31" s="1"/>
  <c r="X95" i="31"/>
  <c r="AS111" i="31"/>
  <c r="AS95" i="31"/>
  <c r="X187" i="31"/>
  <c r="Q95" i="31"/>
  <c r="AA130" i="31"/>
  <c r="M72" i="31"/>
  <c r="M140" i="31" s="1"/>
  <c r="AM79" i="31"/>
  <c r="AM146" i="31" s="1"/>
  <c r="P187" i="31"/>
  <c r="AM95" i="31"/>
  <c r="M130" i="31"/>
  <c r="Q79" i="31"/>
  <c r="Q146" i="31" s="1"/>
  <c r="W130" i="31"/>
  <c r="AW111" i="31"/>
  <c r="AI95" i="31"/>
  <c r="AK68" i="31"/>
  <c r="AK70" i="31" s="1"/>
  <c r="AK138" i="31" s="1"/>
  <c r="S79" i="31"/>
  <c r="S146" i="31" s="1"/>
  <c r="AD76" i="31"/>
  <c r="AD143" i="31" s="1"/>
  <c r="S111" i="31"/>
  <c r="AP95" i="31"/>
  <c r="O76" i="31"/>
  <c r="O143" i="31" s="1"/>
  <c r="U68" i="31"/>
  <c r="U70" i="31" s="1"/>
  <c r="U138" i="31" s="1"/>
  <c r="AV187" i="31"/>
  <c r="AF130" i="31"/>
  <c r="AQ187" i="31"/>
  <c r="AJ111" i="31"/>
  <c r="AE76" i="31"/>
  <c r="AE143" i="31" s="1"/>
  <c r="AE79" i="31"/>
  <c r="AE146" i="31" s="1"/>
  <c r="P68" i="31"/>
  <c r="P70" i="31" s="1"/>
  <c r="P138" i="31" s="1"/>
  <c r="AN76" i="31"/>
  <c r="AN143" i="31" s="1"/>
  <c r="AJ76" i="31"/>
  <c r="AJ143" i="31" s="1"/>
  <c r="W95" i="31"/>
  <c r="AA72" i="31"/>
  <c r="AA83" i="31" s="1"/>
  <c r="L79" i="31"/>
  <c r="L146" i="31" s="1"/>
  <c r="Q68" i="31"/>
  <c r="Q70" i="31" s="1"/>
  <c r="Q72" i="31" s="1"/>
  <c r="Q140" i="31" s="1"/>
  <c r="L130" i="31"/>
  <c r="AB76" i="31"/>
  <c r="AB143" i="31" s="1"/>
  <c r="T111" i="31"/>
  <c r="W72" i="31"/>
  <c r="W140" i="31" s="1"/>
  <c r="L95" i="31"/>
  <c r="AK79" i="31"/>
  <c r="AK146" i="31" s="1"/>
  <c r="R187" i="31"/>
  <c r="M76" i="31"/>
  <c r="M143" i="31" s="1"/>
  <c r="Z76" i="31"/>
  <c r="Z143" i="31" s="1"/>
  <c r="AF76" i="31"/>
  <c r="AF143" i="31" s="1"/>
  <c r="AK111" i="31"/>
  <c r="AN68" i="31"/>
  <c r="AN70" i="31" s="1"/>
  <c r="AN72" i="31" s="1"/>
  <c r="AN140" i="31" s="1"/>
  <c r="AX68" i="31"/>
  <c r="AX70" i="31" s="1"/>
  <c r="AX72" i="31" s="1"/>
  <c r="AX83" i="31" s="1"/>
  <c r="AE111" i="31"/>
  <c r="R68" i="31"/>
  <c r="R70" i="31" s="1"/>
  <c r="R72" i="31" s="1"/>
  <c r="R83" i="31" s="1"/>
  <c r="L72" i="31"/>
  <c r="L140" i="31" s="1"/>
  <c r="T95" i="31"/>
  <c r="AJ79" i="31"/>
  <c r="AJ146" i="31" s="1"/>
  <c r="Z79" i="31"/>
  <c r="Z146" i="31" s="1"/>
  <c r="AO68" i="31"/>
  <c r="AO70" i="31" s="1"/>
  <c r="AO72" i="31" s="1"/>
  <c r="AO83" i="31" s="1"/>
  <c r="I48" i="31"/>
  <c r="I71" i="31" s="1"/>
  <c r="I139" i="31" s="1"/>
  <c r="AN95" i="31"/>
  <c r="I53" i="31"/>
  <c r="I79" i="31" s="1"/>
  <c r="I146" i="31" s="1"/>
  <c r="AN79" i="31"/>
  <c r="AN146" i="31" s="1"/>
  <c r="I47" i="31"/>
  <c r="I130" i="31" s="1"/>
  <c r="AU95" i="31"/>
  <c r="AP111" i="31"/>
  <c r="AS72" i="31"/>
  <c r="AS83" i="31" s="1"/>
  <c r="AJ68" i="31"/>
  <c r="AJ70" i="31" s="1"/>
  <c r="AJ138" i="31" s="1"/>
  <c r="AU111" i="31"/>
  <c r="W187" i="31"/>
  <c r="Z111" i="31"/>
  <c r="Z68" i="31"/>
  <c r="Z70" i="31" s="1"/>
  <c r="Z138" i="31" s="1"/>
  <c r="I52" i="31"/>
  <c r="I78" i="31" s="1"/>
  <c r="I145" i="31" s="1"/>
  <c r="AU76" i="31"/>
  <c r="AU143" i="31" s="1"/>
  <c r="AB68" i="31"/>
  <c r="AB70" i="31" s="1"/>
  <c r="AB138" i="31" s="1"/>
  <c r="AM68" i="31"/>
  <c r="AM70" i="31" s="1"/>
  <c r="AM72" i="31" s="1"/>
  <c r="F56" i="31"/>
  <c r="F57" i="31" s="1"/>
  <c r="F91" i="31" s="1"/>
  <c r="P79" i="31"/>
  <c r="P146" i="31" s="1"/>
  <c r="P147" i="31" s="1"/>
  <c r="AL76" i="31"/>
  <c r="AL143" i="31" s="1"/>
  <c r="P95" i="31"/>
  <c r="K68" i="31"/>
  <c r="K70" i="31" s="1"/>
  <c r="K138" i="31" s="1"/>
  <c r="X68" i="31"/>
  <c r="X70" i="31" s="1"/>
  <c r="X72" i="31" s="1"/>
  <c r="X140" i="31" s="1"/>
  <c r="AG72" i="31"/>
  <c r="AG140" i="31" s="1"/>
  <c r="M111" i="31"/>
  <c r="M79" i="31"/>
  <c r="M146" i="31" s="1"/>
  <c r="M95" i="31"/>
  <c r="U76" i="31"/>
  <c r="U187" i="31"/>
  <c r="AC187" i="31"/>
  <c r="AC76" i="31"/>
  <c r="AC143" i="31" s="1"/>
  <c r="AH76" i="31"/>
  <c r="AH143" i="31" s="1"/>
  <c r="AH187" i="31"/>
  <c r="Y76" i="31"/>
  <c r="Y187" i="31"/>
  <c r="AX111" i="31"/>
  <c r="AX95" i="31"/>
  <c r="AX79" i="31"/>
  <c r="AX146" i="31" s="1"/>
  <c r="AH95" i="31"/>
  <c r="AH79" i="31"/>
  <c r="AH146" i="31" s="1"/>
  <c r="Q76" i="31"/>
  <c r="Q143" i="31" s="1"/>
  <c r="Q187" i="31"/>
  <c r="AW130" i="31"/>
  <c r="AW68" i="31"/>
  <c r="AW70" i="31" s="1"/>
  <c r="U95" i="31"/>
  <c r="U79" i="31"/>
  <c r="U146" i="31" s="1"/>
  <c r="AB111" i="31"/>
  <c r="AB95" i="31"/>
  <c r="AB79" i="31"/>
  <c r="AB146" i="31" s="1"/>
  <c r="N68" i="31"/>
  <c r="N70" i="31" s="1"/>
  <c r="N130" i="31"/>
  <c r="V187" i="31"/>
  <c r="V76" i="31"/>
  <c r="V143" i="31" s="1"/>
  <c r="AL130" i="31"/>
  <c r="AL68" i="31"/>
  <c r="AL70" i="31" s="1"/>
  <c r="AG111" i="31"/>
  <c r="AG79" i="31"/>
  <c r="AG146" i="31" s="1"/>
  <c r="AG95" i="31"/>
  <c r="K76" i="31"/>
  <c r="K187" i="31"/>
  <c r="K188" i="31" s="1"/>
  <c r="AC68" i="31"/>
  <c r="AC70" i="31" s="1"/>
  <c r="AC130" i="31"/>
  <c r="R79" i="31"/>
  <c r="R146" i="31" s="1"/>
  <c r="R95" i="31"/>
  <c r="R111" i="31"/>
  <c r="Y79" i="31"/>
  <c r="Y146" i="31" s="1"/>
  <c r="Y111" i="31"/>
  <c r="AI187" i="31"/>
  <c r="AI76" i="31"/>
  <c r="AI143" i="31" s="1"/>
  <c r="AT187" i="31"/>
  <c r="AT76" i="31"/>
  <c r="V79" i="31"/>
  <c r="V146" i="31" s="1"/>
  <c r="V68" i="31"/>
  <c r="V70" i="31" s="1"/>
  <c r="V138" i="31" s="1"/>
  <c r="F21" i="31"/>
  <c r="I50" i="31"/>
  <c r="I187" i="31" s="1"/>
  <c r="S130" i="31"/>
  <c r="AO76" i="31"/>
  <c r="AO143" i="31" s="1"/>
  <c r="AI72" i="31"/>
  <c r="AI83" i="31" s="1"/>
  <c r="AC79" i="31"/>
  <c r="AC146" i="31" s="1"/>
  <c r="AW79" i="31"/>
  <c r="AW146" i="31" s="1"/>
  <c r="AT95" i="31"/>
  <c r="AT79" i="31"/>
  <c r="AT146" i="31" s="1"/>
  <c r="AQ68" i="31"/>
  <c r="AQ70" i="31" s="1"/>
  <c r="AQ130" i="31"/>
  <c r="N79" i="31"/>
  <c r="N146" i="31" s="1"/>
  <c r="N111" i="31"/>
  <c r="N95" i="31"/>
  <c r="T68" i="31"/>
  <c r="T70" i="31" s="1"/>
  <c r="T130" i="31"/>
  <c r="O79" i="31"/>
  <c r="O146" i="31" s="1"/>
  <c r="O95" i="31"/>
  <c r="AV111" i="31"/>
  <c r="AV95" i="31"/>
  <c r="AO95" i="31"/>
  <c r="AO111" i="31"/>
  <c r="AO79" i="31"/>
  <c r="AO146" i="31" s="1"/>
  <c r="AG187" i="31"/>
  <c r="AG76" i="31"/>
  <c r="AG143" i="31" s="1"/>
  <c r="AS187" i="31"/>
  <c r="AS76" i="31"/>
  <c r="AA111" i="31"/>
  <c r="AA95" i="31"/>
  <c r="AA79" i="31"/>
  <c r="K95" i="31"/>
  <c r="K111" i="31"/>
  <c r="K79" i="31"/>
  <c r="K146" i="31" s="1"/>
  <c r="AP187" i="31"/>
  <c r="AP76" i="31"/>
  <c r="AC95" i="31"/>
  <c r="I49" i="31"/>
  <c r="I75" i="31" s="1"/>
  <c r="I142" i="31" s="1"/>
  <c r="AI79" i="31"/>
  <c r="AI146" i="31" s="1"/>
  <c r="I51" i="31"/>
  <c r="I77" i="31" s="1"/>
  <c r="I144" i="31" s="1"/>
  <c r="AF72" i="31"/>
  <c r="AF83" i="31" s="1"/>
  <c r="I20" i="31"/>
  <c r="AD79" i="31"/>
  <c r="AD146" i="31" s="1"/>
  <c r="AD95" i="31"/>
  <c r="S76" i="31"/>
  <c r="S143" i="31" s="1"/>
  <c r="T76" i="31"/>
  <c r="T143" i="31" s="1"/>
  <c r="S72" i="31"/>
  <c r="S83" i="31" s="1"/>
  <c r="AI130" i="31"/>
  <c r="AR187" i="31"/>
  <c r="AR76" i="31"/>
  <c r="AL111" i="31"/>
  <c r="AL79" i="31"/>
  <c r="AL146" i="31" s="1"/>
  <c r="AL95" i="31"/>
  <c r="O130" i="31"/>
  <c r="O68" i="31"/>
  <c r="O70" i="31" s="1"/>
  <c r="AR111" i="31"/>
  <c r="AR79" i="31"/>
  <c r="AR146" i="31" s="1"/>
  <c r="AR95" i="31"/>
  <c r="L187" i="31"/>
  <c r="L76" i="31"/>
  <c r="L143" i="31" s="1"/>
  <c r="AP130" i="31"/>
  <c r="AP68" i="31"/>
  <c r="AP70" i="31" s="1"/>
  <c r="AF111" i="31"/>
  <c r="AF95" i="31"/>
  <c r="AF79" i="31"/>
  <c r="AF146" i="31" s="1"/>
  <c r="AX187" i="31"/>
  <c r="AX76" i="31"/>
  <c r="AE68" i="31"/>
  <c r="AE70" i="31" s="1"/>
  <c r="AE130" i="31"/>
  <c r="AK187" i="31"/>
  <c r="AK76" i="31"/>
  <c r="AK143" i="31" s="1"/>
  <c r="AW76" i="31"/>
  <c r="AW143" i="31" s="1"/>
  <c r="AW187" i="31"/>
  <c r="AQ111" i="31"/>
  <c r="AQ79" i="31"/>
  <c r="AQ146" i="31" s="1"/>
  <c r="AQ95" i="31"/>
  <c r="AT130" i="31"/>
  <c r="AT68" i="31"/>
  <c r="AT70" i="31" s="1"/>
  <c r="AD72" i="31"/>
  <c r="AD83" i="31" s="1"/>
  <c r="AV80" i="31"/>
  <c r="AV84" i="31" s="1"/>
  <c r="X120" i="5"/>
  <c r="O1" i="21"/>
  <c r="O1" i="12"/>
  <c r="O1" i="1"/>
  <c r="O1" i="11"/>
  <c r="O1" i="7"/>
  <c r="X95" i="5"/>
  <c r="O122" i="7"/>
  <c r="O10" i="7"/>
  <c r="M83" i="31" l="1"/>
  <c r="W80" i="31"/>
  <c r="W84" i="31" s="1"/>
  <c r="AR72" i="31"/>
  <c r="AR140" i="31" s="1"/>
  <c r="Y72" i="31"/>
  <c r="Y140" i="31" s="1"/>
  <c r="AV72" i="31"/>
  <c r="AV83" i="31" s="1"/>
  <c r="AV85" i="31" s="1"/>
  <c r="AV94" i="31" s="1"/>
  <c r="AV147" i="31" s="1"/>
  <c r="X80" i="31"/>
  <c r="X84" i="31" s="1"/>
  <c r="AJ72" i="31"/>
  <c r="AJ83" i="31" s="1"/>
  <c r="AM80" i="31"/>
  <c r="AM84" i="31" s="1"/>
  <c r="AH138" i="31"/>
  <c r="AU72" i="31"/>
  <c r="AU140" i="31" s="1"/>
  <c r="AX140" i="31"/>
  <c r="AH140" i="31"/>
  <c r="AO140" i="31"/>
  <c r="Q138" i="31"/>
  <c r="AN80" i="31"/>
  <c r="AN84" i="31" s="1"/>
  <c r="U72" i="31"/>
  <c r="U83" i="31" s="1"/>
  <c r="Z80" i="31"/>
  <c r="Z84" i="31" s="1"/>
  <c r="I95" i="31"/>
  <c r="AK72" i="31"/>
  <c r="AK140" i="31" s="1"/>
  <c r="AX138" i="31"/>
  <c r="R138" i="31"/>
  <c r="AN138" i="31"/>
  <c r="R140" i="31"/>
  <c r="L83" i="31"/>
  <c r="W83" i="31"/>
  <c r="AE80" i="31"/>
  <c r="AE84" i="31" s="1"/>
  <c r="AN83" i="31"/>
  <c r="P72" i="31"/>
  <c r="P83" i="31" s="1"/>
  <c r="AJ80" i="31"/>
  <c r="AJ84" i="31" s="1"/>
  <c r="AA140" i="31"/>
  <c r="AO138" i="31"/>
  <c r="I111" i="31"/>
  <c r="AS140" i="31"/>
  <c r="K72" i="31"/>
  <c r="K83" i="31" s="1"/>
  <c r="Q83" i="31"/>
  <c r="I68" i="31"/>
  <c r="AU80" i="31"/>
  <c r="AU84" i="31" s="1"/>
  <c r="AM138" i="31"/>
  <c r="T80" i="31"/>
  <c r="T84" i="31" s="1"/>
  <c r="I76" i="31"/>
  <c r="I143" i="31" s="1"/>
  <c r="AC80" i="31"/>
  <c r="AC84" i="31" s="1"/>
  <c r="X138" i="31"/>
  <c r="S140" i="31"/>
  <c r="P80" i="31"/>
  <c r="P84" i="31" s="1"/>
  <c r="X83" i="31"/>
  <c r="Z72" i="31"/>
  <c r="Z140" i="31" s="1"/>
  <c r="AD80" i="31"/>
  <c r="AD84" i="31" s="1"/>
  <c r="AD85" i="31" s="1"/>
  <c r="AD94" i="31" s="1"/>
  <c r="AD147" i="31" s="1"/>
  <c r="AF140" i="31"/>
  <c r="AI140" i="31"/>
  <c r="AB72" i="31"/>
  <c r="AB83" i="31" s="1"/>
  <c r="M80" i="31"/>
  <c r="M84" i="31" s="1"/>
  <c r="AK80" i="31"/>
  <c r="AK84" i="31" s="1"/>
  <c r="V80" i="31"/>
  <c r="V84" i="31" s="1"/>
  <c r="AG83" i="31"/>
  <c r="AH80" i="31"/>
  <c r="AH84" i="31" s="1"/>
  <c r="AH85" i="31" s="1"/>
  <c r="AH94" i="31" s="1"/>
  <c r="AH147" i="31" s="1"/>
  <c r="O80" i="31"/>
  <c r="O84" i="31" s="1"/>
  <c r="AF80" i="31"/>
  <c r="AF84" i="31" s="1"/>
  <c r="AF85" i="31" s="1"/>
  <c r="AF94" i="31" s="1"/>
  <c r="AF147" i="31" s="1"/>
  <c r="AC72" i="31"/>
  <c r="AC138" i="31"/>
  <c r="AI80" i="31"/>
  <c r="AI84" i="31" s="1"/>
  <c r="AI85" i="31" s="1"/>
  <c r="AI94" i="31" s="1"/>
  <c r="AI147" i="31" s="1"/>
  <c r="V72" i="31"/>
  <c r="V140" i="31" s="1"/>
  <c r="Q80" i="31"/>
  <c r="Q84" i="31" s="1"/>
  <c r="S80" i="31"/>
  <c r="S84" i="31" s="1"/>
  <c r="S85" i="31" s="1"/>
  <c r="S94" i="31" s="1"/>
  <c r="S147" i="31" s="1"/>
  <c r="AL80" i="31"/>
  <c r="AL84" i="31" s="1"/>
  <c r="AW80" i="31"/>
  <c r="AW84" i="31" s="1"/>
  <c r="AB80" i="31"/>
  <c r="AB84" i="31" s="1"/>
  <c r="AX143" i="31"/>
  <c r="AX80" i="31"/>
  <c r="AX84" i="31" s="1"/>
  <c r="AX85" i="31" s="1"/>
  <c r="AX94" i="31" s="1"/>
  <c r="O72" i="31"/>
  <c r="O138" i="31"/>
  <c r="AQ80" i="31"/>
  <c r="AQ84" i="31" s="1"/>
  <c r="AA146" i="31"/>
  <c r="AA80" i="31"/>
  <c r="AA84" i="31" s="1"/>
  <c r="AA85" i="31" s="1"/>
  <c r="AA94" i="31" s="1"/>
  <c r="AQ138" i="31"/>
  <c r="AQ72" i="31"/>
  <c r="AT143" i="31"/>
  <c r="AT80" i="31"/>
  <c r="AT84" i="31" s="1"/>
  <c r="K143" i="31"/>
  <c r="K80" i="31"/>
  <c r="K84" i="31" s="1"/>
  <c r="AL138" i="31"/>
  <c r="AL72" i="31"/>
  <c r="I70" i="31"/>
  <c r="I138" i="31" s="1"/>
  <c r="AO80" i="31"/>
  <c r="AO84" i="31" s="1"/>
  <c r="AO85" i="31" s="1"/>
  <c r="AO94" i="31" s="1"/>
  <c r="AO147" i="31" s="1"/>
  <c r="L80" i="31"/>
  <c r="L84" i="31" s="1"/>
  <c r="AT138" i="31"/>
  <c r="AT72" i="31"/>
  <c r="AP138" i="31"/>
  <c r="AP72" i="31"/>
  <c r="AR143" i="31"/>
  <c r="AR80" i="31"/>
  <c r="AR84" i="31" s="1"/>
  <c r="N80" i="31"/>
  <c r="N84" i="31" s="1"/>
  <c r="AG80" i="31"/>
  <c r="AG84" i="31" s="1"/>
  <c r="N138" i="31"/>
  <c r="N72" i="31"/>
  <c r="Y143" i="31"/>
  <c r="Y147" i="31" s="1"/>
  <c r="Y80" i="31"/>
  <c r="Y84" i="31" s="1"/>
  <c r="R80" i="31"/>
  <c r="R84" i="31" s="1"/>
  <c r="R85" i="31" s="1"/>
  <c r="R94" i="31" s="1"/>
  <c r="R147" i="31" s="1"/>
  <c r="AE138" i="31"/>
  <c r="AE72" i="31"/>
  <c r="AP143" i="31"/>
  <c r="AP80" i="31"/>
  <c r="AP84" i="31" s="1"/>
  <c r="AS143" i="31"/>
  <c r="AS80" i="31"/>
  <c r="AS84" i="31" s="1"/>
  <c r="AS85" i="31" s="1"/>
  <c r="AS94" i="31" s="1"/>
  <c r="T138" i="31"/>
  <c r="T72" i="31"/>
  <c r="L188" i="31"/>
  <c r="M188" i="31" s="1"/>
  <c r="AW138" i="31"/>
  <c r="AW72" i="31"/>
  <c r="U143" i="31"/>
  <c r="U147" i="31" s="1"/>
  <c r="U80" i="31"/>
  <c r="U84" i="31" s="1"/>
  <c r="AD140" i="31"/>
  <c r="AM83" i="31"/>
  <c r="AM140" i="31"/>
  <c r="Y120" i="5"/>
  <c r="P1" i="21"/>
  <c r="P1" i="12"/>
  <c r="P1" i="1"/>
  <c r="P1" i="11"/>
  <c r="P1" i="7"/>
  <c r="Y95" i="5"/>
  <c r="P122" i="7"/>
  <c r="P10" i="7"/>
  <c r="Y83" i="31" l="1"/>
  <c r="Y85" i="31" s="1"/>
  <c r="Y94" i="31" s="1"/>
  <c r="AV140" i="31"/>
  <c r="M85" i="31"/>
  <c r="M94" i="31" s="1"/>
  <c r="M147" i="31" s="1"/>
  <c r="W85" i="31"/>
  <c r="W94" i="31" s="1"/>
  <c r="W147" i="31" s="1"/>
  <c r="AU83" i="31"/>
  <c r="AU85" i="31" s="1"/>
  <c r="AU94" i="31" s="1"/>
  <c r="AU147" i="31" s="1"/>
  <c r="U140" i="31"/>
  <c r="AR83" i="31"/>
  <c r="AR85" i="31" s="1"/>
  <c r="AR94" i="31" s="1"/>
  <c r="AM85" i="31"/>
  <c r="AM94" i="31" s="1"/>
  <c r="AM147" i="31" s="1"/>
  <c r="AJ85" i="31"/>
  <c r="AJ94" i="31" s="1"/>
  <c r="AJ147" i="31" s="1"/>
  <c r="X85" i="31"/>
  <c r="X94" i="31" s="1"/>
  <c r="X147" i="31" s="1"/>
  <c r="AJ140" i="31"/>
  <c r="AN85" i="31"/>
  <c r="AN94" i="31" s="1"/>
  <c r="AN147" i="31" s="1"/>
  <c r="L85" i="31"/>
  <c r="L94" i="31" s="1"/>
  <c r="L147" i="31" s="1"/>
  <c r="U85" i="31"/>
  <c r="U94" i="31" s="1"/>
  <c r="P140" i="31"/>
  <c r="Q85" i="31"/>
  <c r="Q94" i="31" s="1"/>
  <c r="Q147" i="31" s="1"/>
  <c r="AK83" i="31"/>
  <c r="AK85" i="31" s="1"/>
  <c r="AK94" i="31" s="1"/>
  <c r="AK147" i="31" s="1"/>
  <c r="P85" i="31"/>
  <c r="P94" i="31" s="1"/>
  <c r="AB85" i="31"/>
  <c r="AB94" i="31" s="1"/>
  <c r="AB147" i="31" s="1"/>
  <c r="AB140" i="31"/>
  <c r="V83" i="31"/>
  <c r="V85" i="31" s="1"/>
  <c r="V94" i="31" s="1"/>
  <c r="V147" i="31" s="1"/>
  <c r="Z83" i="31"/>
  <c r="Z85" i="31" s="1"/>
  <c r="Z94" i="31" s="1"/>
  <c r="Z147" i="31" s="1"/>
  <c r="K140" i="31"/>
  <c r="K85" i="31"/>
  <c r="K94" i="31" s="1"/>
  <c r="I80" i="31"/>
  <c r="I84" i="31" s="1"/>
  <c r="K147" i="31"/>
  <c r="AA147" i="31"/>
  <c r="I72" i="31"/>
  <c r="I140" i="31" s="1"/>
  <c r="AR147" i="31"/>
  <c r="AS147" i="31"/>
  <c r="AG85" i="31"/>
  <c r="AG94" i="31" s="1"/>
  <c r="AG147" i="31" s="1"/>
  <c r="T140" i="31"/>
  <c r="T83" i="31"/>
  <c r="T85" i="31" s="1"/>
  <c r="T94" i="31" s="1"/>
  <c r="T147" i="31" s="1"/>
  <c r="AL83" i="31"/>
  <c r="AL85" i="31" s="1"/>
  <c r="AL94" i="31" s="1"/>
  <c r="AL147" i="31" s="1"/>
  <c r="AL140" i="31"/>
  <c r="O140" i="31"/>
  <c r="O83" i="31"/>
  <c r="O85" i="31" s="1"/>
  <c r="O94" i="31" s="1"/>
  <c r="O147" i="31" s="1"/>
  <c r="AW83" i="31"/>
  <c r="AW85" i="31" s="1"/>
  <c r="AW94" i="31" s="1"/>
  <c r="AW147" i="31" s="1"/>
  <c r="AW140" i="31"/>
  <c r="N140" i="31"/>
  <c r="N83" i="31"/>
  <c r="N85" i="31" s="1"/>
  <c r="N94" i="31" s="1"/>
  <c r="N147" i="31" s="1"/>
  <c r="AT83" i="31"/>
  <c r="AT85" i="31" s="1"/>
  <c r="AT94" i="31" s="1"/>
  <c r="AT147" i="31" s="1"/>
  <c r="AT140" i="31"/>
  <c r="AE83" i="31"/>
  <c r="AE85" i="31" s="1"/>
  <c r="AE94" i="31" s="1"/>
  <c r="AE147" i="31" s="1"/>
  <c r="AE140" i="31"/>
  <c r="AQ83" i="31"/>
  <c r="AQ85" i="31" s="1"/>
  <c r="AQ94" i="31" s="1"/>
  <c r="AQ147" i="31" s="1"/>
  <c r="AQ140" i="31"/>
  <c r="AX147" i="31"/>
  <c r="AC83" i="31"/>
  <c r="AC85" i="31" s="1"/>
  <c r="AC94" i="31" s="1"/>
  <c r="AC147" i="31" s="1"/>
  <c r="AC140" i="31"/>
  <c r="N188" i="31"/>
  <c r="O188" i="31" s="1"/>
  <c r="P188" i="31" s="1"/>
  <c r="AP83" i="31"/>
  <c r="AP85" i="31" s="1"/>
  <c r="AP94" i="31" s="1"/>
  <c r="AP147" i="31" s="1"/>
  <c r="AP140" i="31"/>
  <c r="Z120" i="5"/>
  <c r="Q1" i="12"/>
  <c r="Q1" i="21"/>
  <c r="Q1" i="1"/>
  <c r="Q1" i="7"/>
  <c r="Q1" i="11"/>
  <c r="Z95" i="5"/>
  <c r="Q122" i="7"/>
  <c r="Q10" i="7"/>
  <c r="F881" i="1"/>
  <c r="G1019" i="1"/>
  <c r="G881" i="1"/>
  <c r="J814" i="1"/>
  <c r="F814" i="1"/>
  <c r="K830" i="1"/>
  <c r="K812" i="1"/>
  <c r="I83" i="31" l="1"/>
  <c r="I147" i="31"/>
  <c r="I85" i="31"/>
  <c r="I94" i="31" s="1"/>
  <c r="Q188" i="31"/>
  <c r="R188" i="31" s="1"/>
  <c r="S188" i="31" s="1"/>
  <c r="T188" i="31" s="1"/>
  <c r="U188" i="31" s="1"/>
  <c r="V188" i="31" s="1"/>
  <c r="W188" i="31" s="1"/>
  <c r="X188" i="31" s="1"/>
  <c r="Y188" i="31" s="1"/>
  <c r="Z188" i="31" s="1"/>
  <c r="AA188" i="31" s="1"/>
  <c r="AB188" i="31" s="1"/>
  <c r="AC188" i="31" s="1"/>
  <c r="AD188" i="31" s="1"/>
  <c r="AE188" i="31" s="1"/>
  <c r="AF188" i="31" s="1"/>
  <c r="AG188" i="31" s="1"/>
  <c r="AH188" i="31" s="1"/>
  <c r="AI188" i="31" s="1"/>
  <c r="AJ188" i="31" s="1"/>
  <c r="AK188" i="31" s="1"/>
  <c r="AL188" i="31" s="1"/>
  <c r="AM188" i="31" s="1"/>
  <c r="AN188" i="31" s="1"/>
  <c r="AO188" i="31" s="1"/>
  <c r="AP188" i="31" s="1"/>
  <c r="AQ188" i="31" s="1"/>
  <c r="AR188" i="31" s="1"/>
  <c r="AS188" i="31" s="1"/>
  <c r="AT188" i="31" s="1"/>
  <c r="AU188" i="31" s="1"/>
  <c r="AV188" i="31" s="1"/>
  <c r="AW188" i="31" s="1"/>
  <c r="AX188" i="31" s="1"/>
  <c r="F189" i="31" s="1"/>
  <c r="AX882" i="1"/>
  <c r="AT882" i="1"/>
  <c r="AP882" i="1"/>
  <c r="AL882" i="1"/>
  <c r="AH882" i="1"/>
  <c r="AD882" i="1"/>
  <c r="Z882" i="1"/>
  <c r="V882" i="1"/>
  <c r="R882" i="1"/>
  <c r="N882" i="1"/>
  <c r="AW882" i="1"/>
  <c r="AS882" i="1"/>
  <c r="AO882" i="1"/>
  <c r="AK882" i="1"/>
  <c r="AG882" i="1"/>
  <c r="AC882" i="1"/>
  <c r="Y882" i="1"/>
  <c r="U882" i="1"/>
  <c r="Q882" i="1"/>
  <c r="M882" i="1"/>
  <c r="AV882" i="1"/>
  <c r="AR882" i="1"/>
  <c r="AN882" i="1"/>
  <c r="AJ882" i="1"/>
  <c r="AF882" i="1"/>
  <c r="AB882" i="1"/>
  <c r="X882" i="1"/>
  <c r="T882" i="1"/>
  <c r="P882" i="1"/>
  <c r="L882" i="1"/>
  <c r="AU882" i="1"/>
  <c r="AQ882" i="1"/>
  <c r="AM882" i="1"/>
  <c r="AI882" i="1"/>
  <c r="AE882" i="1"/>
  <c r="AA882" i="1"/>
  <c r="W882" i="1"/>
  <c r="S882" i="1"/>
  <c r="O882" i="1"/>
  <c r="K882" i="1"/>
  <c r="AA120" i="5"/>
  <c r="R1" i="12"/>
  <c r="R1" i="21"/>
  <c r="R1" i="1"/>
  <c r="R1" i="7"/>
  <c r="R1" i="11"/>
  <c r="AA95" i="5"/>
  <c r="R122" i="7"/>
  <c r="H236" i="12"/>
  <c r="H237" i="12"/>
  <c r="H268" i="12" s="1"/>
  <c r="H235" i="12"/>
  <c r="R10" i="7"/>
  <c r="F475" i="1"/>
  <c r="G664" i="1"/>
  <c r="J655" i="1"/>
  <c r="H655" i="1"/>
  <c r="F655" i="1"/>
  <c r="F601" i="1"/>
  <c r="J537" i="1"/>
  <c r="H537" i="1"/>
  <c r="F537" i="1"/>
  <c r="K517" i="1"/>
  <c r="G507" i="1"/>
  <c r="G387" i="1"/>
  <c r="G369" i="1"/>
  <c r="G345" i="1"/>
  <c r="F345" i="1"/>
  <c r="K348" i="1"/>
  <c r="G335" i="1"/>
  <c r="G503" i="1"/>
  <c r="R193" i="31" l="1"/>
  <c r="AA193" i="31"/>
  <c r="AB193" i="31"/>
  <c r="N193" i="31"/>
  <c r="X193" i="31"/>
  <c r="AS193" i="31"/>
  <c r="AM193" i="31"/>
  <c r="S193" i="31"/>
  <c r="AL193" i="31"/>
  <c r="L193" i="31"/>
  <c r="Q193" i="31"/>
  <c r="AU193" i="31"/>
  <c r="AQ193" i="31"/>
  <c r="AP193" i="31"/>
  <c r="AN193" i="31"/>
  <c r="AV193" i="31"/>
  <c r="AX193" i="31"/>
  <c r="Y193" i="31"/>
  <c r="AC193" i="31"/>
  <c r="AT193" i="31"/>
  <c r="O193" i="31"/>
  <c r="O227" i="12" s="1"/>
  <c r="AJ193" i="31"/>
  <c r="AO193" i="31"/>
  <c r="AW193" i="31"/>
  <c r="AD193" i="31"/>
  <c r="AF193" i="31"/>
  <c r="AH193" i="31"/>
  <c r="AE193" i="31"/>
  <c r="AR193" i="31"/>
  <c r="AK193" i="31"/>
  <c r="Z193" i="31"/>
  <c r="U193" i="31"/>
  <c r="T193" i="31"/>
  <c r="AG193" i="31"/>
  <c r="AI193" i="31"/>
  <c r="V193" i="31"/>
  <c r="P193" i="31"/>
  <c r="W193" i="31"/>
  <c r="M193" i="31"/>
  <c r="K193" i="31"/>
  <c r="AB120" i="5"/>
  <c r="S1" i="21"/>
  <c r="S1" i="12"/>
  <c r="S1" i="1"/>
  <c r="S1" i="11"/>
  <c r="S1" i="7"/>
  <c r="AB95" i="5"/>
  <c r="S122" i="7"/>
  <c r="S10" i="7"/>
  <c r="F461" i="1"/>
  <c r="F369" i="1"/>
  <c r="F1019" i="1"/>
  <c r="G714" i="1"/>
  <c r="F716" i="1"/>
  <c r="I193" i="31" l="1"/>
  <c r="I227" i="12" s="1"/>
  <c r="AC120" i="5"/>
  <c r="T1" i="21"/>
  <c r="T1" i="12"/>
  <c r="T1" i="1"/>
  <c r="T1" i="11"/>
  <c r="T1" i="7"/>
  <c r="AC95" i="5"/>
  <c r="T122" i="7"/>
  <c r="T10" i="7"/>
  <c r="F664" i="1"/>
  <c r="F714" i="1"/>
  <c r="F387" i="1"/>
  <c r="F717" i="1"/>
  <c r="F388" i="1"/>
  <c r="AD120" i="5" l="1"/>
  <c r="U1" i="12"/>
  <c r="U1" i="21"/>
  <c r="U1" i="1"/>
  <c r="U1" i="7"/>
  <c r="U1" i="11"/>
  <c r="AD95" i="5"/>
  <c r="U122" i="7"/>
  <c r="U10" i="7"/>
  <c r="AE120" i="5" l="1"/>
  <c r="V1" i="21"/>
  <c r="V1" i="12"/>
  <c r="V1" i="1"/>
  <c r="V1" i="7"/>
  <c r="V1" i="11"/>
  <c r="AE95" i="5"/>
  <c r="V122" i="7"/>
  <c r="V10" i="7"/>
  <c r="G188" i="1"/>
  <c r="G189" i="1" s="1"/>
  <c r="G207" i="1" s="1"/>
  <c r="K133" i="1"/>
  <c r="F115" i="1"/>
  <c r="G115" i="1"/>
  <c r="G430" i="1" l="1"/>
  <c r="G449" i="1" s="1"/>
  <c r="K124" i="1"/>
  <c r="K128" i="1"/>
  <c r="AF120" i="5"/>
  <c r="W1" i="21"/>
  <c r="W1" i="12"/>
  <c r="W1" i="1"/>
  <c r="W1" i="11"/>
  <c r="W1" i="7"/>
  <c r="AF95" i="5"/>
  <c r="W122" i="7"/>
  <c r="W10" i="7"/>
  <c r="F609" i="1"/>
  <c r="F346" i="1"/>
  <c r="F507" i="1"/>
  <c r="F607" i="1"/>
  <c r="F340" i="1"/>
  <c r="F606" i="1"/>
  <c r="F335" i="1"/>
  <c r="F188" i="1"/>
  <c r="F503" i="1"/>
  <c r="F508" i="1"/>
  <c r="F608" i="1"/>
  <c r="AX189" i="1" l="1"/>
  <c r="AX207" i="1" s="1"/>
  <c r="AT189" i="1"/>
  <c r="AT207" i="1" s="1"/>
  <c r="AP189" i="1"/>
  <c r="AP207" i="1" s="1"/>
  <c r="AL189" i="1"/>
  <c r="AL207" i="1" s="1"/>
  <c r="AH189" i="1"/>
  <c r="AH207" i="1" s="1"/>
  <c r="AD189" i="1"/>
  <c r="AD207" i="1" s="1"/>
  <c r="Z189" i="1"/>
  <c r="Z207" i="1" s="1"/>
  <c r="V189" i="1"/>
  <c r="V207" i="1" s="1"/>
  <c r="R189" i="1"/>
  <c r="R207" i="1" s="1"/>
  <c r="N189" i="1"/>
  <c r="N207" i="1" s="1"/>
  <c r="AN189" i="1"/>
  <c r="AN207" i="1" s="1"/>
  <c r="AF189" i="1"/>
  <c r="AF207" i="1" s="1"/>
  <c r="X189" i="1"/>
  <c r="X207" i="1" s="1"/>
  <c r="P189" i="1"/>
  <c r="P207" i="1" s="1"/>
  <c r="AU189" i="1"/>
  <c r="AU207" i="1" s="1"/>
  <c r="AM189" i="1"/>
  <c r="AM207" i="1" s="1"/>
  <c r="AA189" i="1"/>
  <c r="AA207" i="1" s="1"/>
  <c r="S189" i="1"/>
  <c r="S207" i="1" s="1"/>
  <c r="K189" i="1"/>
  <c r="K207" i="1" s="1"/>
  <c r="AW189" i="1"/>
  <c r="AW207" i="1" s="1"/>
  <c r="AS189" i="1"/>
  <c r="AS207" i="1" s="1"/>
  <c r="AO189" i="1"/>
  <c r="AO207" i="1" s="1"/>
  <c r="AK189" i="1"/>
  <c r="AK207" i="1" s="1"/>
  <c r="AG189" i="1"/>
  <c r="AG207" i="1" s="1"/>
  <c r="AC189" i="1"/>
  <c r="AC207" i="1" s="1"/>
  <c r="Y189" i="1"/>
  <c r="Y207" i="1" s="1"/>
  <c r="U189" i="1"/>
  <c r="U207" i="1" s="1"/>
  <c r="Q189" i="1"/>
  <c r="Q207" i="1" s="1"/>
  <c r="M189" i="1"/>
  <c r="M207" i="1" s="1"/>
  <c r="AV189" i="1"/>
  <c r="AV207" i="1" s="1"/>
  <c r="AR189" i="1"/>
  <c r="AR207" i="1" s="1"/>
  <c r="AJ189" i="1"/>
  <c r="AJ207" i="1" s="1"/>
  <c r="AB189" i="1"/>
  <c r="AB207" i="1" s="1"/>
  <c r="T189" i="1"/>
  <c r="T207" i="1" s="1"/>
  <c r="L189" i="1"/>
  <c r="L207" i="1" s="1"/>
  <c r="AQ189" i="1"/>
  <c r="AQ207" i="1" s="1"/>
  <c r="AI189" i="1"/>
  <c r="AI207" i="1" s="1"/>
  <c r="AE189" i="1"/>
  <c r="AE207" i="1" s="1"/>
  <c r="W189" i="1"/>
  <c r="W207" i="1" s="1"/>
  <c r="O189" i="1"/>
  <c r="O207" i="1" s="1"/>
  <c r="AG120" i="5"/>
  <c r="X1" i="21"/>
  <c r="X1" i="12"/>
  <c r="X1" i="1"/>
  <c r="X1" i="7"/>
  <c r="X1" i="11"/>
  <c r="AG95" i="5"/>
  <c r="X122" i="7"/>
  <c r="X10" i="7"/>
  <c r="F823" i="1"/>
  <c r="F819" i="1"/>
  <c r="F562" i="1"/>
  <c r="F561" i="1"/>
  <c r="F560" i="1"/>
  <c r="F559" i="1"/>
  <c r="AH120" i="5" l="1"/>
  <c r="Y1" i="12"/>
  <c r="Y1" i="21"/>
  <c r="Y1" i="1"/>
  <c r="Y1" i="7"/>
  <c r="Y1" i="11"/>
  <c r="AH95" i="5"/>
  <c r="Y122" i="7"/>
  <c r="Y10" i="7"/>
  <c r="AI120" i="5" l="1"/>
  <c r="Z1" i="12"/>
  <c r="Z1" i="21"/>
  <c r="Z1" i="1"/>
  <c r="Z1" i="7"/>
  <c r="Z1" i="11"/>
  <c r="AI95" i="5"/>
  <c r="Z122" i="7"/>
  <c r="Z10" i="7"/>
  <c r="AJ120" i="5" l="1"/>
  <c r="AA1" i="21"/>
  <c r="AA1" i="12"/>
  <c r="AA1" i="1"/>
  <c r="AA1" i="11"/>
  <c r="AA1" i="7"/>
  <c r="AJ95" i="5"/>
  <c r="AA122" i="7"/>
  <c r="AA10" i="7"/>
  <c r="K1" i="6"/>
  <c r="K1" i="1"/>
  <c r="AK120" i="5" l="1"/>
  <c r="AB1" i="21"/>
  <c r="AB1" i="12"/>
  <c r="AB1" i="1"/>
  <c r="AB1" i="11"/>
  <c r="AB1" i="7"/>
  <c r="AK95" i="5"/>
  <c r="AB122" i="7"/>
  <c r="AB10" i="7"/>
  <c r="L1" i="6"/>
  <c r="AL120" i="5" l="1"/>
  <c r="AC1" i="12"/>
  <c r="AC1" i="21"/>
  <c r="AC1" i="1"/>
  <c r="AC1" i="7"/>
  <c r="AC1" i="11"/>
  <c r="AL95" i="5"/>
  <c r="AC122" i="7"/>
  <c r="AC10" i="7"/>
  <c r="M1" i="6"/>
  <c r="AM120" i="5" l="1"/>
  <c r="AD1" i="21"/>
  <c r="AM95" i="5"/>
  <c r="AD1" i="12"/>
  <c r="AD1" i="1"/>
  <c r="AD1" i="7"/>
  <c r="AD10" i="7"/>
  <c r="AD1" i="11"/>
  <c r="AD1" i="6"/>
  <c r="AD122" i="7"/>
  <c r="N1" i="6"/>
  <c r="AN120" i="5" l="1"/>
  <c r="AE1" i="21"/>
  <c r="AN95" i="5"/>
  <c r="AE1" i="12"/>
  <c r="AE1" i="1"/>
  <c r="AE10" i="7"/>
  <c r="AE1" i="11"/>
  <c r="AE1" i="7"/>
  <c r="AE1" i="6"/>
  <c r="AE122" i="7"/>
  <c r="O1" i="6"/>
  <c r="AO120" i="5" l="1"/>
  <c r="AF1" i="21"/>
  <c r="AO95" i="5"/>
  <c r="AF1" i="12"/>
  <c r="AF1" i="1"/>
  <c r="AF10" i="7"/>
  <c r="AF1" i="6"/>
  <c r="AF122" i="7"/>
  <c r="AF1" i="11"/>
  <c r="AF1" i="7"/>
  <c r="P1" i="6"/>
  <c r="AP120" i="5" l="1"/>
  <c r="AG1" i="12"/>
  <c r="AG1" i="21"/>
  <c r="AP95" i="5"/>
  <c r="AG1" i="1"/>
  <c r="AG1" i="6"/>
  <c r="AG122" i="7"/>
  <c r="AG1" i="7"/>
  <c r="AG10" i="7"/>
  <c r="AG1" i="11"/>
  <c r="Q1" i="6"/>
  <c r="AQ120" i="5" l="1"/>
  <c r="AH1" i="12"/>
  <c r="AH1" i="21"/>
  <c r="AQ95" i="5"/>
  <c r="AH1" i="1"/>
  <c r="AH1" i="7"/>
  <c r="AH1" i="6"/>
  <c r="AH10" i="7"/>
  <c r="AH1" i="11"/>
  <c r="AH122" i="7"/>
  <c r="R1" i="6"/>
  <c r="AR120" i="5" l="1"/>
  <c r="AI1" i="21"/>
  <c r="AR95" i="5"/>
  <c r="AI1" i="12"/>
  <c r="AI1" i="1"/>
  <c r="AI10" i="7"/>
  <c r="AI1" i="11"/>
  <c r="AI1" i="7"/>
  <c r="AI1" i="6"/>
  <c r="AI122" i="7"/>
  <c r="S1" i="6"/>
  <c r="AS120" i="5" l="1"/>
  <c r="AJ1" i="21"/>
  <c r="AS95" i="5"/>
  <c r="AJ1" i="12"/>
  <c r="AJ1" i="1"/>
  <c r="AJ1" i="6"/>
  <c r="AJ122" i="7"/>
  <c r="AJ10" i="7"/>
  <c r="AJ1" i="11"/>
  <c r="AJ1" i="7"/>
  <c r="T1" i="6"/>
  <c r="AT120" i="5" l="1"/>
  <c r="AK1" i="12"/>
  <c r="AK1" i="21"/>
  <c r="AT95" i="5"/>
  <c r="AK1" i="1"/>
  <c r="AK1" i="6"/>
  <c r="AK122" i="7"/>
  <c r="AK1" i="7"/>
  <c r="AK10" i="7"/>
  <c r="AK1" i="11"/>
  <c r="U1" i="6"/>
  <c r="AU120" i="5" l="1"/>
  <c r="AL1" i="21"/>
  <c r="AU95" i="5"/>
  <c r="AL1" i="12"/>
  <c r="AL1" i="1"/>
  <c r="AL1" i="7"/>
  <c r="AL10" i="7"/>
  <c r="AL1" i="11"/>
  <c r="AL122" i="7"/>
  <c r="AL1" i="6"/>
  <c r="V1" i="6"/>
  <c r="AV120" i="5" l="1"/>
  <c r="AM1" i="21"/>
  <c r="AV95" i="5"/>
  <c r="AM1" i="12"/>
  <c r="AM1" i="1"/>
  <c r="AM10" i="7"/>
  <c r="AM1" i="11"/>
  <c r="AM1" i="6"/>
  <c r="AM122" i="7"/>
  <c r="AM1" i="7"/>
  <c r="W1" i="6"/>
  <c r="AW120" i="5" l="1"/>
  <c r="AN1" i="21"/>
  <c r="AW95" i="5"/>
  <c r="AN1" i="12"/>
  <c r="AN1" i="1"/>
  <c r="AN1" i="6"/>
  <c r="AN122" i="7"/>
  <c r="AN1" i="7"/>
  <c r="AN10" i="7"/>
  <c r="AN1" i="11"/>
  <c r="X1" i="6"/>
  <c r="AX120" i="5" l="1"/>
  <c r="AO1" i="12"/>
  <c r="AX95" i="5"/>
  <c r="AO1" i="21"/>
  <c r="AO1" i="1"/>
  <c r="AO1" i="6"/>
  <c r="AO122" i="7"/>
  <c r="AO1" i="7"/>
  <c r="AO10" i="7"/>
  <c r="AO1" i="11"/>
  <c r="Y1" i="6"/>
  <c r="AY120" i="5" l="1"/>
  <c r="AP1" i="12"/>
  <c r="AP1" i="21"/>
  <c r="AY95" i="5"/>
  <c r="AP1" i="1"/>
  <c r="AP1" i="7"/>
  <c r="AP10" i="7"/>
  <c r="AP1" i="11"/>
  <c r="AP1" i="6"/>
  <c r="AP122" i="7"/>
  <c r="Z1" i="6"/>
  <c r="AZ120" i="5" l="1"/>
  <c r="AQ1" i="21"/>
  <c r="AZ95" i="5"/>
  <c r="AQ1" i="12"/>
  <c r="AQ1" i="1"/>
  <c r="AQ10" i="7"/>
  <c r="AQ1" i="11"/>
  <c r="AQ1" i="7"/>
  <c r="AQ1" i="6"/>
  <c r="AQ122" i="7"/>
  <c r="AA1" i="6"/>
  <c r="BA120" i="5" l="1"/>
  <c r="AR1" i="21"/>
  <c r="BA95" i="5"/>
  <c r="AR1" i="12"/>
  <c r="AR1" i="1"/>
  <c r="AR10" i="7"/>
  <c r="AR1" i="11"/>
  <c r="AR1" i="6"/>
  <c r="AR122" i="7"/>
  <c r="AR1" i="7"/>
  <c r="AB1" i="6"/>
  <c r="BB120" i="5" l="1"/>
  <c r="AS1" i="12"/>
  <c r="AS1" i="21"/>
  <c r="BB95" i="5"/>
  <c r="AS1" i="1"/>
  <c r="AS1" i="6"/>
  <c r="AS122" i="7"/>
  <c r="AS1" i="7"/>
  <c r="AS10" i="7"/>
  <c r="AS1" i="11"/>
  <c r="AC1" i="6"/>
  <c r="BC120" i="5" l="1"/>
  <c r="AT1" i="21"/>
  <c r="BC95" i="5"/>
  <c r="AT1" i="12"/>
  <c r="AT1" i="1"/>
  <c r="AT1" i="7"/>
  <c r="AT122" i="7"/>
  <c r="AT10" i="7"/>
  <c r="AT1" i="11"/>
  <c r="AT1" i="6"/>
  <c r="BD120" i="5" l="1"/>
  <c r="AU1" i="21"/>
  <c r="BD95" i="5"/>
  <c r="AU1" i="12"/>
  <c r="AU1" i="1"/>
  <c r="AU10" i="7"/>
  <c r="AU1" i="11"/>
  <c r="AU1" i="7"/>
  <c r="AU1" i="6"/>
  <c r="AU122" i="7"/>
  <c r="BE120" i="5" l="1"/>
  <c r="AV1" i="21"/>
  <c r="BE95" i="5"/>
  <c r="AV1" i="12"/>
  <c r="AV1" i="1"/>
  <c r="AV1" i="6"/>
  <c r="AV122" i="7"/>
  <c r="AV1" i="11"/>
  <c r="AV1" i="7"/>
  <c r="AV10" i="7"/>
  <c r="BF120" i="5" l="1"/>
  <c r="AW1" i="12"/>
  <c r="AW1" i="21"/>
  <c r="BF95" i="5"/>
  <c r="AW1" i="1"/>
  <c r="AW1" i="6"/>
  <c r="AW122" i="7"/>
  <c r="AW1" i="7"/>
  <c r="AW10" i="7"/>
  <c r="AW1" i="11"/>
  <c r="BG120" i="5" l="1"/>
  <c r="AX1" i="12"/>
  <c r="AX1" i="21"/>
  <c r="BG95" i="5"/>
  <c r="AX1" i="1"/>
  <c r="AX1" i="7"/>
  <c r="AX10" i="7"/>
  <c r="AX1" i="11"/>
  <c r="AX1" i="6"/>
  <c r="AX122" i="7"/>
  <c r="K878" i="1" l="1"/>
  <c r="T133" i="5" l="1"/>
  <c r="K615" i="1" l="1"/>
  <c r="K613" i="1"/>
  <c r="K614" i="1"/>
  <c r="K612" i="1"/>
  <c r="I327" i="1" l="1"/>
  <c r="I108" i="1" l="1"/>
  <c r="I509" i="1"/>
  <c r="F167" i="1" l="1"/>
  <c r="F555" i="1" l="1"/>
  <c r="F563" i="1" s="1"/>
  <c r="I737" i="1" l="1"/>
  <c r="AI227" i="12" l="1"/>
  <c r="AO227" i="12"/>
  <c r="R227" i="12"/>
  <c r="Y227" i="12"/>
  <c r="AF227" i="12"/>
  <c r="AB227" i="12"/>
  <c r="L227" i="12"/>
  <c r="P227" i="12"/>
  <c r="AG227" i="12"/>
  <c r="AK227" i="12"/>
  <c r="W227" i="12"/>
  <c r="AD227" i="12"/>
  <c r="AW227" i="12"/>
  <c r="U227" i="12"/>
  <c r="AN227" i="12"/>
  <c r="V227" i="12"/>
  <c r="M227" i="12"/>
  <c r="AL227" i="12"/>
  <c r="N227" i="12"/>
  <c r="Z227" i="12"/>
  <c r="AR227" i="12"/>
  <c r="AV227" i="12"/>
  <c r="AH227" i="12"/>
  <c r="T227" i="12"/>
  <c r="Q227" i="12"/>
  <c r="AC227" i="12"/>
  <c r="AU227" i="12"/>
  <c r="AE227" i="12"/>
  <c r="AJ227" i="12"/>
  <c r="AM227" i="12"/>
  <c r="K227" i="12"/>
  <c r="AQ227" i="12"/>
  <c r="AX227" i="12"/>
  <c r="S227" i="12"/>
  <c r="X227" i="12"/>
  <c r="AP227" i="12"/>
  <c r="AS227" i="12"/>
  <c r="AT227" i="12"/>
  <c r="AA227" i="12"/>
  <c r="K209" i="1" l="1"/>
  <c r="K213" i="1" l="1"/>
  <c r="L209" i="1"/>
  <c r="L213" i="1" l="1"/>
  <c r="M209" i="1"/>
  <c r="M213" i="1" l="1"/>
  <c r="N209" i="1"/>
  <c r="N213" i="1" l="1"/>
  <c r="O209" i="1"/>
  <c r="P209" i="1"/>
  <c r="P213" i="1" s="1"/>
  <c r="O213" i="1" l="1"/>
  <c r="Q209" i="1" l="1"/>
  <c r="Q213" i="1" l="1"/>
  <c r="R209" i="1"/>
  <c r="R213" i="1" l="1"/>
  <c r="S209" i="1"/>
  <c r="T209" i="1"/>
  <c r="T213" i="1" s="1"/>
  <c r="S213" i="1" l="1"/>
  <c r="U209" i="1" l="1"/>
  <c r="U213" i="1" l="1"/>
  <c r="V209" i="1"/>
  <c r="V213" i="1" l="1"/>
  <c r="W209" i="1"/>
  <c r="W213" i="1" l="1"/>
  <c r="X209" i="1"/>
  <c r="X213" i="1" l="1"/>
  <c r="Y209" i="1"/>
  <c r="Y213" i="1" l="1"/>
  <c r="AA209" i="1"/>
  <c r="AA213" i="1" s="1"/>
  <c r="Z209" i="1"/>
  <c r="Z213" i="1" l="1"/>
  <c r="AB209" i="1" l="1"/>
  <c r="AB213" i="1" s="1"/>
  <c r="AC209" i="1"/>
  <c r="AC213" i="1" s="1"/>
  <c r="AD209" i="1" l="1"/>
  <c r="AD213" i="1" l="1"/>
  <c r="AE209" i="1"/>
  <c r="AE213" i="1" l="1"/>
  <c r="AG209" i="1"/>
  <c r="AG213" i="1" s="1"/>
  <c r="AF209" i="1"/>
  <c r="AF213" i="1" l="1"/>
  <c r="AH209" i="1" l="1"/>
  <c r="AH213" i="1" s="1"/>
  <c r="AI209" i="1" l="1"/>
  <c r="AI213" i="1" s="1"/>
  <c r="AJ209" i="1" l="1"/>
  <c r="AJ213" i="1" s="1"/>
  <c r="AK209" i="1" l="1"/>
  <c r="AL209" i="1"/>
  <c r="AL213" i="1" l="1"/>
  <c r="AK213" i="1"/>
  <c r="AM209" i="1"/>
  <c r="AM213" i="1" l="1"/>
  <c r="AN209" i="1"/>
  <c r="AN213" i="1" l="1"/>
  <c r="AO209" i="1"/>
  <c r="AO213" i="1" l="1"/>
  <c r="AP209" i="1"/>
  <c r="AP213" i="1" l="1"/>
  <c r="AQ209" i="1"/>
  <c r="AQ213" i="1" l="1"/>
  <c r="AR209" i="1"/>
  <c r="AR213" i="1" l="1"/>
  <c r="AS209" i="1"/>
  <c r="AS213" i="1" l="1"/>
  <c r="AT209" i="1"/>
  <c r="AT213" i="1" l="1"/>
  <c r="AU209" i="1"/>
  <c r="AU213" i="1" l="1"/>
  <c r="AV209" i="1"/>
  <c r="AV213" i="1" l="1"/>
  <c r="AW209" i="1"/>
  <c r="AW213" i="1" l="1"/>
  <c r="AX209" i="1"/>
  <c r="AX213" i="1" l="1"/>
  <c r="O96" i="31" l="1"/>
  <c r="AT96" i="31"/>
  <c r="AS96" i="31"/>
  <c r="AD96" i="31"/>
  <c r="T96" i="31"/>
  <c r="AW96" i="31"/>
  <c r="W96" i="31"/>
  <c r="AU96" i="31"/>
  <c r="AR96" i="31"/>
  <c r="AV96" i="31"/>
  <c r="AE96" i="31"/>
  <c r="P96" i="31"/>
  <c r="AF96" i="31"/>
  <c r="AK96" i="31"/>
  <c r="AM96" i="31"/>
  <c r="AX96" i="31"/>
  <c r="AA96" i="31"/>
  <c r="AQ96" i="31"/>
  <c r="AL96" i="31"/>
  <c r="M96" i="31"/>
  <c r="AG96" i="31"/>
  <c r="AO96" i="31"/>
  <c r="N96" i="31"/>
  <c r="AN96" i="31"/>
  <c r="X96" i="31"/>
  <c r="Q96" i="31"/>
  <c r="AI96" i="31"/>
  <c r="Z96" i="31"/>
  <c r="AC96" i="31"/>
  <c r="AH96" i="31"/>
  <c r="AB96" i="31"/>
  <c r="R96" i="31"/>
  <c r="AP96" i="31"/>
  <c r="Y96" i="31"/>
  <c r="S96" i="31"/>
  <c r="U96" i="31"/>
  <c r="K96" i="31"/>
  <c r="K97" i="31" s="1"/>
  <c r="L96" i="31"/>
  <c r="AJ96" i="31"/>
  <c r="V96" i="31"/>
  <c r="L97" i="31" l="1"/>
  <c r="M97" i="31" s="1"/>
  <c r="N97" i="31" s="1"/>
  <c r="O97" i="31" s="1"/>
  <c r="P97" i="31" s="1"/>
  <c r="Q97" i="31" s="1"/>
  <c r="R97" i="31" s="1"/>
  <c r="S97" i="31" s="1"/>
  <c r="T97" i="31" s="1"/>
  <c r="U97" i="31" s="1"/>
  <c r="V97" i="31" s="1"/>
  <c r="W97" i="31" s="1"/>
  <c r="X97" i="31" s="1"/>
  <c r="Y97" i="31" s="1"/>
  <c r="Z97" i="31" s="1"/>
  <c r="AA97" i="31" s="1"/>
  <c r="AB97" i="31" s="1"/>
  <c r="AC97" i="31" s="1"/>
  <c r="AD97" i="31" s="1"/>
  <c r="AE97" i="31" s="1"/>
  <c r="AF97" i="31" s="1"/>
  <c r="AG97" i="31" s="1"/>
  <c r="AH97" i="31" s="1"/>
  <c r="AI97" i="31" s="1"/>
  <c r="AJ97" i="31" s="1"/>
  <c r="AK97" i="31" s="1"/>
  <c r="AL97" i="31" s="1"/>
  <c r="AM97" i="31" s="1"/>
  <c r="AN97" i="31" s="1"/>
  <c r="AO97" i="31" s="1"/>
  <c r="AP97" i="31" s="1"/>
  <c r="AQ97" i="31" s="1"/>
  <c r="AR97" i="31" s="1"/>
  <c r="AS97" i="31" s="1"/>
  <c r="AT97" i="31" s="1"/>
  <c r="AU97" i="31" s="1"/>
  <c r="AV97" i="31" s="1"/>
  <c r="AW97" i="31" s="1"/>
  <c r="AX97" i="31" s="1"/>
  <c r="I96" i="31"/>
  <c r="F98" i="31" l="1"/>
  <c r="AP100" i="31" s="1"/>
  <c r="AT100" i="31" l="1"/>
  <c r="AO100" i="31"/>
  <c r="AV100" i="31"/>
  <c r="AG100" i="31"/>
  <c r="AQ100" i="31"/>
  <c r="Z100" i="31"/>
  <c r="P100" i="31"/>
  <c r="AE100" i="31"/>
  <c r="V100" i="31"/>
  <c r="AF100" i="31"/>
  <c r="AU100" i="31"/>
  <c r="AN100" i="31"/>
  <c r="AM100" i="31"/>
  <c r="AA100" i="31"/>
  <c r="T100" i="31"/>
  <c r="AD100" i="31"/>
  <c r="X100" i="31"/>
  <c r="AH100" i="31"/>
  <c r="AX100" i="31"/>
  <c r="R100" i="31"/>
  <c r="W100" i="31"/>
  <c r="K100" i="31"/>
  <c r="AC100" i="31"/>
  <c r="AJ100" i="31"/>
  <c r="Q100" i="31"/>
  <c r="AB100" i="31"/>
  <c r="L100" i="31"/>
  <c r="O100" i="31"/>
  <c r="AS100" i="31"/>
  <c r="M100" i="31"/>
  <c r="Y100" i="31"/>
  <c r="AI100" i="31"/>
  <c r="AR100" i="31"/>
  <c r="N100" i="31"/>
  <c r="AL100" i="31"/>
  <c r="S100" i="31"/>
  <c r="AW100" i="31"/>
  <c r="U100" i="31"/>
  <c r="AK100" i="31"/>
  <c r="F102" i="31" l="1"/>
  <c r="F103" i="31" s="1"/>
  <c r="F1027" i="1" l="1"/>
  <c r="F119" i="31"/>
  <c r="F2" i="38" l="1"/>
  <c r="E396" i="38" s="1" a="1"/>
  <c r="E396" i="38" s="1"/>
  <c r="E930" i="38" l="1" a="1"/>
  <c r="E930" i="38" s="1"/>
  <c r="H1047" i="1" s="1"/>
  <c r="E429" i="38" a="1"/>
  <c r="E429" i="38" s="1"/>
  <c r="B409" i="1" s="1"/>
  <c r="E174" i="38" a="1"/>
  <c r="E174" i="38" s="1"/>
  <c r="D73" i="13" s="1"/>
  <c r="E628" i="38" a="1"/>
  <c r="E628" i="38" s="1"/>
  <c r="H58" i="13" s="1"/>
  <c r="E491" i="38"/>
  <c r="E492" i="38"/>
  <c r="C480" i="1" s="1"/>
  <c r="E16" i="38"/>
  <c r="B40" i="24" s="1"/>
  <c r="E12" i="38"/>
  <c r="B36" i="24" s="1"/>
  <c r="E14" i="38"/>
  <c r="E15" i="38"/>
  <c r="B39" i="24" s="1"/>
  <c r="E9" i="38"/>
  <c r="B31" i="24" s="1"/>
  <c r="E17" i="38"/>
  <c r="A48" i="13" s="1"/>
  <c r="E13" i="38"/>
  <c r="E3" i="38"/>
  <c r="C3" i="34" s="1"/>
  <c r="E4" i="38"/>
  <c r="E6" i="38"/>
  <c r="C7" i="34" s="1"/>
  <c r="E5" i="38"/>
  <c r="E10" i="38"/>
  <c r="E11" i="38"/>
  <c r="B35" i="24" s="1"/>
  <c r="E926" i="38" a="1"/>
  <c r="E926" i="38" s="1"/>
  <c r="D20" i="34" s="1"/>
  <c r="E928" i="38" a="1"/>
  <c r="E928" i="38" s="1"/>
  <c r="E929" i="38" a="1"/>
  <c r="E929" i="38" s="1"/>
  <c r="E927" i="38" a="1"/>
  <c r="E927" i="38" s="1"/>
  <c r="E924" i="38" a="1"/>
  <c r="E924" i="38" s="1"/>
  <c r="D21" i="34" s="1"/>
  <c r="E925" i="38" a="1"/>
  <c r="E925" i="38" s="1"/>
  <c r="C20" i="34" s="1"/>
  <c r="E923" i="38" a="1"/>
  <c r="E923" i="38" s="1"/>
  <c r="E922" i="38" a="1"/>
  <c r="E922" i="38" s="1"/>
  <c r="E919" i="38" a="1"/>
  <c r="E919" i="38" s="1"/>
  <c r="P17" i="35" s="1"/>
  <c r="E915" i="38" a="1"/>
  <c r="E915" i="38" s="1"/>
  <c r="P13" i="35" s="1"/>
  <c r="E911" i="38" a="1"/>
  <c r="E911" i="38" s="1"/>
  <c r="B16" i="3" s="1"/>
  <c r="E907" i="38" a="1"/>
  <c r="E907" i="38" s="1"/>
  <c r="B12" i="3" s="1"/>
  <c r="E903" i="38" a="1"/>
  <c r="E903" i="38" s="1"/>
  <c r="D96" i="34" s="1"/>
  <c r="E899" i="38" a="1"/>
  <c r="E899" i="38" s="1"/>
  <c r="D90" i="34" s="1"/>
  <c r="E895" i="38" a="1"/>
  <c r="E895" i="38" s="1"/>
  <c r="D84" i="34" s="1"/>
  <c r="E891" i="38" a="1"/>
  <c r="E891" i="38" s="1"/>
  <c r="D78" i="34" s="1"/>
  <c r="E887" i="38" a="1"/>
  <c r="E887" i="38" s="1"/>
  <c r="D72" i="34" s="1"/>
  <c r="E883" i="38" a="1"/>
  <c r="E883" i="38" s="1"/>
  <c r="E68" i="34" s="1"/>
  <c r="E879" i="38" a="1"/>
  <c r="E879" i="38" s="1"/>
  <c r="E64" i="34" s="1"/>
  <c r="E875" i="38" a="1"/>
  <c r="E875" i="38" s="1"/>
  <c r="D60" i="34" s="1"/>
  <c r="E871" i="38" a="1"/>
  <c r="E871" i="38" s="1"/>
  <c r="E55" i="34" s="1"/>
  <c r="E867" i="38" a="1"/>
  <c r="E867" i="38" s="1"/>
  <c r="E51" i="34" s="1"/>
  <c r="E863" i="38" a="1"/>
  <c r="E863" i="38" s="1"/>
  <c r="E47" i="34" s="1"/>
  <c r="E859" i="38" a="1"/>
  <c r="E859" i="38" s="1"/>
  <c r="E43" i="34" s="1"/>
  <c r="E855" i="38" a="1"/>
  <c r="E855" i="38" s="1"/>
  <c r="D39" i="34" s="1"/>
  <c r="E851" i="38" a="1"/>
  <c r="E851" i="38" s="1"/>
  <c r="D35" i="34" s="1"/>
  <c r="E847" i="38" a="1"/>
  <c r="E847" i="38" s="1"/>
  <c r="E31" i="34" s="1"/>
  <c r="E843" i="38" a="1"/>
  <c r="E843" i="38" s="1"/>
  <c r="D27" i="34" s="1"/>
  <c r="E839" i="38" a="1"/>
  <c r="E839" i="38" s="1"/>
  <c r="D24" i="34" s="1"/>
  <c r="E835" i="38" a="1"/>
  <c r="E835" i="38" s="1"/>
  <c r="D19" i="34" s="1"/>
  <c r="E831" i="38" a="1"/>
  <c r="E831" i="38" s="1"/>
  <c r="B178" i="5" s="1"/>
  <c r="E827" i="38" a="1"/>
  <c r="E827" i="38" s="1"/>
  <c r="R174" i="5" s="1"/>
  <c r="E823" i="38" a="1"/>
  <c r="E823" i="38" s="1"/>
  <c r="R155" i="5" s="1"/>
  <c r="E819" i="38" a="1"/>
  <c r="E819" i="38" s="1"/>
  <c r="B155" i="5" s="1"/>
  <c r="E815" i="38" a="1"/>
  <c r="E815" i="38" s="1"/>
  <c r="R123" i="5" s="1"/>
  <c r="E811" i="38" a="1"/>
  <c r="E811" i="38" s="1"/>
  <c r="E807" i="38" a="1"/>
  <c r="E807" i="38" s="1"/>
  <c r="B30" i="24" s="1"/>
  <c r="E803" i="38" a="1"/>
  <c r="E803" i="38" s="1"/>
  <c r="B15" i="34" s="1"/>
  <c r="E799" i="38" a="1"/>
  <c r="E799" i="38" s="1"/>
  <c r="M3" i="24" s="1"/>
  <c r="E795" i="38" a="1"/>
  <c r="E795" i="38" s="1"/>
  <c r="E791" i="38" a="1"/>
  <c r="E791" i="38" s="1"/>
  <c r="E105" i="35" s="1"/>
  <c r="E787" i="38" a="1"/>
  <c r="E787" i="38" s="1"/>
  <c r="E783" i="38" a="1"/>
  <c r="E783" i="38" s="1"/>
  <c r="G68" i="11" s="1"/>
  <c r="G283" i="31" s="1"/>
  <c r="E779" i="38" a="1"/>
  <c r="E779" i="38" s="1"/>
  <c r="G83" i="11" s="1"/>
  <c r="E775" i="38" a="1"/>
  <c r="E775" i="38" s="1"/>
  <c r="G41" i="36" s="1"/>
  <c r="E771" i="38" a="1"/>
  <c r="E771" i="38" s="1"/>
  <c r="E767" i="38" a="1"/>
  <c r="E767" i="38" s="1"/>
  <c r="E763" i="38" a="1"/>
  <c r="E763" i="38" s="1"/>
  <c r="A101" i="35" s="1"/>
  <c r="E760" i="38" a="1"/>
  <c r="E760" i="38" s="1"/>
  <c r="B14" i="11" s="1"/>
  <c r="E757" i="38" a="1"/>
  <c r="E757" i="38" s="1"/>
  <c r="G1" i="35" s="1"/>
  <c r="E750" i="38" a="1"/>
  <c r="E750" i="38" s="1"/>
  <c r="A43" i="11" s="1"/>
  <c r="G15" i="24" s="1"/>
  <c r="E747" i="38" a="1"/>
  <c r="E747" i="38" s="1"/>
  <c r="F88" i="11" s="1"/>
  <c r="F484" i="1" s="1"/>
  <c r="E744" i="38" a="1"/>
  <c r="E744" i="38" s="1"/>
  <c r="F795" i="1" s="1"/>
  <c r="E741" i="38" a="1"/>
  <c r="E741" i="38" s="1"/>
  <c r="F284" i="1" s="1"/>
  <c r="E734" i="38" a="1"/>
  <c r="E734" i="38" s="1"/>
  <c r="H61" i="13" s="1"/>
  <c r="E731" i="38" a="1"/>
  <c r="E731" i="38" s="1"/>
  <c r="H72" i="13" s="1"/>
  <c r="E728" i="38" a="1"/>
  <c r="E728" i="38" s="1"/>
  <c r="E725" i="38" a="1"/>
  <c r="E725" i="38" s="1"/>
  <c r="E718" i="38" a="1"/>
  <c r="E718" i="38" s="1"/>
  <c r="E715" i="38" a="1"/>
  <c r="E715" i="38" s="1"/>
  <c r="E712" i="38" a="1"/>
  <c r="E712" i="38" s="1"/>
  <c r="E709" i="38" a="1"/>
  <c r="E709" i="38" s="1"/>
  <c r="E702" i="38" a="1"/>
  <c r="E702" i="38" s="1"/>
  <c r="E699" i="38" a="1"/>
  <c r="E699" i="38" s="1"/>
  <c r="B4" i="12" s="1"/>
  <c r="E696" i="38" a="1"/>
  <c r="E696" i="38" s="1"/>
  <c r="H200" i="31" s="1"/>
  <c r="E693" i="38" a="1"/>
  <c r="E693" i="38" s="1"/>
  <c r="C176" i="31" s="1"/>
  <c r="E690" i="38" a="1"/>
  <c r="E690" i="38" s="1"/>
  <c r="E687" i="38" a="1"/>
  <c r="E687" i="38" s="1"/>
  <c r="B185" i="31" s="1"/>
  <c r="E684" i="38" a="1"/>
  <c r="E684" i="38" s="1"/>
  <c r="E678" i="38" a="1"/>
  <c r="E678" i="38" s="1"/>
  <c r="E673" i="38" a="1"/>
  <c r="E673" i="38" s="1"/>
  <c r="E667" i="38" a="1"/>
  <c r="E667" i="38" s="1"/>
  <c r="E200" i="31" s="1"/>
  <c r="E664" i="38" a="1"/>
  <c r="E664" i="38" s="1"/>
  <c r="E661" i="38" a="1"/>
  <c r="E661" i="38" s="1"/>
  <c r="E658" i="38" a="1"/>
  <c r="E658" i="38" s="1"/>
  <c r="E174" i="31" s="1"/>
  <c r="E655" i="38" a="1"/>
  <c r="E655" i="38" s="1"/>
  <c r="E31" i="31" s="1"/>
  <c r="E990" i="1" s="1"/>
  <c r="E652" i="38" a="1"/>
  <c r="E652" i="38" s="1"/>
  <c r="E646" i="38" a="1"/>
  <c r="E646" i="38" s="1"/>
  <c r="U62" i="5" s="1"/>
  <c r="E641" i="38" a="1"/>
  <c r="E641" i="38" s="1"/>
  <c r="C193" i="5" s="1"/>
  <c r="E635" i="38" a="1"/>
  <c r="E635" i="38" s="1"/>
  <c r="N221" i="5" s="1"/>
  <c r="E632" i="38" a="1"/>
  <c r="E632" i="38" s="1"/>
  <c r="M218" i="5" s="1"/>
  <c r="E629" i="38" a="1"/>
  <c r="E629" i="38" s="1"/>
  <c r="B214" i="5" s="1"/>
  <c r="E918" i="38" a="1"/>
  <c r="E918" i="38" s="1"/>
  <c r="P16" i="35" s="1"/>
  <c r="E914" i="38" a="1"/>
  <c r="E914" i="38" s="1"/>
  <c r="P9" i="35" s="1"/>
  <c r="E910" i="38" a="1"/>
  <c r="E910" i="38" s="1"/>
  <c r="B15" i="3" s="1"/>
  <c r="E906" i="38" a="1"/>
  <c r="E906" i="38" s="1"/>
  <c r="B10" i="3" s="1"/>
  <c r="E902" i="38" a="1"/>
  <c r="E902" i="38" s="1"/>
  <c r="D94" i="34" s="1"/>
  <c r="E898" i="38" a="1"/>
  <c r="E898" i="38" s="1"/>
  <c r="D89" i="34" s="1"/>
  <c r="E894" i="38" a="1"/>
  <c r="E894" i="38" s="1"/>
  <c r="D97" i="34" s="1"/>
  <c r="E890" i="38" a="1"/>
  <c r="E890" i="38" s="1"/>
  <c r="D77" i="34" s="1"/>
  <c r="E886" i="38" a="1"/>
  <c r="E886" i="38" s="1"/>
  <c r="D71" i="34" s="1"/>
  <c r="E882" i="38" a="1"/>
  <c r="E882" i="38" s="1"/>
  <c r="D67" i="34" s="1"/>
  <c r="E878" i="38" a="1"/>
  <c r="E878" i="38" s="1"/>
  <c r="D63" i="34" s="1"/>
  <c r="E874" i="38" a="1"/>
  <c r="E874" i="38" s="1"/>
  <c r="D58" i="34" s="1"/>
  <c r="E870" i="38" a="1"/>
  <c r="E870" i="38" s="1"/>
  <c r="E54" i="34" s="1"/>
  <c r="E866" i="38" a="1"/>
  <c r="E866" i="38" s="1"/>
  <c r="E50" i="34" s="1"/>
  <c r="E862" i="38" a="1"/>
  <c r="E862" i="38" s="1"/>
  <c r="E46" i="34" s="1"/>
  <c r="E858" i="38" a="1"/>
  <c r="E858" i="38" s="1"/>
  <c r="E42" i="34" s="1"/>
  <c r="E854" i="38" a="1"/>
  <c r="E854" i="38" s="1"/>
  <c r="D38" i="34" s="1"/>
  <c r="E850" i="38" a="1"/>
  <c r="E850" i="38" s="1"/>
  <c r="D34" i="34" s="1"/>
  <c r="E846" i="38" a="1"/>
  <c r="E846" i="38" s="1"/>
  <c r="E30" i="34" s="1"/>
  <c r="E842" i="38" a="1"/>
  <c r="E842" i="38" s="1"/>
  <c r="D26" i="34" s="1"/>
  <c r="E838" i="38" a="1"/>
  <c r="E838" i="38" s="1"/>
  <c r="C24" i="34" s="1"/>
  <c r="E834" i="38" a="1"/>
  <c r="E834" i="38" s="1"/>
  <c r="D18" i="34" s="1"/>
  <c r="E830" i="38" a="1"/>
  <c r="E830" i="38" s="1"/>
  <c r="V191" i="5" s="1"/>
  <c r="E826" i="38" a="1"/>
  <c r="E826" i="38" s="1"/>
  <c r="U170" i="5" s="1"/>
  <c r="E921" i="38" a="1"/>
  <c r="E921" i="38" s="1"/>
  <c r="P19" i="35" s="1"/>
  <c r="E913" i="38" a="1"/>
  <c r="E913" i="38" s="1"/>
  <c r="B19" i="3" s="1"/>
  <c r="E905" i="38" a="1"/>
  <c r="E905" i="38" s="1"/>
  <c r="D100" i="34" s="1"/>
  <c r="E897" i="38" a="1"/>
  <c r="E897" i="38" s="1"/>
  <c r="D88" i="34" s="1"/>
  <c r="E889" i="38" a="1"/>
  <c r="E889" i="38" s="1"/>
  <c r="D74" i="34" s="1"/>
  <c r="E881" i="38" a="1"/>
  <c r="E881" i="38" s="1"/>
  <c r="C66" i="34" s="1"/>
  <c r="E873" i="38" a="1"/>
  <c r="E873" i="38" s="1"/>
  <c r="E57" i="34" s="1"/>
  <c r="E865" i="38" a="1"/>
  <c r="E865" i="38" s="1"/>
  <c r="E49" i="34" s="1"/>
  <c r="E857" i="38" a="1"/>
  <c r="E857" i="38" s="1"/>
  <c r="E41" i="34" s="1"/>
  <c r="E849" i="38" a="1"/>
  <c r="E849" i="38" s="1"/>
  <c r="B33" i="34" s="1"/>
  <c r="E841" i="38" a="1"/>
  <c r="E841" i="38" s="1"/>
  <c r="D25" i="34" s="1"/>
  <c r="E833" i="38" a="1"/>
  <c r="E833" i="38" s="1"/>
  <c r="C18" i="34" s="1"/>
  <c r="E825" i="38" a="1"/>
  <c r="E825" i="38" s="1"/>
  <c r="R171" i="5" s="1"/>
  <c r="E820" i="38" a="1"/>
  <c r="E820" i="38" s="1"/>
  <c r="B156" i="5" s="1"/>
  <c r="E814" i="38" a="1"/>
  <c r="E814" i="38" s="1"/>
  <c r="R131" i="5" s="1"/>
  <c r="E809" i="38" a="1"/>
  <c r="E809" i="38" s="1"/>
  <c r="R106" i="5" s="1"/>
  <c r="E804" i="38" a="1"/>
  <c r="E804" i="38" s="1"/>
  <c r="J3" i="34" s="1"/>
  <c r="E798" i="38" a="1"/>
  <c r="E798" i="38" s="1"/>
  <c r="E793" i="38" a="1"/>
  <c r="E793" i="38" s="1"/>
  <c r="E107" i="35" s="1"/>
  <c r="E788" i="38" a="1"/>
  <c r="E788" i="38" s="1"/>
  <c r="E782" i="38" a="1"/>
  <c r="E782" i="38" s="1"/>
  <c r="E777" i="38" a="1"/>
  <c r="E777" i="38" s="1"/>
  <c r="B32" i="11" s="1"/>
  <c r="E772" i="38" a="1"/>
  <c r="E772" i="38" s="1"/>
  <c r="E766" i="38" a="1"/>
  <c r="E766" i="38" s="1"/>
  <c r="F2" i="35" s="1"/>
  <c r="E762" i="38" a="1"/>
  <c r="E762" i="38" s="1"/>
  <c r="A56" i="35" s="1"/>
  <c r="E758" i="38" a="1"/>
  <c r="E758" i="38" s="1"/>
  <c r="E753" i="38" a="1"/>
  <c r="E753" i="38" s="1"/>
  <c r="A77" i="11" s="1"/>
  <c r="G17" i="24" s="1"/>
  <c r="E749" i="38" a="1"/>
  <c r="E749" i="38" s="1"/>
  <c r="A9" i="11" s="1"/>
  <c r="G14" i="24" s="1"/>
  <c r="E745" i="38" a="1"/>
  <c r="E745" i="38" s="1"/>
  <c r="G183" i="1" s="1"/>
  <c r="E740" i="38" a="1"/>
  <c r="E740" i="38" s="1"/>
  <c r="F283" i="1" s="1"/>
  <c r="E736" i="38" a="1"/>
  <c r="E736" i="38" s="1"/>
  <c r="D64" i="13" s="1"/>
  <c r="E732" i="38" a="1"/>
  <c r="E732" i="38" s="1"/>
  <c r="H54" i="13" s="1"/>
  <c r="E727" i="38" a="1"/>
  <c r="E727" i="38" s="1"/>
  <c r="E723" i="38" a="1"/>
  <c r="E723" i="38" s="1"/>
  <c r="E45" i="33" s="1"/>
  <c r="E719" i="38" a="1"/>
  <c r="E719" i="38" s="1"/>
  <c r="E23" i="36" s="1"/>
  <c r="E714" i="38" a="1"/>
  <c r="E714" i="38" s="1"/>
  <c r="E710" i="38" a="1"/>
  <c r="E710" i="38" s="1"/>
  <c r="E706" i="38" a="1"/>
  <c r="E706" i="38" s="1"/>
  <c r="E40" i="12" s="1"/>
  <c r="E682" i="38" a="1"/>
  <c r="E682" i="38" s="1"/>
  <c r="E674" i="38" a="1"/>
  <c r="E674" i="38" s="1"/>
  <c r="E284" i="31" s="1"/>
  <c r="E232" i="1" s="1"/>
  <c r="E670" i="38" a="1"/>
  <c r="E670" i="38" s="1"/>
  <c r="E245" i="31" s="1"/>
  <c r="E666" i="38" a="1"/>
  <c r="E666" i="38" s="1"/>
  <c r="E193" i="31" s="1"/>
  <c r="E227" i="12" s="1"/>
  <c r="E662" i="38" a="1"/>
  <c r="E662" i="38" s="1"/>
  <c r="E181" i="31" s="1"/>
  <c r="E659" i="38" a="1"/>
  <c r="E659" i="38" s="1"/>
  <c r="E654" i="38" a="1"/>
  <c r="E654" i="38" s="1"/>
  <c r="E651" i="38" a="1"/>
  <c r="E651" i="38" s="1"/>
  <c r="E647" i="38" a="1"/>
  <c r="E647" i="38" s="1"/>
  <c r="AC62" i="5" s="1"/>
  <c r="E643" i="38" a="1"/>
  <c r="E643" i="38" s="1"/>
  <c r="C195" i="5" s="1"/>
  <c r="E639" i="38" a="1"/>
  <c r="E639" i="38" s="1"/>
  <c r="E631" i="38" a="1"/>
  <c r="E631" i="38" s="1"/>
  <c r="B216" i="5" s="1"/>
  <c r="E624" i="38" a="1"/>
  <c r="E624" i="38" s="1"/>
  <c r="E618" i="38" a="1"/>
  <c r="E618" i="38" s="1"/>
  <c r="E615" i="38" a="1"/>
  <c r="E615" i="38" s="1"/>
  <c r="A74" i="35" s="1"/>
  <c r="E612" i="38" a="1"/>
  <c r="E612" i="38" s="1"/>
  <c r="B19" i="5" s="1"/>
  <c r="E609" i="38" a="1"/>
  <c r="E609" i="38" s="1"/>
  <c r="E606" i="38" a="1"/>
  <c r="E606" i="38" s="1"/>
  <c r="E603" i="38" a="1"/>
  <c r="E603" i="38" s="1"/>
  <c r="E597" i="38" a="1"/>
  <c r="E597" i="38" s="1"/>
  <c r="E592" i="38" a="1"/>
  <c r="E592" i="38" s="1"/>
  <c r="E119" i="31" s="1"/>
  <c r="E586" i="38" a="1"/>
  <c r="E586" i="38" s="1"/>
  <c r="E102" i="31" s="1"/>
  <c r="E577" i="38" a="1"/>
  <c r="E577" i="38" s="1"/>
  <c r="E70" i="31" s="1"/>
  <c r="E138" i="31" s="1"/>
  <c r="E572" i="38" a="1"/>
  <c r="E572" i="38" s="1"/>
  <c r="A37" i="31" s="1"/>
  <c r="K6" i="24" s="1"/>
  <c r="E569" i="38" a="1"/>
  <c r="E569" i="38" s="1"/>
  <c r="B8" i="31" s="1"/>
  <c r="E565" i="38" a="1"/>
  <c r="E565" i="38" s="1"/>
  <c r="E75" i="11"/>
  <c r="E557" i="38" a="1"/>
  <c r="E557" i="38" s="1"/>
  <c r="E67" i="11" s="1"/>
  <c r="E277" i="31" s="1"/>
  <c r="E554" i="38" a="1"/>
  <c r="E554" i="38" s="1"/>
  <c r="E61" i="11" s="1"/>
  <c r="E920" i="38" a="1"/>
  <c r="E920" i="38" s="1"/>
  <c r="P18" i="35" s="1"/>
  <c r="E912" i="38" a="1"/>
  <c r="E912" i="38" s="1"/>
  <c r="B17" i="3" s="1"/>
  <c r="E904" i="38" a="1"/>
  <c r="E904" i="38" s="1"/>
  <c r="D99" i="34" s="1"/>
  <c r="E896" i="38" a="1"/>
  <c r="E896" i="38" s="1"/>
  <c r="D87" i="34" s="1"/>
  <c r="E888" i="38" a="1"/>
  <c r="E888" i="38" s="1"/>
  <c r="D73" i="34" s="1"/>
  <c r="E880" i="38" a="1"/>
  <c r="E880" i="38" s="1"/>
  <c r="D65" i="34" s="1"/>
  <c r="E872" i="38" a="1"/>
  <c r="E872" i="38" s="1"/>
  <c r="E56" i="34" s="1"/>
  <c r="E864" i="38" a="1"/>
  <c r="E864" i="38" s="1"/>
  <c r="E48" i="34" s="1"/>
  <c r="E856" i="38" a="1"/>
  <c r="E856" i="38" s="1"/>
  <c r="E40" i="34" s="1"/>
  <c r="E848" i="38" a="1"/>
  <c r="E848" i="38" s="1"/>
  <c r="E32" i="34" s="1"/>
  <c r="E840" i="38" a="1"/>
  <c r="E840" i="38" s="1"/>
  <c r="C25" i="34" s="1"/>
  <c r="E832" i="38" a="1"/>
  <c r="E832" i="38" s="1"/>
  <c r="B197" i="5" s="1"/>
  <c r="E824" i="38" a="1"/>
  <c r="E824" i="38" s="1"/>
  <c r="E818" i="38" a="1"/>
  <c r="E818" i="38" s="1"/>
  <c r="B154" i="5" s="1"/>
  <c r="E813" i="38" a="1"/>
  <c r="E813" i="38" s="1"/>
  <c r="E808" i="38" a="1"/>
  <c r="E808" i="38" s="1"/>
  <c r="G30" i="24" s="1"/>
  <c r="E802" i="38" a="1"/>
  <c r="E802" i="38" s="1"/>
  <c r="A17" i="34" s="1"/>
  <c r="E797" i="38" a="1"/>
  <c r="E797" i="38" s="1"/>
  <c r="E792" i="38" a="1"/>
  <c r="E792" i="38" s="1"/>
  <c r="E5" i="35" s="1"/>
  <c r="E786" i="38" a="1"/>
  <c r="E786" i="38" s="1"/>
  <c r="E781" i="38" a="1"/>
  <c r="E781" i="38" s="1"/>
  <c r="E776" i="38" a="1"/>
  <c r="E776" i="38" s="1"/>
  <c r="B17" i="11" s="1"/>
  <c r="E770" i="38" a="1"/>
  <c r="E770" i="38" s="1"/>
  <c r="E765" i="38" a="1"/>
  <c r="E765" i="38" s="1"/>
  <c r="B9" i="35" s="1"/>
  <c r="E761" i="38" a="1"/>
  <c r="E761" i="38" s="1"/>
  <c r="A7" i="35" s="1"/>
  <c r="E756" i="38" a="1"/>
  <c r="E756" i="38" s="1"/>
  <c r="A74" i="7" s="1"/>
  <c r="E752" i="38" a="1"/>
  <c r="E752" i="38" s="1"/>
  <c r="A71" i="11" s="1"/>
  <c r="G16" i="24" s="1"/>
  <c r="E748" i="38" a="1"/>
  <c r="E748" i="38" s="1"/>
  <c r="E743" i="38" a="1"/>
  <c r="E743" i="38" s="1"/>
  <c r="F762" i="1" s="1"/>
  <c r="E739" i="38" a="1"/>
  <c r="E739" i="38" s="1"/>
  <c r="F92" i="11" s="1"/>
  <c r="E735" i="38" a="1"/>
  <c r="E735" i="38" s="1"/>
  <c r="D61" i="13" s="1"/>
  <c r="E730" i="38" a="1"/>
  <c r="E730" i="38" s="1"/>
  <c r="E726" i="38" a="1"/>
  <c r="E726" i="38" s="1"/>
  <c r="C28" i="34" s="1"/>
  <c r="E722" i="38" a="1"/>
  <c r="E722" i="38" s="1"/>
  <c r="E705" i="38" a="1"/>
  <c r="E705" i="38" s="1"/>
  <c r="E13" i="12" s="1"/>
  <c r="R64" i="5" s="1"/>
  <c r="E701" i="38" a="1"/>
  <c r="E701" i="38" s="1"/>
  <c r="E697" i="38" a="1"/>
  <c r="E697" i="38" s="1"/>
  <c r="H252" i="31" s="1"/>
  <c r="E692" i="38" a="1"/>
  <c r="E692" i="38" s="1"/>
  <c r="B281" i="31" s="1"/>
  <c r="E689" i="38" a="1"/>
  <c r="E689" i="38" s="1"/>
  <c r="B202" i="31" s="1"/>
  <c r="E685" i="38" a="1"/>
  <c r="E685" i="38" s="1"/>
  <c r="B171" i="31" s="1"/>
  <c r="E681" i="38" a="1"/>
  <c r="E681" i="38" s="1"/>
  <c r="B45" i="31" s="1"/>
  <c r="E677" i="38" a="1"/>
  <c r="E677" i="38" s="1"/>
  <c r="E669" i="38" a="1"/>
  <c r="E669" i="38" s="1"/>
  <c r="E236" i="31" s="1"/>
  <c r="E650" i="38" a="1"/>
  <c r="E650" i="38" s="1"/>
  <c r="B72" i="5" s="1"/>
  <c r="E642" i="38" a="1"/>
  <c r="E642" i="38" s="1"/>
  <c r="C194" i="5" s="1"/>
  <c r="E638" i="38" a="1"/>
  <c r="E638" i="38" s="1"/>
  <c r="K224" i="5" s="1"/>
  <c r="E634" i="38" a="1"/>
  <c r="E634" i="38" s="1"/>
  <c r="N220" i="5" s="1"/>
  <c r="E630" i="38" a="1"/>
  <c r="E630" i="38" s="1"/>
  <c r="E626" i="38" a="1"/>
  <c r="E626" i="38" s="1"/>
  <c r="E623" i="38" a="1"/>
  <c r="E623" i="38" s="1"/>
  <c r="E620" i="38" a="1"/>
  <c r="E620" i="38" s="1"/>
  <c r="E617" i="38" a="1"/>
  <c r="E617" i="38" s="1"/>
  <c r="E614" i="38" a="1"/>
  <c r="E614" i="38" s="1"/>
  <c r="E611" i="38" a="1"/>
  <c r="E611" i="38" s="1"/>
  <c r="E605" i="38" a="1"/>
  <c r="E605" i="38" s="1"/>
  <c r="A95" i="1" s="1"/>
  <c r="E600" i="38" a="1"/>
  <c r="E600" i="38" s="1"/>
  <c r="E594" i="38" a="1"/>
  <c r="E594" i="38" s="1"/>
  <c r="E122" i="31" s="1"/>
  <c r="E591" i="38" a="1"/>
  <c r="E591" i="38" s="1"/>
  <c r="E116" i="31" s="1"/>
  <c r="E118" i="31" s="1"/>
  <c r="E588" i="38" a="1"/>
  <c r="E588" i="38" s="1"/>
  <c r="B109" i="31" s="1"/>
  <c r="E585" i="38" a="1"/>
  <c r="E585" i="38" s="1"/>
  <c r="E100" i="31" s="1"/>
  <c r="E583" i="38" a="1"/>
  <c r="E583" i="38" s="1"/>
  <c r="B93" i="31" s="1"/>
  <c r="E581" i="38" a="1"/>
  <c r="E581" i="38" s="1"/>
  <c r="A88" i="31" s="1"/>
  <c r="E579" i="38" a="1"/>
  <c r="E579" i="38" s="1"/>
  <c r="E574" i="38" a="1"/>
  <c r="E574" i="38" s="1"/>
  <c r="E57" i="31" s="1"/>
  <c r="E91" i="31" s="1"/>
  <c r="E571" i="38" a="1"/>
  <c r="E571" i="38" s="1"/>
  <c r="E568" i="38" a="1"/>
  <c r="E568" i="38" s="1"/>
  <c r="E101" i="11" s="1"/>
  <c r="E2" i="38" s="1"/>
  <c r="E562" i="38" a="1"/>
  <c r="E562" i="38" s="1"/>
  <c r="E81" i="11" s="1"/>
  <c r="E559" i="38" a="1"/>
  <c r="E559" i="38" s="1"/>
  <c r="E69" i="11" s="1"/>
  <c r="E272" i="31" s="1"/>
  <c r="E556" i="38" a="1"/>
  <c r="E556" i="38" s="1"/>
  <c r="E63" i="11" s="1"/>
  <c r="E553" i="38" a="1"/>
  <c r="E553" i="38" s="1"/>
  <c r="E917" i="38" a="1"/>
  <c r="E917" i="38" s="1"/>
  <c r="P15" i="35" s="1"/>
  <c r="E909" i="38" a="1"/>
  <c r="E909" i="38" s="1"/>
  <c r="B14" i="3" s="1"/>
  <c r="E901" i="38" a="1"/>
  <c r="E901" i="38" s="1"/>
  <c r="D93" i="34" s="1"/>
  <c r="E893" i="38" a="1"/>
  <c r="E893" i="38" s="1"/>
  <c r="D81" i="34" s="1"/>
  <c r="E885" i="38" a="1"/>
  <c r="E885" i="38" s="1"/>
  <c r="D70" i="34" s="1"/>
  <c r="E877" i="38" a="1"/>
  <c r="E877" i="38" s="1"/>
  <c r="E62" i="34" s="1"/>
  <c r="E869" i="38" a="1"/>
  <c r="E869" i="38" s="1"/>
  <c r="E53" i="34" s="1"/>
  <c r="E861" i="38" a="1"/>
  <c r="E861" i="38" s="1"/>
  <c r="E45" i="34" s="1"/>
  <c r="E853" i="38" a="1"/>
  <c r="E853" i="38" s="1"/>
  <c r="D37" i="34" s="1"/>
  <c r="E845" i="38" a="1"/>
  <c r="E845" i="38" s="1"/>
  <c r="D29" i="34" s="1"/>
  <c r="E837" i="38" a="1"/>
  <c r="E837" i="38" s="1"/>
  <c r="D22" i="34" s="1"/>
  <c r="E829" i="38" a="1"/>
  <c r="E829" i="38" s="1"/>
  <c r="R180" i="5" s="1"/>
  <c r="B174" i="5" s="1"/>
  <c r="E822" i="38" a="1"/>
  <c r="E822" i="38" s="1"/>
  <c r="T147" i="5" s="1"/>
  <c r="E817" i="38" a="1"/>
  <c r="E817" i="38" s="1"/>
  <c r="B150" i="5" s="1"/>
  <c r="E812" i="38" a="1"/>
  <c r="E812" i="38" s="1"/>
  <c r="F89" i="11" s="1"/>
  <c r="E806" i="38" a="1"/>
  <c r="E806" i="38" s="1"/>
  <c r="E801" i="38" a="1"/>
  <c r="E801" i="38" s="1"/>
  <c r="E5" i="34" s="1"/>
  <c r="E796" i="38" a="1"/>
  <c r="E796" i="38" s="1"/>
  <c r="E790" i="38" a="1"/>
  <c r="E790" i="38" s="1"/>
  <c r="E785" i="38" a="1"/>
  <c r="E785" i="38" s="1"/>
  <c r="B25" i="7" s="1"/>
  <c r="E780" i="38" a="1"/>
  <c r="E780" i="38" s="1"/>
  <c r="E774" i="38" a="1"/>
  <c r="E774" i="38" s="1"/>
  <c r="E769" i="38" a="1"/>
  <c r="E769" i="38" s="1"/>
  <c r="E764" i="38" a="1"/>
  <c r="E764" i="38" s="1"/>
  <c r="A108" i="35" s="1"/>
  <c r="E755" i="38" a="1"/>
  <c r="E755" i="38" s="1"/>
  <c r="E751" i="38" a="1"/>
  <c r="E751" i="38" s="1"/>
  <c r="A49" i="11" s="1"/>
  <c r="E746" i="38" a="1"/>
  <c r="E746" i="38" s="1"/>
  <c r="F87" i="11" s="1"/>
  <c r="F483" i="1" s="1"/>
  <c r="E742" i="38" a="1"/>
  <c r="E742" i="38" s="1"/>
  <c r="F761" i="1" s="1"/>
  <c r="E738" i="38" a="1"/>
  <c r="E738" i="38" s="1"/>
  <c r="E721" i="38" a="1"/>
  <c r="E721" i="38" s="1"/>
  <c r="E28" i="36" s="1"/>
  <c r="E717" i="38" a="1"/>
  <c r="E717" i="38" s="1"/>
  <c r="E713" i="38" a="1"/>
  <c r="E713" i="38" s="1"/>
  <c r="E708" i="38" a="1"/>
  <c r="E708" i="38" s="1"/>
  <c r="R203" i="5" s="1"/>
  <c r="E704" i="38" a="1"/>
  <c r="E704" i="38" s="1"/>
  <c r="E700" i="38" a="1"/>
  <c r="E700" i="38" s="1"/>
  <c r="E695" i="38" a="1"/>
  <c r="E695" i="38" s="1"/>
  <c r="H176" i="31" s="1"/>
  <c r="E688" i="38" a="1"/>
  <c r="E688" i="38" s="1"/>
  <c r="B197" i="31" s="1"/>
  <c r="E680" i="38" a="1"/>
  <c r="E680" i="38" s="1"/>
  <c r="B39" i="31" s="1"/>
  <c r="E676" i="38" a="1"/>
  <c r="E676" i="38" s="1"/>
  <c r="A169" i="31" s="1"/>
  <c r="K10" i="24" s="1"/>
  <c r="E672" i="38" a="1"/>
  <c r="E672" i="38" s="1"/>
  <c r="E274" i="31" s="1"/>
  <c r="E276" i="31" s="1"/>
  <c r="E668" i="38" a="1"/>
  <c r="E668" i="38" s="1"/>
  <c r="E52" i="11" s="1"/>
  <c r="E665" i="38" a="1"/>
  <c r="E665" i="38" s="1"/>
  <c r="E192" i="31" s="1"/>
  <c r="E660" i="38" a="1"/>
  <c r="E660" i="38" s="1"/>
  <c r="E177" i="31" s="1"/>
  <c r="E657" i="38" a="1"/>
  <c r="E657" i="38" s="1"/>
  <c r="E173" i="31" s="1"/>
  <c r="E653" i="38" a="1"/>
  <c r="E653" i="38" s="1"/>
  <c r="E649" i="38" a="1"/>
  <c r="E649" i="38" s="1"/>
  <c r="B65" i="5" s="1"/>
  <c r="E645" i="38" a="1"/>
  <c r="E645" i="38" s="1"/>
  <c r="E637" i="38" a="1"/>
  <c r="E637" i="38" s="1"/>
  <c r="K215" i="5" s="1"/>
  <c r="E625" i="38" a="1"/>
  <c r="E625" i="38" s="1"/>
  <c r="F91" i="11" s="1"/>
  <c r="E622" i="38" a="1"/>
  <c r="E622" i="38" s="1"/>
  <c r="N3" i="5" s="1"/>
  <c r="E619" i="38" a="1"/>
  <c r="E619" i="38" s="1"/>
  <c r="E613" i="38" a="1"/>
  <c r="E613" i="38" s="1"/>
  <c r="B48" i="5" s="1"/>
  <c r="E608" i="38" a="1"/>
  <c r="E608" i="38" s="1"/>
  <c r="G82" i="1" s="1"/>
  <c r="E602" i="38" a="1"/>
  <c r="E602" i="38" s="1"/>
  <c r="K9" i="1" s="1"/>
  <c r="E599" i="38" a="1"/>
  <c r="E599" i="38" s="1"/>
  <c r="E596" i="38" a="1"/>
  <c r="E596" i="38" s="1"/>
  <c r="A14" i="1" s="1"/>
  <c r="E593" i="38" a="1"/>
  <c r="E593" i="38" s="1"/>
  <c r="E120" i="31" s="1"/>
  <c r="B22" i="5" s="1"/>
  <c r="E590" i="38" a="1"/>
  <c r="E590" i="38" s="1"/>
  <c r="E113" i="31" s="1"/>
  <c r="E587" i="38" a="1"/>
  <c r="E587" i="38" s="1"/>
  <c r="E576" i="38" a="1"/>
  <c r="E576" i="38" s="1"/>
  <c r="E65" i="31" s="1"/>
  <c r="E573" i="38" a="1"/>
  <c r="E573" i="38" s="1"/>
  <c r="E56" i="31" s="1"/>
  <c r="E567" i="38" a="1"/>
  <c r="E567" i="38" s="1"/>
  <c r="E564" i="38" a="1"/>
  <c r="E564" i="38" s="1"/>
  <c r="E83" i="11" s="1"/>
  <c r="E561" i="38" a="1"/>
  <c r="E561" i="38" s="1"/>
  <c r="E80" i="11" s="1"/>
  <c r="E278" i="31" s="1"/>
  <c r="E558" i="38" a="1"/>
  <c r="E558" i="38" s="1"/>
  <c r="E68" i="11" s="1"/>
  <c r="E283" i="31" s="1"/>
  <c r="E552" i="38" a="1"/>
  <c r="E552" i="38" s="1"/>
  <c r="E45" i="11" s="1"/>
  <c r="E549" i="38" a="1"/>
  <c r="E549" i="38" s="1"/>
  <c r="E916" i="38" a="1"/>
  <c r="E916" i="38" s="1"/>
  <c r="P14" i="35" s="1"/>
  <c r="E884" i="38" a="1"/>
  <c r="E884" i="38" s="1"/>
  <c r="E69" i="34" s="1"/>
  <c r="E852" i="38" a="1"/>
  <c r="E852" i="38" s="1"/>
  <c r="D36" i="34" s="1"/>
  <c r="E821" i="38" a="1"/>
  <c r="E821" i="38" s="1"/>
  <c r="R146" i="5" s="1"/>
  <c r="E800" i="38" a="1"/>
  <c r="E800" i="38" s="1"/>
  <c r="E3" i="34" s="1"/>
  <c r="E778" i="38" a="1"/>
  <c r="E778" i="38" s="1"/>
  <c r="G79" i="11" s="1"/>
  <c r="E759" i="38" a="1"/>
  <c r="E759" i="38" s="1"/>
  <c r="G31" i="31" s="1"/>
  <c r="G990" i="1" s="1"/>
  <c r="E724" i="38" a="1"/>
  <c r="E724" i="38" s="1"/>
  <c r="B22" i="36" s="1"/>
  <c r="E707" i="38" a="1"/>
  <c r="E707" i="38" s="1"/>
  <c r="R204" i="5" s="1"/>
  <c r="E691" i="38" a="1"/>
  <c r="E691" i="38" s="1"/>
  <c r="B271" i="31" s="1"/>
  <c r="E675" i="38" a="1"/>
  <c r="E675" i="38" s="1"/>
  <c r="E128" i="7" s="1"/>
  <c r="E644" i="38" a="1"/>
  <c r="E644" i="38" s="1"/>
  <c r="C196" i="5" s="1"/>
  <c r="E627" i="38" a="1"/>
  <c r="E627" i="38" s="1"/>
  <c r="E616" i="38" a="1"/>
  <c r="E616" i="38" s="1"/>
  <c r="C80" i="34" s="1"/>
  <c r="E604" i="38" a="1"/>
  <c r="E604" i="38" s="1"/>
  <c r="E582" i="38" a="1"/>
  <c r="E582" i="38" s="1"/>
  <c r="B90" i="31" s="1"/>
  <c r="E560" i="38" a="1"/>
  <c r="E560" i="38" s="1"/>
  <c r="E79" i="11" s="1"/>
  <c r="E550" i="38" a="1"/>
  <c r="E550" i="38" s="1"/>
  <c r="E7" i="11" s="1"/>
  <c r="E546" i="38" a="1"/>
  <c r="E546" i="38" s="1"/>
  <c r="E543" i="38" a="1"/>
  <c r="E543" i="38" s="1"/>
  <c r="E535" i="38" a="1"/>
  <c r="E535" i="38" s="1"/>
  <c r="E532" i="38" a="1"/>
  <c r="E532" i="38" s="1"/>
  <c r="E528" i="38" a="1"/>
  <c r="E528" i="38" s="1"/>
  <c r="E523" i="38" a="1"/>
  <c r="E523" i="38" s="1"/>
  <c r="H852" i="1" s="1"/>
  <c r="E520" i="38" a="1"/>
  <c r="E520" i="38" s="1"/>
  <c r="E517" i="38" a="1"/>
  <c r="E517" i="38" s="1"/>
  <c r="H250" i="1" s="1"/>
  <c r="E513" i="38" a="1"/>
  <c r="E513" i="38" s="1"/>
  <c r="C1054" i="1" s="1"/>
  <c r="E507" i="38" a="1"/>
  <c r="E507" i="38" s="1"/>
  <c r="C836" i="1" s="1"/>
  <c r="E504" i="38" a="1"/>
  <c r="E504" i="38" s="1"/>
  <c r="C811" i="1" s="1"/>
  <c r="E501" i="38" a="1"/>
  <c r="E501" i="38" s="1"/>
  <c r="C654" i="1" s="1"/>
  <c r="E497" i="38" a="1"/>
  <c r="E497" i="38" s="1"/>
  <c r="C585" i="1" s="1"/>
  <c r="E490" i="38" a="1"/>
  <c r="E490" i="38" s="1"/>
  <c r="C458" i="1" s="1"/>
  <c r="E487" i="38" a="1"/>
  <c r="E487" i="38" s="1"/>
  <c r="C432" i="1" s="1"/>
  <c r="E484" i="38" a="1"/>
  <c r="E484" i="38" s="1"/>
  <c r="C322" i="1" s="1"/>
  <c r="E480" i="38" a="1"/>
  <c r="E480" i="38" s="1"/>
  <c r="A1038" i="1" s="1"/>
  <c r="I23" i="24" s="1"/>
  <c r="E474" i="38" a="1"/>
  <c r="E474" i="38" s="1"/>
  <c r="A689" i="1" s="1"/>
  <c r="I16" i="24" s="1"/>
  <c r="E471" i="38" a="1"/>
  <c r="E471" i="38" s="1"/>
  <c r="A583" i="1" s="1"/>
  <c r="I13" i="24" s="1"/>
  <c r="E468" i="38" a="1"/>
  <c r="E468" i="38" s="1"/>
  <c r="A418" i="1" s="1"/>
  <c r="E464" i="38" a="1"/>
  <c r="E464" i="38" s="1"/>
  <c r="B1040" i="1" s="1"/>
  <c r="E458" i="38" a="1"/>
  <c r="E458" i="38" s="1"/>
  <c r="B934" i="1" s="1"/>
  <c r="E455" i="38" a="1"/>
  <c r="E455" i="38" s="1"/>
  <c r="B904" i="1" s="1"/>
  <c r="E452" i="38" a="1"/>
  <c r="E452" i="38" s="1"/>
  <c r="B859" i="1" s="1"/>
  <c r="E448" i="38" a="1"/>
  <c r="E448" i="38" s="1"/>
  <c r="B789" i="1" s="1"/>
  <c r="E442" i="38" a="1"/>
  <c r="E442" i="38" s="1"/>
  <c r="B721" i="1" s="1"/>
  <c r="E439" i="38" a="1"/>
  <c r="E439" i="38" s="1"/>
  <c r="B681" i="1" s="1"/>
  <c r="E436" i="38" a="1"/>
  <c r="E436" i="38" s="1"/>
  <c r="B549" i="1" s="1"/>
  <c r="E432" i="38" a="1"/>
  <c r="E432" i="38" s="1"/>
  <c r="B457" i="1" s="1"/>
  <c r="E425" i="38" a="1"/>
  <c r="E425" i="38" s="1"/>
  <c r="B321" i="1" s="1"/>
  <c r="E422" i="38" a="1"/>
  <c r="E422" i="38" s="1"/>
  <c r="B257" i="1" s="1"/>
  <c r="E419" i="38" a="1"/>
  <c r="E419" i="38" s="1"/>
  <c r="B227" i="1" s="1"/>
  <c r="E415" i="38" a="1"/>
  <c r="E415" i="38" s="1"/>
  <c r="B187" i="1" s="1"/>
  <c r="E408" i="38" a="1"/>
  <c r="E408" i="38" s="1"/>
  <c r="E405" i="38" a="1"/>
  <c r="E405" i="38" s="1"/>
  <c r="E398" i="38" a="1"/>
  <c r="E398" i="38" s="1"/>
  <c r="E392" i="38" a="1"/>
  <c r="E392" i="38" s="1"/>
  <c r="E1081" i="1" s="1"/>
  <c r="E388" i="38" a="1"/>
  <c r="E388" i="38" s="1"/>
  <c r="E1075" i="1" s="1"/>
  <c r="E384" i="38" a="1"/>
  <c r="E384" i="38" s="1"/>
  <c r="E1064" i="1" s="1"/>
  <c r="E380" i="38" a="1"/>
  <c r="E380" i="38" s="1"/>
  <c r="E1045" i="1" s="1"/>
  <c r="E376" i="38" a="1"/>
  <c r="E376" i="38" s="1"/>
  <c r="E1022" i="1" s="1"/>
  <c r="E372" i="38" a="1"/>
  <c r="E372" i="38" s="1"/>
  <c r="E368" i="38" a="1"/>
  <c r="E368" i="38" s="1"/>
  <c r="E992" i="1" s="1"/>
  <c r="E996" i="1" s="1"/>
  <c r="E364" i="38" a="1"/>
  <c r="E364" i="38" s="1"/>
  <c r="E983" i="1" s="1"/>
  <c r="E360" i="38" a="1"/>
  <c r="E360" i="38" s="1"/>
  <c r="E958" i="1" s="1"/>
  <c r="E357" i="38" a="1"/>
  <c r="E357" i="38" s="1"/>
  <c r="E926" i="1" s="1"/>
  <c r="E353" i="38" a="1"/>
  <c r="E353" i="38" s="1"/>
  <c r="E902" i="1" s="1"/>
  <c r="E927" i="1" s="1"/>
  <c r="E349" i="38" a="1"/>
  <c r="E349" i="38" s="1"/>
  <c r="E879" i="1" s="1"/>
  <c r="E345" i="38" a="1"/>
  <c r="E345" i="38" s="1"/>
  <c r="E341" i="38" a="1"/>
  <c r="E341" i="38" s="1"/>
  <c r="E337" i="38" a="1"/>
  <c r="E337" i="38" s="1"/>
  <c r="E815" i="1" s="1"/>
  <c r="E333" i="38" a="1"/>
  <c r="E333" i="38" s="1"/>
  <c r="E329" i="38" a="1"/>
  <c r="E329" i="38" s="1"/>
  <c r="E787" i="1" s="1"/>
  <c r="E909" i="1" s="1"/>
  <c r="E325" i="38" a="1"/>
  <c r="E325" i="38" s="1"/>
  <c r="E739" i="1" s="1"/>
  <c r="E1043" i="1" s="1"/>
  <c r="E321" i="38" a="1"/>
  <c r="E321" i="38" s="1"/>
  <c r="E700" i="1" s="1"/>
  <c r="E317" i="38" a="1"/>
  <c r="E317" i="38" s="1"/>
  <c r="E661" i="1" s="1"/>
  <c r="E308" i="38" a="1"/>
  <c r="E308" i="38" s="1"/>
  <c r="E305" i="38" a="1"/>
  <c r="E305" i="38" s="1"/>
  <c r="E301" i="38" a="1"/>
  <c r="E301" i="38" s="1"/>
  <c r="E534" i="1" s="1"/>
  <c r="E297" i="38" a="1"/>
  <c r="E297" i="38" s="1"/>
  <c r="E521" i="1" s="1"/>
  <c r="E293" i="38" a="1"/>
  <c r="E293" i="38" s="1"/>
  <c r="E511" i="1" s="1"/>
  <c r="E289" i="38" a="1"/>
  <c r="E289" i="38" s="1"/>
  <c r="E285" i="38" a="1"/>
  <c r="E285" i="38" s="1"/>
  <c r="E435" i="1" s="1"/>
  <c r="E697" i="1" s="1"/>
  <c r="E281" i="38" a="1"/>
  <c r="E281" i="38" s="1"/>
  <c r="E277" i="38" a="1"/>
  <c r="E277" i="38" s="1"/>
  <c r="E273" i="38" a="1"/>
  <c r="E273" i="38" s="1"/>
  <c r="E378" i="1" s="1"/>
  <c r="E269" i="38" a="1"/>
  <c r="E269" i="38" s="1"/>
  <c r="E354" i="1" s="1"/>
  <c r="E265" i="38" a="1"/>
  <c r="E265" i="38" s="1"/>
  <c r="E350" i="1" s="1"/>
  <c r="E376" i="1" s="1"/>
  <c r="E261" i="38" a="1"/>
  <c r="E261" i="38" s="1"/>
  <c r="E341" i="1" s="1"/>
  <c r="E908" i="38" a="1"/>
  <c r="E908" i="38" s="1"/>
  <c r="B13" i="3" s="1"/>
  <c r="E876" i="38" a="1"/>
  <c r="E876" i="38" s="1"/>
  <c r="D61" i="34" s="1"/>
  <c r="E844" i="38" a="1"/>
  <c r="E844" i="38" s="1"/>
  <c r="D28" i="34" s="1"/>
  <c r="E816" i="38" a="1"/>
  <c r="E816" i="38" s="1"/>
  <c r="B8" i="3" s="1"/>
  <c r="E794" i="38" a="1"/>
  <c r="E794" i="38" s="1"/>
  <c r="K8" i="31" s="1"/>
  <c r="E773" i="38" a="1"/>
  <c r="E773" i="38" s="1"/>
  <c r="A115" i="7" s="1"/>
  <c r="E754" i="38" a="1"/>
  <c r="E754" i="38" s="1"/>
  <c r="A85" i="11" s="1"/>
  <c r="E737" i="38" a="1"/>
  <c r="E737" i="38" s="1"/>
  <c r="F952" i="1" s="1"/>
  <c r="E720" i="38" a="1"/>
  <c r="E720" i="38" s="1"/>
  <c r="E27" i="36" s="1"/>
  <c r="E703" i="38" a="1"/>
  <c r="E703" i="38" s="1"/>
  <c r="E686" i="38" a="1"/>
  <c r="E686" i="38" s="1"/>
  <c r="B179" i="31" s="1"/>
  <c r="E671" i="38" a="1"/>
  <c r="E671" i="38" s="1"/>
  <c r="E656" i="38" a="1"/>
  <c r="E656" i="38" s="1"/>
  <c r="E34" i="31" s="1"/>
  <c r="E640" i="38" a="1"/>
  <c r="E640" i="38" s="1"/>
  <c r="C192" i="5" s="1"/>
  <c r="E601" i="38" a="1"/>
  <c r="E601" i="38" s="1"/>
  <c r="E589" i="38" a="1"/>
  <c r="E589" i="38" s="1"/>
  <c r="E580" i="38" a="1"/>
  <c r="E580" i="38" s="1"/>
  <c r="E570" i="38" a="1"/>
  <c r="E570" i="38" s="1"/>
  <c r="A4" i="31" s="1"/>
  <c r="K4" i="24" s="1"/>
  <c r="E548" i="38" a="1"/>
  <c r="E548" i="38" s="1"/>
  <c r="E540" i="38" a="1"/>
  <c r="E540" i="38" s="1"/>
  <c r="E537" i="38" a="1"/>
  <c r="E537" i="38" s="1"/>
  <c r="E534" i="38" a="1"/>
  <c r="E534" i="38" s="1"/>
  <c r="E531" i="38" a="1"/>
  <c r="E531" i="38" s="1"/>
  <c r="E525" i="38" a="1"/>
  <c r="E525" i="38" s="1"/>
  <c r="H983" i="1" s="1"/>
  <c r="E522" i="38" a="1"/>
  <c r="E522" i="38" s="1"/>
  <c r="H772" i="1" s="1"/>
  <c r="E519" i="38" a="1"/>
  <c r="E519" i="38" s="1"/>
  <c r="E516" i="38" a="1"/>
  <c r="E516" i="38" s="1"/>
  <c r="H204" i="1" s="1"/>
  <c r="H208" i="1" s="1"/>
  <c r="E510" i="38" a="1"/>
  <c r="E510" i="38" s="1"/>
  <c r="C962" i="1" s="1"/>
  <c r="E506" i="38" a="1"/>
  <c r="E506" i="38" s="1"/>
  <c r="C828" i="1" s="1"/>
  <c r="E503" i="38" a="1"/>
  <c r="E503" i="38" s="1"/>
  <c r="C784" i="1" s="1"/>
  <c r="E500" i="38" a="1"/>
  <c r="E500" i="38" s="1"/>
  <c r="C621" i="1" s="1"/>
  <c r="E494" i="38" a="1"/>
  <c r="E494" i="38" s="1"/>
  <c r="C513" i="1" s="1"/>
  <c r="E489" i="38" a="1"/>
  <c r="E489" i="38" s="1"/>
  <c r="C444" i="1" s="1"/>
  <c r="E486" i="38" a="1"/>
  <c r="E486" i="38" s="1"/>
  <c r="C375" i="1" s="1"/>
  <c r="E483" i="38" a="1"/>
  <c r="E483" i="38" s="1"/>
  <c r="C127" i="1" s="1"/>
  <c r="E477" i="38" a="1"/>
  <c r="E477" i="38" s="1"/>
  <c r="A846" i="1" s="1"/>
  <c r="I19" i="24" s="1"/>
  <c r="E473" i="38" a="1"/>
  <c r="E473" i="38" s="1"/>
  <c r="A673" i="1" s="1"/>
  <c r="I15" i="24" s="1"/>
  <c r="E470" i="38" a="1"/>
  <c r="E470" i="38" s="1"/>
  <c r="A547" i="1" s="1"/>
  <c r="I12" i="24" s="1"/>
  <c r="E467" i="38" a="1"/>
  <c r="E467" i="38" s="1"/>
  <c r="A319" i="1" s="1"/>
  <c r="I10" i="24" s="1"/>
  <c r="E461" i="38" a="1"/>
  <c r="E461" i="38" s="1"/>
  <c r="B1026" i="1" s="1"/>
  <c r="E457" i="38" a="1"/>
  <c r="E457" i="38" s="1"/>
  <c r="B922" i="1" s="1"/>
  <c r="E454" i="38" a="1"/>
  <c r="E454" i="38" s="1"/>
  <c r="B888" i="1" s="1"/>
  <c r="E451" i="38" a="1"/>
  <c r="E451" i="38" s="1"/>
  <c r="B852" i="1" s="1"/>
  <c r="E445" i="38" a="1"/>
  <c r="E445" i="38" s="1"/>
  <c r="B757" i="1" s="1"/>
  <c r="E441" i="38" a="1"/>
  <c r="E441" i="38" s="1"/>
  <c r="B702" i="1" s="1"/>
  <c r="E438" i="38" a="1"/>
  <c r="E438" i="38" s="1"/>
  <c r="B675" i="1" s="1"/>
  <c r="E435" i="38" a="1"/>
  <c r="E435" i="38" s="1"/>
  <c r="B536" i="1" s="1"/>
  <c r="E428" i="38" a="1"/>
  <c r="E428" i="38" s="1"/>
  <c r="B386" i="1" s="1"/>
  <c r="E424" i="38" a="1"/>
  <c r="E424" i="38" s="1"/>
  <c r="B281" i="1" s="1"/>
  <c r="E421" i="38" a="1"/>
  <c r="E421" i="38" s="1"/>
  <c r="B242" i="1" s="1"/>
  <c r="E418" i="38" a="1"/>
  <c r="E418" i="38" s="1"/>
  <c r="B216" i="1" s="1"/>
  <c r="E412" i="38" a="1"/>
  <c r="E412" i="38" s="1"/>
  <c r="B122" i="1" s="1"/>
  <c r="E407" i="38" a="1"/>
  <c r="E407" i="38" s="1"/>
  <c r="E402" i="38" a="1"/>
  <c r="E402" i="38" s="1"/>
  <c r="E400" i="38" a="1"/>
  <c r="E400" i="38" s="1"/>
  <c r="E394" i="38" a="1"/>
  <c r="E394" i="38" s="1"/>
  <c r="C1079" i="1" s="1"/>
  <c r="E391" i="38" a="1"/>
  <c r="E391" i="38" s="1"/>
  <c r="E1080" i="1" s="1"/>
  <c r="E1092" i="1" s="1"/>
  <c r="E387" i="38" a="1"/>
  <c r="E387" i="38" s="1"/>
  <c r="E1074" i="1" s="1"/>
  <c r="E383" i="38" a="1"/>
  <c r="E383" i="38" s="1"/>
  <c r="E1058" i="1" s="1"/>
  <c r="E379" i="38" a="1"/>
  <c r="E379" i="38" s="1"/>
  <c r="E1036" i="1" s="1"/>
  <c r="B23" i="5" s="1"/>
  <c r="E375" i="38" a="1"/>
  <c r="E375" i="38" s="1"/>
  <c r="E371" i="38" a="1"/>
  <c r="E371" i="38" s="1"/>
  <c r="E367" i="38" a="1"/>
  <c r="E367" i="38" s="1"/>
  <c r="E991" i="1" s="1"/>
  <c r="E363" i="38" a="1"/>
  <c r="E363" i="38" s="1"/>
  <c r="E981" i="1" s="1"/>
  <c r="E995" i="1" s="1"/>
  <c r="E359" i="38" a="1"/>
  <c r="E359" i="38" s="1"/>
  <c r="E955" i="1" s="1"/>
  <c r="E356" i="38" a="1"/>
  <c r="E356" i="38" s="1"/>
  <c r="E352" i="38" a="1"/>
  <c r="E352" i="38" s="1"/>
  <c r="E900" i="1" s="1"/>
  <c r="E348" i="38" a="1"/>
  <c r="E348" i="38" s="1"/>
  <c r="E878" i="1" s="1"/>
  <c r="E344" i="38" a="1"/>
  <c r="E344" i="38" s="1"/>
  <c r="E839" i="1" s="1"/>
  <c r="E869" i="1" s="1"/>
  <c r="E908" i="1" s="1"/>
  <c r="E340" i="38" a="1"/>
  <c r="E340" i="38" s="1"/>
  <c r="E336" i="38" a="1"/>
  <c r="E336" i="38" s="1"/>
  <c r="E812" i="1" s="1"/>
  <c r="E332" i="38" a="1"/>
  <c r="E332" i="38" s="1"/>
  <c r="E800" i="1" s="1"/>
  <c r="E328" i="38" a="1"/>
  <c r="E328" i="38" s="1"/>
  <c r="E781" i="1" s="1"/>
  <c r="E324" i="38" a="1"/>
  <c r="E324" i="38" s="1"/>
  <c r="H65" i="13" s="1"/>
  <c r="E320" i="38" a="1"/>
  <c r="E320" i="38" s="1"/>
  <c r="E695" i="1" s="1"/>
  <c r="E316" i="38" a="1"/>
  <c r="E316" i="38" s="1"/>
  <c r="E657" i="1" s="1"/>
  <c r="E313" i="38" a="1"/>
  <c r="E313" i="38" s="1"/>
  <c r="E311" i="38" a="1"/>
  <c r="E311" i="38" s="1"/>
  <c r="E307" i="38" a="1"/>
  <c r="E307" i="38" s="1"/>
  <c r="E304" i="38" a="1"/>
  <c r="E304" i="38" s="1"/>
  <c r="E555" i="1" s="1"/>
  <c r="E563" i="1" s="1"/>
  <c r="E300" i="38" a="1"/>
  <c r="E300" i="38" s="1"/>
  <c r="E296" i="38" a="1"/>
  <c r="E296" i="38" s="1"/>
  <c r="E520" i="1" s="1"/>
  <c r="E292" i="38" a="1"/>
  <c r="E292" i="38" s="1"/>
  <c r="E288" i="38" a="1"/>
  <c r="E288" i="38" s="1"/>
  <c r="E284" i="38" a="1"/>
  <c r="E284" i="38" s="1"/>
  <c r="E434" i="1" s="1"/>
  <c r="E692" i="1" s="1"/>
  <c r="E280" i="38" a="1"/>
  <c r="E280" i="38" s="1"/>
  <c r="E276" i="38" a="1"/>
  <c r="E276" i="38" s="1"/>
  <c r="E391" i="1" s="1"/>
  <c r="E272" i="38" a="1"/>
  <c r="E272" i="38" s="1"/>
  <c r="E373" i="1" s="1"/>
  <c r="E268" i="38" a="1"/>
  <c r="E268" i="38" s="1"/>
  <c r="E353" i="1" s="1"/>
  <c r="E363" i="1" s="1"/>
  <c r="E264" i="38" a="1"/>
  <c r="E264" i="38" s="1"/>
  <c r="E348" i="1" s="1"/>
  <c r="E260" i="38" a="1"/>
  <c r="E260" i="38" s="1"/>
  <c r="E336" i="1" s="1"/>
  <c r="E349" i="1" s="1"/>
  <c r="E365" i="1" s="1"/>
  <c r="E900" i="38" a="1"/>
  <c r="E900" i="38" s="1"/>
  <c r="D92" i="34" s="1"/>
  <c r="E868" i="38" a="1"/>
  <c r="E868" i="38" s="1"/>
  <c r="E52" i="34" s="1"/>
  <c r="E836" i="38" a="1"/>
  <c r="E836" i="38" s="1"/>
  <c r="C22" i="34" s="1"/>
  <c r="E810" i="38" a="1"/>
  <c r="E810" i="38" s="1"/>
  <c r="R107" i="5" s="1"/>
  <c r="E789" i="38" a="1"/>
  <c r="E789" i="38" s="1"/>
  <c r="E109" i="35" s="1"/>
  <c r="E768" i="38" a="1"/>
  <c r="E768" i="38" s="1"/>
  <c r="E733" i="38" a="1"/>
  <c r="E733" i="38" s="1"/>
  <c r="E716" i="38" a="1"/>
  <c r="E716" i="38" s="1"/>
  <c r="E698" i="38" a="1"/>
  <c r="E698" i="38" s="1"/>
  <c r="E683" i="38" a="1"/>
  <c r="E683" i="38" s="1"/>
  <c r="B67" i="31" s="1"/>
  <c r="E636" i="38" a="1"/>
  <c r="E636" i="38" s="1"/>
  <c r="N222" i="5" s="1"/>
  <c r="E621" i="38" a="1"/>
  <c r="E621" i="38" s="1"/>
  <c r="E610" i="38" a="1"/>
  <c r="E610" i="38" s="1"/>
  <c r="E598" i="38" a="1"/>
  <c r="E598" i="38" s="1"/>
  <c r="E578" i="38" a="1"/>
  <c r="E578" i="38" s="1"/>
  <c r="E72" i="31" s="1"/>
  <c r="E566" i="38" a="1"/>
  <c r="E566" i="38" s="1"/>
  <c r="E555" i="38" a="1"/>
  <c r="E555" i="38" s="1"/>
  <c r="E62" i="11" s="1"/>
  <c r="E545" i="38" a="1"/>
  <c r="E545" i="38" s="1"/>
  <c r="E542" i="38" a="1"/>
  <c r="E542" i="38" s="1"/>
  <c r="E539" i="38" a="1"/>
  <c r="E539" i="38" s="1"/>
  <c r="H73" i="13" s="1"/>
  <c r="E536" i="38" a="1"/>
  <c r="E536" i="38" s="1"/>
  <c r="E530" i="38" a="1"/>
  <c r="E530" i="38" s="1"/>
  <c r="E527" i="38" a="1"/>
  <c r="E527" i="38" s="1"/>
  <c r="E521" i="38" a="1"/>
  <c r="E521" i="38" s="1"/>
  <c r="H737" i="1" s="1"/>
  <c r="E515" i="38" a="1"/>
  <c r="E515" i="38" s="1"/>
  <c r="C1066" i="1" s="1"/>
  <c r="E512" i="38" a="1"/>
  <c r="E512" i="38" s="1"/>
  <c r="C1048" i="1" s="1"/>
  <c r="E509" i="38" a="1"/>
  <c r="E509" i="38" s="1"/>
  <c r="C957" i="1" s="1"/>
  <c r="E505" i="38" a="1"/>
  <c r="E505" i="38" s="1"/>
  <c r="C822" i="1" s="1"/>
  <c r="E499" i="38" a="1"/>
  <c r="E499" i="38" s="1"/>
  <c r="C605" i="1" s="1"/>
  <c r="E496" i="38" a="1"/>
  <c r="E496" i="38" s="1"/>
  <c r="C572" i="1" s="1"/>
  <c r="E493" i="38" a="1"/>
  <c r="E493" i="38" s="1"/>
  <c r="C487" i="1" s="1"/>
  <c r="E488" i="38" a="1"/>
  <c r="E488" i="38" s="1"/>
  <c r="C437" i="1" s="1"/>
  <c r="E482" i="38" a="1"/>
  <c r="E482" i="38" s="1"/>
  <c r="C123" i="1" s="1"/>
  <c r="E479" i="38" a="1"/>
  <c r="E479" i="38" s="1"/>
  <c r="A1001" i="1" s="1"/>
  <c r="E476" i="38" a="1"/>
  <c r="E476" i="38" s="1"/>
  <c r="A755" i="1" s="1"/>
  <c r="I18" i="24" s="1"/>
  <c r="E472" i="38" a="1"/>
  <c r="E472" i="38" s="1"/>
  <c r="A630" i="1" s="1"/>
  <c r="I14" i="24" s="1"/>
  <c r="E466" i="38" a="1"/>
  <c r="E466" i="38" s="1"/>
  <c r="B1090" i="1" s="1"/>
  <c r="E463" i="38" a="1"/>
  <c r="E463" i="38" s="1"/>
  <c r="B1035" i="1" s="1"/>
  <c r="E460" i="38" a="1"/>
  <c r="E460" i="38" s="1"/>
  <c r="B994" i="1" s="1"/>
  <c r="E456" i="38" a="1"/>
  <c r="E456" i="38" s="1"/>
  <c r="B914" i="1" s="1"/>
  <c r="E450" i="38" a="1"/>
  <c r="E450" i="38" s="1"/>
  <c r="B848" i="1" s="1"/>
  <c r="E447" i="38" a="1"/>
  <c r="E447" i="38" s="1"/>
  <c r="B775" i="1" s="1"/>
  <c r="E444" i="38" a="1"/>
  <c r="E444" i="38" s="1"/>
  <c r="B741" i="1" s="1"/>
  <c r="E440" i="38" a="1"/>
  <c r="E440" i="38" s="1"/>
  <c r="B691" i="1" s="1"/>
  <c r="E434" i="38" a="1"/>
  <c r="E434" i="38" s="1"/>
  <c r="B530" i="1" s="1"/>
  <c r="E431" i="38" a="1"/>
  <c r="E431" i="38" s="1"/>
  <c r="B427" i="1" s="1"/>
  <c r="E427" i="38" a="1"/>
  <c r="E427" i="38" s="1"/>
  <c r="B362" i="1" s="1"/>
  <c r="E423" i="38" a="1"/>
  <c r="E423" i="38" s="1"/>
  <c r="B263" i="1" s="1"/>
  <c r="E417" i="38" a="1"/>
  <c r="E417" i="38" s="1"/>
  <c r="B206" i="1" s="1"/>
  <c r="E414" i="38" a="1"/>
  <c r="E414" i="38" s="1"/>
  <c r="B176" i="1" s="1"/>
  <c r="E411" i="38" a="1"/>
  <c r="E411" i="38" s="1"/>
  <c r="B114" i="1" s="1"/>
  <c r="E409" i="38" a="1"/>
  <c r="E409" i="38" s="1"/>
  <c r="G955" i="1" s="1"/>
  <c r="E404" i="38" a="1"/>
  <c r="E404" i="38" s="1"/>
  <c r="E401" i="38" a="1"/>
  <c r="E401" i="38" s="1"/>
  <c r="G38" i="1" s="1"/>
  <c r="G107" i="1" s="1"/>
  <c r="E397" i="38" a="1"/>
  <c r="E397" i="38" s="1"/>
  <c r="E1112" i="1" s="1"/>
  <c r="E393" i="38" a="1"/>
  <c r="E393" i="38" s="1"/>
  <c r="E1087" i="1" s="1"/>
  <c r="E390" i="38" a="1"/>
  <c r="E390" i="38" s="1"/>
  <c r="E1077" i="1" s="1"/>
  <c r="E386" i="38" a="1"/>
  <c r="E386" i="38" s="1"/>
  <c r="E1072" i="1" s="1"/>
  <c r="E382" i="38" a="1"/>
  <c r="E382" i="38" s="1"/>
  <c r="E1056" i="1" s="1"/>
  <c r="E378" i="38" a="1"/>
  <c r="E378" i="38" s="1"/>
  <c r="E374" i="38" a="1"/>
  <c r="E374" i="38" s="1"/>
  <c r="E1017" i="1" s="1"/>
  <c r="E370" i="38" a="1"/>
  <c r="E370" i="38" s="1"/>
  <c r="E998" i="1" s="1"/>
  <c r="E1111" i="1" s="1"/>
  <c r="E1128" i="1" s="1"/>
  <c r="E366" i="38" a="1"/>
  <c r="E366" i="38" s="1"/>
  <c r="E987" i="1" s="1"/>
  <c r="E362" i="38" a="1"/>
  <c r="E362" i="38" s="1"/>
  <c r="E960" i="1" s="1"/>
  <c r="E358" i="38" a="1"/>
  <c r="E358" i="38" s="1"/>
  <c r="E932" i="1" s="1"/>
  <c r="E355" i="38" a="1"/>
  <c r="E355" i="38" s="1"/>
  <c r="E351" i="38" a="1"/>
  <c r="E351" i="38" s="1"/>
  <c r="E884" i="1" s="1"/>
  <c r="E347" i="38" a="1"/>
  <c r="E347" i="38" s="1"/>
  <c r="E877" i="1" s="1"/>
  <c r="E905" i="1" s="1"/>
  <c r="E343" i="38" a="1"/>
  <c r="E343" i="38" s="1"/>
  <c r="E892" i="38" a="1"/>
  <c r="E892" i="38" s="1"/>
  <c r="D79" i="34" s="1"/>
  <c r="E784" i="38" a="1"/>
  <c r="E784" i="38" s="1"/>
  <c r="G69" i="11" s="1"/>
  <c r="G272" i="31" s="1"/>
  <c r="E711" i="38" a="1"/>
  <c r="E711" i="38" s="1"/>
  <c r="E648" i="38" a="1"/>
  <c r="E648" i="38" s="1"/>
  <c r="B175" i="5" s="1"/>
  <c r="E595" i="38" a="1"/>
  <c r="E595" i="38" s="1"/>
  <c r="E551" i="38" a="1"/>
  <c r="E551" i="38" s="1"/>
  <c r="E40" i="11" s="1"/>
  <c r="E105" i="31" s="1"/>
  <c r="E538" i="38" a="1"/>
  <c r="E538" i="38" s="1"/>
  <c r="E526" i="38" a="1"/>
  <c r="E526" i="38" s="1"/>
  <c r="H1016" i="1" s="1"/>
  <c r="E514" i="38" a="1"/>
  <c r="E514" i="38" s="1"/>
  <c r="C1061" i="1" s="1"/>
  <c r="E502" i="38" a="1"/>
  <c r="E502" i="38" s="1"/>
  <c r="C663" i="1" s="1"/>
  <c r="E475" i="38" a="1"/>
  <c r="E475" i="38" s="1"/>
  <c r="A712" i="1" s="1"/>
  <c r="I17" i="24" s="1"/>
  <c r="E462" i="38" a="1"/>
  <c r="E462" i="38" s="1"/>
  <c r="B1029" i="1" s="1"/>
  <c r="E449" i="38" a="1"/>
  <c r="E449" i="38" s="1"/>
  <c r="B808" i="1" s="1"/>
  <c r="E437" i="38" a="1"/>
  <c r="E437" i="38" s="1"/>
  <c r="B632" i="1" s="1"/>
  <c r="E410" i="38" a="1"/>
  <c r="E410" i="38" s="1"/>
  <c r="B99" i="1" s="1"/>
  <c r="E389" i="38" a="1"/>
  <c r="E389" i="38" s="1"/>
  <c r="E1076" i="1" s="1"/>
  <c r="E373" i="38" a="1"/>
  <c r="E373" i="38" s="1"/>
  <c r="E1016" i="1" s="1"/>
  <c r="E342" i="38" a="1"/>
  <c r="E342" i="38" s="1"/>
  <c r="E833" i="1" s="1"/>
  <c r="E838" i="1" s="1"/>
  <c r="E334" i="38" a="1"/>
  <c r="E334" i="38" s="1"/>
  <c r="H52" i="13" s="1"/>
  <c r="E326" i="38" a="1"/>
  <c r="E326" i="38" s="1"/>
  <c r="E749" i="1" s="1"/>
  <c r="E1005" i="1" s="1"/>
  <c r="E318" i="38" a="1"/>
  <c r="E318" i="38" s="1"/>
  <c r="E665" i="1" s="1"/>
  <c r="E298" i="38" a="1"/>
  <c r="E298" i="38" s="1"/>
  <c r="E522" i="1" s="1"/>
  <c r="E290" i="38" a="1"/>
  <c r="E290" i="38" s="1"/>
  <c r="E491" i="1" s="1"/>
  <c r="E498" i="1" s="1"/>
  <c r="E282" i="38" a="1"/>
  <c r="E282" i="38" s="1"/>
  <c r="E424" i="1" s="1"/>
  <c r="E274" i="38" a="1"/>
  <c r="E274" i="38" s="1"/>
  <c r="E379" i="1" s="1"/>
  <c r="E266" i="38" a="1"/>
  <c r="E266" i="38" s="1"/>
  <c r="E351" i="1" s="1"/>
  <c r="E258" i="38" a="1"/>
  <c r="E258" i="38" s="1"/>
  <c r="E324" i="1" s="1"/>
  <c r="E254" i="38" a="1"/>
  <c r="E254" i="38" s="1"/>
  <c r="E283" i="1" s="1"/>
  <c r="E250" i="38" a="1"/>
  <c r="E250" i="38" s="1"/>
  <c r="E267" i="1" s="1"/>
  <c r="E274" i="1" s="1"/>
  <c r="E246" i="38" a="1"/>
  <c r="E246" i="38" s="1"/>
  <c r="E245" i="1" s="1"/>
  <c r="E242" i="38" a="1"/>
  <c r="E242" i="38" s="1"/>
  <c r="E233" i="1" s="1"/>
  <c r="E293" i="1" s="1"/>
  <c r="E238" i="38" a="1"/>
  <c r="E238" i="38" s="1"/>
  <c r="E189" i="1" s="1"/>
  <c r="E207" i="1" s="1"/>
  <c r="E234" i="38" a="1"/>
  <c r="E234" i="38" s="1"/>
  <c r="E230" i="38" a="1"/>
  <c r="E230" i="38" s="1"/>
  <c r="E137" i="1" s="1"/>
  <c r="E226" i="38" a="1"/>
  <c r="E226" i="38" s="1"/>
  <c r="E120" i="1" s="1"/>
  <c r="E136" i="1" s="1"/>
  <c r="E222" i="38" a="1"/>
  <c r="E222" i="38" s="1"/>
  <c r="E102" i="1" s="1"/>
  <c r="E218" i="38" a="1"/>
  <c r="E218" i="38" s="1"/>
  <c r="H77" i="1" s="1"/>
  <c r="E214" i="38" a="1"/>
  <c r="E214" i="38" s="1"/>
  <c r="E210" i="38" a="1"/>
  <c r="E210" i="38" s="1"/>
  <c r="H45" i="1" s="1"/>
  <c r="E206" i="38" a="1"/>
  <c r="E206" i="38" s="1"/>
  <c r="H40" i="1" s="1"/>
  <c r="E202" i="38" a="1"/>
  <c r="E202" i="38" s="1"/>
  <c r="H34" i="1" s="1"/>
  <c r="E198" i="38" a="1"/>
  <c r="E198" i="38" s="1"/>
  <c r="H25" i="1" s="1"/>
  <c r="E194" i="38" a="1"/>
  <c r="E194" i="38" s="1"/>
  <c r="H18" i="1" s="1"/>
  <c r="E190" i="38" a="1"/>
  <c r="E190" i="38" s="1"/>
  <c r="E93" i="1" s="1"/>
  <c r="E985" i="1" s="1"/>
  <c r="E186" i="38" a="1"/>
  <c r="E186" i="38" s="1"/>
  <c r="E182" i="38" a="1"/>
  <c r="E182" i="38" s="1"/>
  <c r="B85" i="1" s="1"/>
  <c r="E178" i="38" a="1"/>
  <c r="E178" i="38" s="1"/>
  <c r="E81" i="1" s="1"/>
  <c r="E1057" i="1" s="1"/>
  <c r="E173" i="38" a="1"/>
  <c r="E173" i="38" s="1"/>
  <c r="E169" i="38" a="1"/>
  <c r="E169" i="38" s="1"/>
  <c r="E72" i="1" s="1"/>
  <c r="E931" i="1" s="1"/>
  <c r="E165" i="38" a="1"/>
  <c r="E165" i="38" s="1"/>
  <c r="E68" i="1" s="1"/>
  <c r="E161" i="38" a="1"/>
  <c r="E161" i="38" s="1"/>
  <c r="E158" i="38" a="1"/>
  <c r="E158" i="38" s="1"/>
  <c r="C53" i="1" s="1"/>
  <c r="E154" i="38" a="1"/>
  <c r="E154" i="38" s="1"/>
  <c r="B46" i="1" s="1"/>
  <c r="E150" i="38" a="1"/>
  <c r="E150" i="38" s="1"/>
  <c r="B41" i="1" s="1"/>
  <c r="E146" i="38" a="1"/>
  <c r="E146" i="38" s="1"/>
  <c r="B36" i="1" s="1"/>
  <c r="E142" i="38" a="1"/>
  <c r="E142" i="38" s="1"/>
  <c r="E32" i="1" s="1"/>
  <c r="E270" i="1" s="1"/>
  <c r="E138" i="38" a="1"/>
  <c r="E138" i="38" s="1"/>
  <c r="E28" i="1" s="1"/>
  <c r="E237" i="1" s="1"/>
  <c r="E134" i="38" a="1"/>
  <c r="E134" i="38" s="1"/>
  <c r="F182" i="1" s="1"/>
  <c r="E130" i="38" a="1"/>
  <c r="E130" i="38" s="1"/>
  <c r="E22" i="1" s="1"/>
  <c r="E192" i="1" s="1"/>
  <c r="E126" i="38" a="1"/>
  <c r="E126" i="38" s="1"/>
  <c r="E18" i="1" s="1"/>
  <c r="E122" i="38" a="1"/>
  <c r="E122" i="38" s="1"/>
  <c r="F3" i="5" s="1"/>
  <c r="E118" i="38" a="1"/>
  <c r="E118" i="38" s="1"/>
  <c r="E115" i="38" a="1"/>
  <c r="E115" i="38" s="1"/>
  <c r="F10" i="5" s="1"/>
  <c r="E110" i="38" a="1"/>
  <c r="E110" i="38" s="1"/>
  <c r="E107" i="38" a="1"/>
  <c r="E107" i="38" s="1"/>
  <c r="B14" i="5" s="1"/>
  <c r="E102" i="38" a="1"/>
  <c r="E102" i="38" s="1"/>
  <c r="B9" i="5" s="1"/>
  <c r="E99" i="38" a="1"/>
  <c r="E99" i="38" s="1"/>
  <c r="B5" i="5" s="1"/>
  <c r="E95" i="11" s="1"/>
  <c r="E94" i="38" a="1"/>
  <c r="E94" i="38" s="1"/>
  <c r="G10" i="1" s="1"/>
  <c r="E90" i="38" a="1"/>
  <c r="E90" i="38" s="1"/>
  <c r="H76" i="13" s="1"/>
  <c r="E86" i="38" a="1"/>
  <c r="E86" i="38" s="1"/>
  <c r="H62" i="13" s="1"/>
  <c r="E82" i="38" a="1"/>
  <c r="E82" i="38" s="1"/>
  <c r="H53" i="13" s="1"/>
  <c r="E78" i="38" a="1"/>
  <c r="E78" i="38" s="1"/>
  <c r="H44" i="13" s="1"/>
  <c r="E74" i="38" a="1"/>
  <c r="E74" i="38" s="1"/>
  <c r="H35" i="13" s="1"/>
  <c r="E70" i="38" a="1"/>
  <c r="E70" i="38" s="1"/>
  <c r="H26" i="13" s="1"/>
  <c r="E66" i="38" a="1"/>
  <c r="E66" i="38" s="1"/>
  <c r="H20" i="13" s="1"/>
  <c r="E62" i="38" a="1"/>
  <c r="E62" i="38" s="1"/>
  <c r="H12" i="13" s="1"/>
  <c r="E58" i="38" a="1"/>
  <c r="E58" i="38" s="1"/>
  <c r="D76" i="13" s="1"/>
  <c r="E54" i="38" a="1"/>
  <c r="E54" i="38" s="1"/>
  <c r="D68" i="13" s="1"/>
  <c r="E50" i="38" a="1"/>
  <c r="E50" i="38" s="1"/>
  <c r="D62" i="13" s="1"/>
  <c r="E46" i="38" a="1"/>
  <c r="E46" i="38" s="1"/>
  <c r="D56" i="13" s="1"/>
  <c r="E42" i="38" a="1"/>
  <c r="E42" i="38" s="1"/>
  <c r="D49" i="13" s="1"/>
  <c r="E38" i="38" a="1"/>
  <c r="E38" i="38" s="1"/>
  <c r="D39" i="13" s="1"/>
  <c r="E34" i="38" a="1"/>
  <c r="E34" i="38" s="1"/>
  <c r="D31" i="13" s="1"/>
  <c r="E30" i="38" a="1"/>
  <c r="E30" i="38" s="1"/>
  <c r="D24" i="13" s="1"/>
  <c r="E26" i="38" a="1"/>
  <c r="E26" i="38" s="1"/>
  <c r="D16" i="13" s="1"/>
  <c r="E22" i="38" a="1"/>
  <c r="E22" i="38" s="1"/>
  <c r="B41" i="13" s="1"/>
  <c r="E18" i="38" a="1"/>
  <c r="E18" i="38" s="1"/>
  <c r="A81" i="13" s="1"/>
  <c r="E7" i="38" a="1"/>
  <c r="E7" i="38" s="1"/>
  <c r="E805" i="38" a="1"/>
  <c r="E805" i="38" s="1"/>
  <c r="E563" i="38" a="1"/>
  <c r="E563" i="38" s="1"/>
  <c r="E82" i="11" s="1"/>
  <c r="E60" i="11" s="1"/>
  <c r="E529" i="38" a="1"/>
  <c r="E529" i="38" s="1"/>
  <c r="C473" i="1"/>
  <c r="E465" i="38" a="1"/>
  <c r="E465" i="38" s="1"/>
  <c r="B1047" i="1" s="1"/>
  <c r="E453" i="38" a="1"/>
  <c r="E453" i="38" s="1"/>
  <c r="B866" i="1" s="1"/>
  <c r="E413" i="38" a="1"/>
  <c r="E413" i="38" s="1"/>
  <c r="B171" i="1" s="1"/>
  <c r="E403" i="38" a="1"/>
  <c r="E403" i="38" s="1"/>
  <c r="E361" i="38" a="1"/>
  <c r="E361" i="38" s="1"/>
  <c r="E959" i="1" s="1"/>
  <c r="E327" i="38" a="1"/>
  <c r="E327" i="38" s="1"/>
  <c r="E312" i="38" a="1"/>
  <c r="E312" i="38" s="1"/>
  <c r="E291" i="38" a="1"/>
  <c r="E291" i="38" s="1"/>
  <c r="E275" i="38" a="1"/>
  <c r="E275" i="38" s="1"/>
  <c r="E259" i="38" a="1"/>
  <c r="E259" i="38" s="1"/>
  <c r="E325" i="1" s="1"/>
  <c r="E251" i="38" a="1"/>
  <c r="E251" i="38" s="1"/>
  <c r="E271" i="1" s="1"/>
  <c r="E273" i="1" s="1"/>
  <c r="E243" i="38" a="1"/>
  <c r="E243" i="38" s="1"/>
  <c r="E235" i="38" a="1"/>
  <c r="E235" i="38" s="1"/>
  <c r="E223" i="38" a="1"/>
  <c r="E223" i="38" s="1"/>
  <c r="E109" i="1" s="1"/>
  <c r="E215" i="38" a="1"/>
  <c r="E215" i="38" s="1"/>
  <c r="H69" i="1" s="1"/>
  <c r="E203" i="38" a="1"/>
  <c r="E203" i="38" s="1"/>
  <c r="H35" i="1" s="1"/>
  <c r="E195" i="38" a="1"/>
  <c r="E195" i="38" s="1"/>
  <c r="H21" i="1" s="1"/>
  <c r="E183" i="38" a="1"/>
  <c r="E183" i="38" s="1"/>
  <c r="E86" i="1" s="1"/>
  <c r="E335" i="1" s="1"/>
  <c r="E175" i="38" a="1"/>
  <c r="E175" i="38" s="1"/>
  <c r="E78" i="1" s="1"/>
  <c r="E162" i="38" a="1"/>
  <c r="E162" i="38" s="1"/>
  <c r="E65" i="1" s="1"/>
  <c r="E881" i="1" s="1"/>
  <c r="E151" i="38" a="1"/>
  <c r="E151" i="38" s="1"/>
  <c r="E42" i="1" s="1"/>
  <c r="E143" i="38" a="1"/>
  <c r="E143" i="38" s="1"/>
  <c r="E33" i="1" s="1"/>
  <c r="E265" i="1" s="1"/>
  <c r="E131" i="38" a="1"/>
  <c r="E131" i="38" s="1"/>
  <c r="E23" i="1" s="1"/>
  <c r="E193" i="1" s="1"/>
  <c r="E123" i="38" a="1"/>
  <c r="E123" i="38" s="1"/>
  <c r="E113" i="38" a="1"/>
  <c r="E113" i="38" s="1"/>
  <c r="E100" i="38" a="1"/>
  <c r="E100" i="38" s="1"/>
  <c r="B6" i="5" s="1"/>
  <c r="E91" i="38" a="1"/>
  <c r="E91" i="38" s="1"/>
  <c r="D77" i="13" s="1"/>
  <c r="E79" i="38" a="1"/>
  <c r="E79" i="38" s="1"/>
  <c r="H46" i="13" s="1"/>
  <c r="E63" i="38" a="1"/>
  <c r="E63" i="38" s="1"/>
  <c r="H14" i="13" s="1"/>
  <c r="E51" i="38" a="1"/>
  <c r="E51" i="38" s="1"/>
  <c r="D63" i="13" s="1"/>
  <c r="E43" i="38" a="1"/>
  <c r="E43" i="38" s="1"/>
  <c r="E27" i="38" a="1"/>
  <c r="E27" i="38" s="1"/>
  <c r="D18" i="13" s="1"/>
  <c r="E8" i="38" a="1"/>
  <c r="E8" i="38" s="1"/>
  <c r="E8" i="34" s="1"/>
  <c r="E860" i="38" a="1"/>
  <c r="E860" i="38" s="1"/>
  <c r="E44" i="34" s="1"/>
  <c r="E694" i="38" a="1"/>
  <c r="E694" i="38" s="1"/>
  <c r="H120" i="31" s="1"/>
  <c r="E633" i="38" a="1"/>
  <c r="E633" i="38" s="1"/>
  <c r="N219" i="5" s="1"/>
  <c r="E584" i="38" a="1"/>
  <c r="E584" i="38" s="1"/>
  <c r="E98" i="31" s="1"/>
  <c r="E547" i="38" a="1"/>
  <c r="E547" i="38" s="1"/>
  <c r="E524" i="38" a="1"/>
  <c r="E524" i="38" s="1"/>
  <c r="H878" i="1" s="1"/>
  <c r="E511" i="38" a="1"/>
  <c r="E511" i="38" s="1"/>
  <c r="C989" i="1" s="1"/>
  <c r="E498" i="38" a="1"/>
  <c r="E498" i="38" s="1"/>
  <c r="C595" i="1" s="1"/>
  <c r="E485" i="38" a="1"/>
  <c r="E485" i="38" s="1"/>
  <c r="C332" i="1" s="1"/>
  <c r="E459" i="38" a="1"/>
  <c r="E459" i="38" s="1"/>
  <c r="B944" i="1" s="1"/>
  <c r="E446" i="38" a="1"/>
  <c r="E446" i="38" s="1"/>
  <c r="B767" i="1" s="1"/>
  <c r="E433" i="38" a="1"/>
  <c r="E433" i="38" s="1"/>
  <c r="B516" i="1" s="1"/>
  <c r="E420" i="38" a="1"/>
  <c r="E420" i="38" s="1"/>
  <c r="B235" i="1" s="1"/>
  <c r="E399" i="38" a="1"/>
  <c r="E399" i="38" s="1"/>
  <c r="E1159" i="1" s="1"/>
  <c r="E385" i="38" a="1"/>
  <c r="E385" i="38" s="1"/>
  <c r="E1069" i="1" s="1"/>
  <c r="E369" i="38" a="1"/>
  <c r="E369" i="38" s="1"/>
  <c r="E997" i="1" s="1"/>
  <c r="E1010" i="1" s="1"/>
  <c r="E354" i="38" a="1"/>
  <c r="E354" i="38" s="1"/>
  <c r="E910" i="1" s="1"/>
  <c r="E339" i="38" a="1"/>
  <c r="E339" i="38" s="1"/>
  <c r="E331" i="38" a="1"/>
  <c r="E331" i="38" s="1"/>
  <c r="E799" i="1" s="1"/>
  <c r="E824" i="1" s="1"/>
  <c r="E323" i="38" a="1"/>
  <c r="E323" i="38" s="1"/>
  <c r="D65" i="13" s="1"/>
  <c r="E315" i="38" a="1"/>
  <c r="E315" i="38" s="1"/>
  <c r="E656" i="1" s="1"/>
  <c r="E310" i="38" a="1"/>
  <c r="E310" i="38" s="1"/>
  <c r="E617" i="1" s="1"/>
  <c r="E303" i="38" a="1"/>
  <c r="E303" i="38" s="1"/>
  <c r="E544" i="1" s="1"/>
  <c r="E295" i="38" a="1"/>
  <c r="E295" i="38" s="1"/>
  <c r="E287" i="38" a="1"/>
  <c r="E287" i="38" s="1"/>
  <c r="E446" i="1" s="1"/>
  <c r="E451" i="1" s="1"/>
  <c r="E279" i="38" a="1"/>
  <c r="E279" i="38" s="1"/>
  <c r="E271" i="38" a="1"/>
  <c r="E271" i="38" s="1"/>
  <c r="E372" i="1" s="1"/>
  <c r="E263" i="38" a="1"/>
  <c r="E263" i="38" s="1"/>
  <c r="E346" i="1" s="1"/>
  <c r="E257" i="38" a="1"/>
  <c r="E257" i="38" s="1"/>
  <c r="E253" i="38" a="1"/>
  <c r="E253" i="38" s="1"/>
  <c r="E279" i="1" s="1"/>
  <c r="E287" i="1" s="1"/>
  <c r="E249" i="38" a="1"/>
  <c r="E249" i="38" s="1"/>
  <c r="E261" i="1" s="1"/>
  <c r="E286" i="1" s="1"/>
  <c r="E245" i="38" a="1"/>
  <c r="E245" i="38" s="1"/>
  <c r="E244" i="1" s="1"/>
  <c r="E241" i="38" a="1"/>
  <c r="E241" i="38" s="1"/>
  <c r="E219" i="1" s="1"/>
  <c r="E237" i="38" a="1"/>
  <c r="E237" i="38" s="1"/>
  <c r="E172" i="1" s="1"/>
  <c r="E233" i="38" a="1"/>
  <c r="E233" i="38" s="1"/>
  <c r="E229" i="38" a="1"/>
  <c r="E229" i="38" s="1"/>
  <c r="E133" i="1" s="1"/>
  <c r="E225" i="38" a="1"/>
  <c r="E225" i="38" s="1"/>
  <c r="E116" i="1" s="1"/>
  <c r="E221" i="38" a="1"/>
  <c r="E221" i="38" s="1"/>
  <c r="H80" i="1" s="1"/>
  <c r="E217" i="38" a="1"/>
  <c r="E217" i="38" s="1"/>
  <c r="H74" i="1" s="1"/>
  <c r="E213" i="38" a="1"/>
  <c r="E213" i="38" s="1"/>
  <c r="H53" i="1" s="1"/>
  <c r="E209" i="38" a="1"/>
  <c r="E209" i="38" s="1"/>
  <c r="H44" i="1" s="1"/>
  <c r="E205" i="38" a="1"/>
  <c r="E205" i="38" s="1"/>
  <c r="H38" i="1" s="1"/>
  <c r="E201" i="38" a="1"/>
  <c r="E201" i="38" s="1"/>
  <c r="H31" i="1" s="1"/>
  <c r="E197" i="38" a="1"/>
  <c r="E197" i="38" s="1"/>
  <c r="H24" i="1" s="1"/>
  <c r="E193" i="38" a="1"/>
  <c r="E193" i="38" s="1"/>
  <c r="H17" i="1" s="1"/>
  <c r="E189" i="38" a="1"/>
  <c r="E189" i="38" s="1"/>
  <c r="E92" i="1" s="1"/>
  <c r="E974" i="1" s="1"/>
  <c r="E185" i="38" a="1"/>
  <c r="E185" i="38" s="1"/>
  <c r="E88" i="1" s="1"/>
  <c r="E344" i="1" s="1"/>
  <c r="E181" i="38" a="1"/>
  <c r="E181" i="38" s="1"/>
  <c r="E84" i="1" s="1"/>
  <c r="E1068" i="1" s="1"/>
  <c r="E177" i="38" a="1"/>
  <c r="E177" i="38" s="1"/>
  <c r="E80" i="1" s="1"/>
  <c r="E172" i="38" a="1"/>
  <c r="E172" i="38" s="1"/>
  <c r="E168" i="38" a="1"/>
  <c r="E168" i="38" s="1"/>
  <c r="E71" i="1" s="1"/>
  <c r="E164" i="38" a="1"/>
  <c r="E164" i="38" s="1"/>
  <c r="E67" i="1" s="1"/>
  <c r="E794" i="1" s="1"/>
  <c r="E160" i="38" a="1"/>
  <c r="E160" i="38" s="1"/>
  <c r="E157" i="38" a="1"/>
  <c r="E157" i="38" s="1"/>
  <c r="E153" i="38" a="1"/>
  <c r="E153" i="38" s="1"/>
  <c r="E45" i="1" s="1"/>
  <c r="E508" i="1" s="1"/>
  <c r="E149" i="38" a="1"/>
  <c r="E149" i="38" s="1"/>
  <c r="E145" i="38" a="1"/>
  <c r="E145" i="38" s="1"/>
  <c r="E35" i="1" s="1"/>
  <c r="E141" i="38" a="1"/>
  <c r="E141" i="38" s="1"/>
  <c r="E31" i="1" s="1"/>
  <c r="E260" i="1" s="1"/>
  <c r="E137" i="38" a="1"/>
  <c r="E137" i="38" s="1"/>
  <c r="E27" i="1" s="1"/>
  <c r="E133" i="38" a="1"/>
  <c r="E133" i="38" s="1"/>
  <c r="F181" i="1" s="1"/>
  <c r="F183" i="1" s="1"/>
  <c r="E129" i="38" a="1"/>
  <c r="E129" i="38" s="1"/>
  <c r="E21" i="1" s="1"/>
  <c r="E203" i="1" s="1"/>
  <c r="E125" i="38" a="1"/>
  <c r="E125" i="38" s="1"/>
  <c r="E17" i="1" s="1"/>
  <c r="E167" i="1" s="1"/>
  <c r="E121" i="38" a="1"/>
  <c r="E121" i="38" s="1"/>
  <c r="F15" i="5" s="1"/>
  <c r="E117" i="38" a="1"/>
  <c r="E117" i="38" s="1"/>
  <c r="E112" i="38" a="1"/>
  <c r="E112" i="38" s="1"/>
  <c r="E109" i="38" a="1"/>
  <c r="E109" i="38" s="1"/>
  <c r="E104" i="38" a="1"/>
  <c r="E104" i="38" s="1"/>
  <c r="B11" i="5" s="1"/>
  <c r="E101" i="38" a="1"/>
  <c r="E101" i="38" s="1"/>
  <c r="B7" i="5" s="1"/>
  <c r="E96" i="38" a="1"/>
  <c r="E96" i="38" s="1"/>
  <c r="A4" i="1" s="1"/>
  <c r="I4" i="24" s="1"/>
  <c r="E93" i="38" a="1"/>
  <c r="E93" i="38" s="1"/>
  <c r="R173" i="5" s="1"/>
  <c r="E89" i="38" a="1"/>
  <c r="E89" i="38" s="1"/>
  <c r="H68" i="13" s="1"/>
  <c r="E85" i="38" a="1"/>
  <c r="E85" i="38" s="1"/>
  <c r="E81" i="38" a="1"/>
  <c r="E81" i="38" s="1"/>
  <c r="H51" i="13" s="1"/>
  <c r="E77" i="38" a="1"/>
  <c r="E77" i="38" s="1"/>
  <c r="H42" i="13" s="1"/>
  <c r="E73" i="38" a="1"/>
  <c r="E73" i="38" s="1"/>
  <c r="H33" i="13" s="1"/>
  <c r="E69" i="38" a="1"/>
  <c r="E69" i="38" s="1"/>
  <c r="H25" i="13" s="1"/>
  <c r="E65" i="38" a="1"/>
  <c r="E65" i="38" s="1"/>
  <c r="H18" i="13" s="1"/>
  <c r="E61" i="38" a="1"/>
  <c r="E61" i="38" s="1"/>
  <c r="H10" i="13" s="1"/>
  <c r="E57" i="38" a="1"/>
  <c r="E57" i="38" s="1"/>
  <c r="D75" i="13" s="1"/>
  <c r="E53" i="38" a="1"/>
  <c r="E53" i="38" s="1"/>
  <c r="D67" i="13" s="1"/>
  <c r="E49" i="38" a="1"/>
  <c r="E49" i="38" s="1"/>
  <c r="D60" i="13" s="1"/>
  <c r="E45" i="38" a="1"/>
  <c r="E45" i="38" s="1"/>
  <c r="D53" i="13" s="1"/>
  <c r="E41" i="38" a="1"/>
  <c r="E41" i="38" s="1"/>
  <c r="D46" i="13" s="1"/>
  <c r="E37" i="38" a="1"/>
  <c r="E37" i="38" s="1"/>
  <c r="D37" i="13" s="1"/>
  <c r="E33" i="38" a="1"/>
  <c r="E33" i="38" s="1"/>
  <c r="E29" i="38" a="1"/>
  <c r="E29" i="38" s="1"/>
  <c r="D23" i="13" s="1"/>
  <c r="E25" i="38" a="1"/>
  <c r="E25" i="38" s="1"/>
  <c r="D14" i="13" s="1"/>
  <c r="E21" i="38" a="1"/>
  <c r="E21" i="38" s="1"/>
  <c r="B28" i="13" s="1"/>
  <c r="B38" i="24"/>
  <c r="B32" i="24"/>
  <c r="E729" i="38" a="1"/>
  <c r="E729" i="38" s="1"/>
  <c r="H78" i="13" s="1"/>
  <c r="E607" i="38" a="1"/>
  <c r="E607" i="38" s="1"/>
  <c r="E541" i="38" a="1"/>
  <c r="E541" i="38" s="1"/>
  <c r="E518" i="38" a="1"/>
  <c r="E518" i="38" s="1"/>
  <c r="H536" i="1" s="1"/>
  <c r="E478" i="38" a="1"/>
  <c r="E478" i="38" s="1"/>
  <c r="A942" i="1" s="1"/>
  <c r="E426" i="38" a="1"/>
  <c r="E426" i="38" s="1"/>
  <c r="E377" i="38" a="1"/>
  <c r="E377" i="38" s="1"/>
  <c r="E1032" i="1" s="1"/>
  <c r="E346" i="38" a="1"/>
  <c r="E346" i="38" s="1"/>
  <c r="E875" i="1" s="1"/>
  <c r="E335" i="38" a="1"/>
  <c r="E335" i="38" s="1"/>
  <c r="D52" i="13" s="1"/>
  <c r="E319" i="38" a="1"/>
  <c r="E319" i="38" s="1"/>
  <c r="E666" i="1" s="1"/>
  <c r="E306" i="38" a="1"/>
  <c r="E306" i="38" s="1"/>
  <c r="E283" i="38" a="1"/>
  <c r="E283" i="38" s="1"/>
  <c r="E425" i="1" s="1"/>
  <c r="E267" i="38" a="1"/>
  <c r="E267" i="38" s="1"/>
  <c r="E352" i="1" s="1"/>
  <c r="E255" i="38" a="1"/>
  <c r="E255" i="38" s="1"/>
  <c r="E284" i="1" s="1"/>
  <c r="E247" i="38" a="1"/>
  <c r="E247" i="38" s="1"/>
  <c r="E251" i="1" s="1"/>
  <c r="E239" i="38" a="1"/>
  <c r="E239" i="38" s="1"/>
  <c r="E201" i="1" s="1"/>
  <c r="E227" i="38" a="1"/>
  <c r="E227" i="38" s="1"/>
  <c r="E125" i="1" s="1"/>
  <c r="E135" i="1" s="1"/>
  <c r="E219" i="38" a="1"/>
  <c r="E219" i="38" s="1"/>
  <c r="H78" i="1" s="1"/>
  <c r="E207" i="38" a="1"/>
  <c r="E207" i="38" s="1"/>
  <c r="H42" i="1" s="1"/>
  <c r="H11" i="12" s="1"/>
  <c r="E199" i="38" a="1"/>
  <c r="E199" i="38" s="1"/>
  <c r="H29" i="1" s="1"/>
  <c r="H243" i="1" s="1"/>
  <c r="E187" i="38" a="1"/>
  <c r="E187" i="38" s="1"/>
  <c r="E90" i="1" s="1"/>
  <c r="E972" i="1" s="1"/>
  <c r="E179" i="38" a="1"/>
  <c r="E179" i="38" s="1"/>
  <c r="E82" i="1" s="1"/>
  <c r="E1050" i="1" s="1"/>
  <c r="E166" i="38" a="1"/>
  <c r="E166" i="38" s="1"/>
  <c r="E159" i="38" a="1"/>
  <c r="E159" i="38" s="1"/>
  <c r="E147" i="38" a="1"/>
  <c r="E147" i="38" s="1"/>
  <c r="E139" i="38" a="1"/>
  <c r="E139" i="38" s="1"/>
  <c r="E29" i="1" s="1"/>
  <c r="E243" i="1" s="1"/>
  <c r="E127" i="38" a="1"/>
  <c r="E127" i="38" s="1"/>
  <c r="E119" i="38" a="1"/>
  <c r="E119" i="38" s="1"/>
  <c r="E105" i="38" a="1"/>
  <c r="E105" i="38" s="1"/>
  <c r="B12" i="5" s="1"/>
  <c r="E97" i="38" a="1"/>
  <c r="E97" i="38" s="1"/>
  <c r="E13" i="1" s="1"/>
  <c r="E87" i="38" a="1"/>
  <c r="E87" i="38" s="1"/>
  <c r="E71" i="38" a="1"/>
  <c r="E71" i="38" s="1"/>
  <c r="H29" i="13" s="1"/>
  <c r="E59" i="38" a="1"/>
  <c r="E59" i="38" s="1"/>
  <c r="F93" i="11" s="1"/>
  <c r="E39" i="38" a="1"/>
  <c r="E39" i="38" s="1"/>
  <c r="D42" i="13" s="1"/>
  <c r="E31" i="38" a="1"/>
  <c r="E31" i="38" s="1"/>
  <c r="D25" i="13" s="1"/>
  <c r="E23" i="38" a="1"/>
  <c r="E23" i="38" s="1"/>
  <c r="E828" i="38" a="1"/>
  <c r="E828" i="38" s="1"/>
  <c r="R177" i="5" s="1"/>
  <c r="E679" i="38" a="1"/>
  <c r="E679" i="38" s="1"/>
  <c r="E575" i="38" a="1"/>
  <c r="E575" i="38" s="1"/>
  <c r="E544" i="38" a="1"/>
  <c r="E544" i="38" s="1"/>
  <c r="E533" i="38" a="1"/>
  <c r="E533" i="38" s="1"/>
  <c r="E508" i="38" a="1"/>
  <c r="E508" i="38" s="1"/>
  <c r="C945" i="1" s="1"/>
  <c r="E495" i="38" a="1"/>
  <c r="E495" i="38" s="1"/>
  <c r="C550" i="1" s="1"/>
  <c r="E481" i="38" a="1"/>
  <c r="E481" i="38" s="1"/>
  <c r="A1149" i="1" s="1"/>
  <c r="I25" i="24" s="1"/>
  <c r="E469" i="38" a="1"/>
  <c r="E469" i="38" s="1"/>
  <c r="A455" i="1" s="1"/>
  <c r="I11" i="24" s="1"/>
  <c r="E443" i="38" a="1"/>
  <c r="E443" i="38" s="1"/>
  <c r="B731" i="1" s="1"/>
  <c r="E430" i="38" a="1"/>
  <c r="E430" i="38" s="1"/>
  <c r="B420" i="1" s="1"/>
  <c r="E416" i="38" a="1"/>
  <c r="E416" i="38" s="1"/>
  <c r="B191" i="1" s="1"/>
  <c r="E406" i="38" a="1"/>
  <c r="E406" i="38" s="1"/>
  <c r="E395" i="38" a="1"/>
  <c r="E395" i="38" s="1"/>
  <c r="E1093" i="1" s="1"/>
  <c r="E1097" i="1" s="1"/>
  <c r="E381" i="38" a="1"/>
  <c r="E381" i="38" s="1"/>
  <c r="E1052" i="1" s="1"/>
  <c r="E365" i="38" a="1"/>
  <c r="E365" i="38" s="1"/>
  <c r="E986" i="1" s="1"/>
  <c r="E350" i="38" a="1"/>
  <c r="E350" i="38" s="1"/>
  <c r="E882" i="1" s="1"/>
  <c r="E338" i="38" a="1"/>
  <c r="E338" i="38" s="1"/>
  <c r="E330" i="38" a="1"/>
  <c r="E330" i="38" s="1"/>
  <c r="E792" i="1" s="1"/>
  <c r="E322" i="38" a="1"/>
  <c r="E322" i="38" s="1"/>
  <c r="E314" i="38" a="1"/>
  <c r="E314" i="38" s="1"/>
  <c r="E652" i="1" s="1"/>
  <c r="E309" i="38" a="1"/>
  <c r="E309" i="38" s="1"/>
  <c r="E603" i="1" s="1"/>
  <c r="R133" i="5" s="1"/>
  <c r="E302" i="38" a="1"/>
  <c r="E302" i="38" s="1"/>
  <c r="E543" i="1" s="1"/>
  <c r="E294" i="38" a="1"/>
  <c r="E294" i="38" s="1"/>
  <c r="E517" i="1" s="1"/>
  <c r="E286" i="38" a="1"/>
  <c r="E286" i="38" s="1"/>
  <c r="E445" i="1" s="1"/>
  <c r="E450" i="1" s="1"/>
  <c r="E278" i="38" a="1"/>
  <c r="E278" i="38" s="1"/>
  <c r="E270" i="38" a="1"/>
  <c r="E270" i="38" s="1"/>
  <c r="E366" i="1" s="1"/>
  <c r="E262" i="38" a="1"/>
  <c r="E262" i="38" s="1"/>
  <c r="E342" i="1" s="1"/>
  <c r="E256" i="38" a="1"/>
  <c r="E256" i="38" s="1"/>
  <c r="E299" i="1" s="1"/>
  <c r="E10" i="12" s="1"/>
  <c r="E252" i="38" a="1"/>
  <c r="E252" i="38" s="1"/>
  <c r="E275" i="1" s="1"/>
  <c r="E248" i="38" a="1"/>
  <c r="E248" i="38" s="1"/>
  <c r="E254" i="1" s="1"/>
  <c r="E244" i="38" a="1"/>
  <c r="E244" i="38" s="1"/>
  <c r="E240" i="1" s="1"/>
  <c r="E240" i="38" a="1"/>
  <c r="E240" i="38" s="1"/>
  <c r="E204" i="1" s="1"/>
  <c r="E208" i="1" s="1"/>
  <c r="E236" i="38" a="1"/>
  <c r="E236" i="38" s="1"/>
  <c r="E232" i="38" a="1"/>
  <c r="E232" i="38" s="1"/>
  <c r="E148" i="1" s="1"/>
  <c r="E490" i="1" s="1"/>
  <c r="E228" i="38" a="1"/>
  <c r="E228" i="38" s="1"/>
  <c r="E131" i="1" s="1"/>
  <c r="E134" i="1" s="1"/>
  <c r="E224" i="38" a="1"/>
  <c r="E224" i="38" s="1"/>
  <c r="E112" i="1" s="1"/>
  <c r="E220" i="38" a="1"/>
  <c r="E220" i="38" s="1"/>
  <c r="H79" i="1" s="1"/>
  <c r="E216" i="38" a="1"/>
  <c r="E216" i="38" s="1"/>
  <c r="H71" i="1" s="1"/>
  <c r="E212" i="38" a="1"/>
  <c r="E212" i="38" s="1"/>
  <c r="E208" i="38" a="1"/>
  <c r="E208" i="38" s="1"/>
  <c r="H43" i="1" s="1"/>
  <c r="E204" i="38" a="1"/>
  <c r="E204" i="38" s="1"/>
  <c r="H37" i="1" s="1"/>
  <c r="E200" i="38" a="1"/>
  <c r="E200" i="38" s="1"/>
  <c r="H30" i="1" s="1"/>
  <c r="E196" i="38" a="1"/>
  <c r="E196" i="38" s="1"/>
  <c r="H23" i="1" s="1"/>
  <c r="E192" i="38" a="1"/>
  <c r="E192" i="38" s="1"/>
  <c r="H16" i="1" s="1"/>
  <c r="E188" i="38" a="1"/>
  <c r="E188" i="38" s="1"/>
  <c r="E91" i="1" s="1"/>
  <c r="E973" i="1" s="1"/>
  <c r="E184" i="38" a="1"/>
  <c r="E184" i="38" s="1"/>
  <c r="E87" i="1" s="1"/>
  <c r="E340" i="1" s="1"/>
  <c r="E180" i="38" a="1"/>
  <c r="E180" i="38" s="1"/>
  <c r="E83" i="1" s="1"/>
  <c r="E1063" i="1" s="1"/>
  <c r="E176" i="38" a="1"/>
  <c r="E176" i="38" s="1"/>
  <c r="E79" i="1" s="1"/>
  <c r="E716" i="1" s="1"/>
  <c r="E171" i="38" a="1"/>
  <c r="E171" i="38" s="1"/>
  <c r="E167" i="38" a="1"/>
  <c r="E167" i="38" s="1"/>
  <c r="E70" i="1" s="1"/>
  <c r="E923" i="1" s="1"/>
  <c r="E163" i="38" a="1"/>
  <c r="E163" i="38" s="1"/>
  <c r="E66" i="1" s="1"/>
  <c r="E760" i="1" s="1"/>
  <c r="E156" i="38" a="1"/>
  <c r="E156" i="38" s="1"/>
  <c r="C48" i="1" s="1"/>
  <c r="E152" i="38" a="1"/>
  <c r="E152" i="38" s="1"/>
  <c r="E43" i="1" s="1"/>
  <c r="E461" i="1" s="1"/>
  <c r="E148" i="38" a="1"/>
  <c r="E148" i="38" s="1"/>
  <c r="E38" i="1" s="1"/>
  <c r="E107" i="1" s="1"/>
  <c r="E144" i="38" a="1"/>
  <c r="E144" i="38" s="1"/>
  <c r="E34" i="1" s="1"/>
  <c r="E228" i="1" s="1"/>
  <c r="E140" i="38" a="1"/>
  <c r="E140" i="38" s="1"/>
  <c r="E30" i="1" s="1"/>
  <c r="E282" i="1" s="1"/>
  <c r="E136" i="38" a="1"/>
  <c r="E136" i="38" s="1"/>
  <c r="E132" i="38" a="1"/>
  <c r="E132" i="38" s="1"/>
  <c r="E128" i="38" a="1"/>
  <c r="E128" i="38" s="1"/>
  <c r="E124" i="38" a="1"/>
  <c r="E124" i="38" s="1"/>
  <c r="E16" i="1" s="1"/>
  <c r="E162" i="1" s="1"/>
  <c r="E120" i="38" a="1"/>
  <c r="E120" i="38" s="1"/>
  <c r="E114" i="38" a="1"/>
  <c r="E114" i="38" s="1"/>
  <c r="F8" i="5" s="1"/>
  <c r="E111" i="38" a="1"/>
  <c r="E111" i="38" s="1"/>
  <c r="F90" i="11" s="1"/>
  <c r="E106" i="38" a="1"/>
  <c r="E106" i="38" s="1"/>
  <c r="B13" i="5" s="1"/>
  <c r="E103" i="38" a="1"/>
  <c r="E103" i="38" s="1"/>
  <c r="E98" i="38" a="1"/>
  <c r="E98" i="38" s="1"/>
  <c r="B3" i="5" s="1"/>
  <c r="E95" i="38" a="1"/>
  <c r="E95" i="38" s="1"/>
  <c r="E92" i="38" a="1"/>
  <c r="E92" i="38" s="1"/>
  <c r="E88" i="38" a="1"/>
  <c r="E88" i="38" s="1"/>
  <c r="E84" i="38" a="1"/>
  <c r="E84" i="38" s="1"/>
  <c r="H57" i="13" s="1"/>
  <c r="E80" i="38" a="1"/>
  <c r="E80" i="38" s="1"/>
  <c r="E76" i="38" a="1"/>
  <c r="E76" i="38" s="1"/>
  <c r="H39" i="13" s="1"/>
  <c r="E72" i="38" a="1"/>
  <c r="E72" i="38" s="1"/>
  <c r="H31" i="13" s="1"/>
  <c r="E68" i="38" a="1"/>
  <c r="E68" i="38" s="1"/>
  <c r="H24" i="13" s="1"/>
  <c r="E64" i="38" a="1"/>
  <c r="E64" i="38" s="1"/>
  <c r="H16" i="13" s="1"/>
  <c r="E60" i="38" a="1"/>
  <c r="E60" i="38" s="1"/>
  <c r="C156" i="5" s="1"/>
  <c r="E56" i="38" a="1"/>
  <c r="E56" i="38" s="1"/>
  <c r="D70" i="13" s="1"/>
  <c r="E52" i="38" a="1"/>
  <c r="E52" i="38" s="1"/>
  <c r="D66" i="13" s="1"/>
  <c r="E48" i="38" a="1"/>
  <c r="E48" i="38" s="1"/>
  <c r="D59" i="13" s="1"/>
  <c r="E44" i="38" a="1"/>
  <c r="E44" i="38" s="1"/>
  <c r="D51" i="13" s="1"/>
  <c r="E40" i="38" a="1"/>
  <c r="E40" i="38" s="1"/>
  <c r="D44" i="13" s="1"/>
  <c r="E36" i="38" a="1"/>
  <c r="E36" i="38" s="1"/>
  <c r="D35" i="13" s="1"/>
  <c r="E32" i="38" a="1"/>
  <c r="E32" i="38" s="1"/>
  <c r="D26" i="13" s="1"/>
  <c r="E28" i="38" a="1"/>
  <c r="E28" i="38" s="1"/>
  <c r="D20" i="13" s="1"/>
  <c r="E24" i="38" a="1"/>
  <c r="E24" i="38" s="1"/>
  <c r="D12" i="13" s="1"/>
  <c r="E20" i="38" a="1"/>
  <c r="E20" i="38" s="1"/>
  <c r="B22" i="13" s="1"/>
  <c r="B37" i="24"/>
  <c r="C5" i="34"/>
  <c r="E663" i="38" a="1"/>
  <c r="E663" i="38" s="1"/>
  <c r="E182" i="31" s="1"/>
  <c r="E299" i="38" a="1"/>
  <c r="E299" i="38" s="1"/>
  <c r="E527" i="1" s="1"/>
  <c r="E231" i="38" a="1"/>
  <c r="E231" i="38" s="1"/>
  <c r="E211" i="38" a="1"/>
  <c r="E211" i="38" s="1"/>
  <c r="H47" i="1" s="1"/>
  <c r="E191" i="38" a="1"/>
  <c r="E191" i="38" s="1"/>
  <c r="E170" i="38" a="1"/>
  <c r="E170" i="38" s="1"/>
  <c r="B73" i="1" s="1"/>
  <c r="E155" i="38" a="1"/>
  <c r="E155" i="38" s="1"/>
  <c r="E47" i="1" s="1"/>
  <c r="E135" i="38" a="1"/>
  <c r="E135" i="38" s="1"/>
  <c r="E25" i="1" s="1"/>
  <c r="E854" i="1" s="1"/>
  <c r="E116" i="38" a="1"/>
  <c r="E116" i="38" s="1"/>
  <c r="F12" i="5" s="1"/>
  <c r="E108" i="38" a="1"/>
  <c r="E108" i="38" s="1"/>
  <c r="B15" i="5" s="1"/>
  <c r="E83" i="38" a="1"/>
  <c r="E83" i="38" s="1"/>
  <c r="H56" i="13" s="1"/>
  <c r="E75" i="38" a="1"/>
  <c r="E75" i="38" s="1"/>
  <c r="H37" i="13" s="1"/>
  <c r="E67" i="38" a="1"/>
  <c r="E67" i="38" s="1"/>
  <c r="H23" i="13" s="1"/>
  <c r="E55" i="38" a="1"/>
  <c r="E55" i="38" s="1"/>
  <c r="D69" i="13" s="1"/>
  <c r="E47" i="38" a="1"/>
  <c r="E47" i="38" s="1"/>
  <c r="E35" i="38" a="1"/>
  <c r="E35" i="38" s="1"/>
  <c r="D33" i="13" s="1"/>
  <c r="E19" i="38" a="1"/>
  <c r="E19" i="38" s="1"/>
  <c r="B9" i="13" s="1"/>
  <c r="C4" i="34"/>
  <c r="E279" i="31"/>
  <c r="E231" i="1" s="1"/>
  <c r="G67" i="11"/>
  <c r="G277" i="31" s="1"/>
  <c r="A195" i="31"/>
  <c r="K11" i="24" s="1"/>
  <c r="I4" i="35"/>
  <c r="G485" i="1" l="1"/>
  <c r="G497" i="1" s="1"/>
  <c r="G1097" i="1"/>
  <c r="E428" i="1"/>
  <c r="E303" i="1"/>
  <c r="G1157" i="1"/>
  <c r="G36" i="12"/>
  <c r="G1113" i="1"/>
  <c r="E1113" i="1"/>
  <c r="E906" i="1"/>
  <c r="E850" i="1"/>
  <c r="E412" i="1"/>
  <c r="E36" i="12"/>
  <c r="E1157" i="1"/>
  <c r="E414" i="1"/>
  <c r="E1095" i="1" s="1"/>
  <c r="E411" i="1"/>
  <c r="E415" i="1"/>
  <c r="E1007" i="1"/>
  <c r="A212" i="5"/>
  <c r="D58" i="13"/>
  <c r="E861" i="1"/>
  <c r="E482" i="1"/>
  <c r="E843" i="1"/>
  <c r="E1179" i="1" s="1"/>
  <c r="E826" i="1"/>
  <c r="E814" i="1" s="1"/>
  <c r="E475" i="1"/>
  <c r="N3" i="34"/>
  <c r="B6" i="1"/>
  <c r="H2" i="7"/>
  <c r="H2" i="38"/>
  <c r="H2" i="33"/>
  <c r="H2" i="6"/>
  <c r="H2" i="12"/>
  <c r="H2" i="21"/>
  <c r="H2" i="36"/>
  <c r="B266" i="12"/>
  <c r="B64" i="12"/>
  <c r="B166" i="12"/>
  <c r="G156" i="12"/>
  <c r="G155" i="12"/>
  <c r="G157" i="12"/>
  <c r="A78" i="12"/>
  <c r="K18" i="24" s="1"/>
  <c r="A214" i="12"/>
  <c r="K19" i="24" s="1"/>
  <c r="A15" i="12"/>
  <c r="K17" i="24" s="1"/>
  <c r="C112" i="12"/>
  <c r="C18" i="12"/>
  <c r="B216" i="12"/>
  <c r="C83" i="12"/>
  <c r="B159" i="12"/>
  <c r="B259" i="12"/>
  <c r="B57" i="12"/>
  <c r="B229" i="12"/>
  <c r="E240" i="12" s="1"/>
  <c r="E324" i="12" s="1"/>
  <c r="B79" i="12"/>
  <c r="E152" i="12" s="1"/>
  <c r="E321" i="12" s="1"/>
  <c r="B17" i="12"/>
  <c r="G255" i="12"/>
  <c r="G257" i="12"/>
  <c r="G256" i="12"/>
  <c r="B145" i="5"/>
  <c r="B154" i="12"/>
  <c r="B254" i="12"/>
  <c r="C129" i="12"/>
  <c r="B19" i="35" s="1"/>
  <c r="C32" i="12"/>
  <c r="F646" i="1"/>
  <c r="E638" i="1"/>
  <c r="F641" i="1"/>
  <c r="E633" i="1"/>
  <c r="C162" i="5"/>
  <c r="C174" i="5"/>
  <c r="C164" i="5"/>
  <c r="C176" i="5"/>
  <c r="C163" i="5"/>
  <c r="C175" i="5"/>
  <c r="C160" i="5"/>
  <c r="C172" i="5"/>
  <c r="C161" i="5"/>
  <c r="C173" i="5"/>
  <c r="E180" i="31"/>
  <c r="E183" i="31" s="1"/>
  <c r="B21" i="5" s="1"/>
  <c r="D152" i="5"/>
  <c r="P6" i="34" s="1"/>
  <c r="E86" i="36"/>
  <c r="E81" i="33"/>
  <c r="J11" i="34" s="1"/>
  <c r="E98" i="35" s="1"/>
  <c r="E291" i="31"/>
  <c r="E81" i="21"/>
  <c r="J12" i="34" s="1"/>
  <c r="E99" i="35" s="1"/>
  <c r="E108" i="11"/>
  <c r="J6" i="34" s="1"/>
  <c r="E93" i="35" s="1"/>
  <c r="E329" i="12"/>
  <c r="E1186" i="1"/>
  <c r="E153" i="7"/>
  <c r="F56" i="5"/>
  <c r="J5" i="34" s="1"/>
  <c r="E92" i="35" s="1"/>
  <c r="F48" i="5"/>
  <c r="A81" i="36"/>
  <c r="A76" i="33"/>
  <c r="A286" i="31"/>
  <c r="A76" i="21"/>
  <c r="A103" i="11"/>
  <c r="A315" i="12"/>
  <c r="A1164" i="1"/>
  <c r="A149" i="7"/>
  <c r="E816" i="1"/>
  <c r="G1033" i="1"/>
  <c r="G958" i="1"/>
  <c r="G103" i="31"/>
  <c r="G1027" i="1" s="1"/>
  <c r="G57" i="31"/>
  <c r="G91" i="31" s="1"/>
  <c r="G189" i="31"/>
  <c r="G102" i="31"/>
  <c r="G960" i="1"/>
  <c r="G119" i="31"/>
  <c r="G959" i="1"/>
  <c r="G116" i="31"/>
  <c r="G118" i="31" s="1"/>
  <c r="E686" i="1"/>
  <c r="E1175" i="1" s="1"/>
  <c r="E679" i="1"/>
  <c r="E1174" i="1" s="1"/>
  <c r="E709" i="1"/>
  <c r="E1176" i="1" s="1"/>
  <c r="E106" i="11"/>
  <c r="E92" i="11"/>
  <c r="E88" i="11"/>
  <c r="E91" i="11"/>
  <c r="E87" i="11"/>
  <c r="E93" i="11"/>
  <c r="E89" i="11"/>
  <c r="E90" i="11"/>
  <c r="E154" i="31"/>
  <c r="E219" i="31" s="1"/>
  <c r="E234" i="31" s="1"/>
  <c r="F41" i="11"/>
  <c r="J4" i="34"/>
  <c r="N4" i="34"/>
  <c r="B152" i="5"/>
  <c r="N6" i="34" s="1"/>
  <c r="E41" i="11"/>
  <c r="N5" i="34" s="1"/>
  <c r="J13" i="34"/>
  <c r="N8" i="34"/>
  <c r="C19" i="34"/>
  <c r="O3" i="34"/>
  <c r="G41" i="11"/>
  <c r="P5" i="34" s="1"/>
  <c r="G106" i="11"/>
  <c r="E929" i="1"/>
  <c r="E53" i="36"/>
  <c r="E48" i="33"/>
  <c r="E48" i="21"/>
  <c r="R81" i="5"/>
  <c r="E830" i="1"/>
  <c r="E834" i="1"/>
  <c r="E925" i="1"/>
  <c r="E1162" i="1"/>
  <c r="E1183" i="1" s="1"/>
  <c r="F645" i="1"/>
  <c r="E637" i="1"/>
  <c r="E636" i="1"/>
  <c r="F644" i="1"/>
  <c r="E580" i="1"/>
  <c r="E634" i="1" s="1"/>
  <c r="E628" i="1"/>
  <c r="E635" i="1" s="1"/>
  <c r="L4" i="5"/>
  <c r="J4" i="5"/>
  <c r="I4" i="5"/>
  <c r="K4" i="5"/>
  <c r="C58" i="1"/>
  <c r="E651" i="1"/>
  <c r="R121" i="5" s="1"/>
  <c r="H603" i="1"/>
  <c r="H939" i="1"/>
  <c r="H899" i="1" s="1"/>
  <c r="G99" i="11"/>
  <c r="G100" i="11"/>
  <c r="B217" i="5"/>
  <c r="C98" i="34"/>
  <c r="A167" i="5"/>
  <c r="B53" i="5" s="1"/>
  <c r="C91" i="34"/>
  <c r="D82" i="34"/>
  <c r="D85" i="34"/>
  <c r="A143" i="5"/>
  <c r="B160" i="5" s="1"/>
  <c r="C86" i="34"/>
  <c r="A118" i="5"/>
  <c r="B121" i="5" s="1"/>
  <c r="C83" i="34"/>
  <c r="D29" i="13"/>
  <c r="B23" i="34"/>
  <c r="A60" i="5"/>
  <c r="G4" i="24" s="1"/>
  <c r="C76" i="34"/>
  <c r="A58" i="5"/>
  <c r="G40" i="24" s="1"/>
  <c r="B75" i="34"/>
  <c r="D10" i="13"/>
  <c r="B59" i="34"/>
  <c r="R87" i="5"/>
  <c r="A189" i="5"/>
  <c r="S205" i="5"/>
  <c r="S204" i="5"/>
  <c r="B194" i="5" s="1"/>
  <c r="S192" i="5"/>
  <c r="S203" i="5"/>
  <c r="R89" i="5"/>
  <c r="B148" i="5" s="1"/>
  <c r="T172" i="5"/>
  <c r="U191" i="5"/>
  <c r="B17" i="5"/>
  <c r="E58" i="11" s="1"/>
  <c r="E203" i="31" s="1"/>
  <c r="R192" i="5"/>
  <c r="B195" i="5" s="1"/>
  <c r="R169" i="5"/>
  <c r="G101" i="11"/>
  <c r="G2" i="38" s="1"/>
  <c r="E647" i="1"/>
  <c r="J78" i="35"/>
  <c r="I78" i="35" s="1"/>
  <c r="J81" i="35"/>
  <c r="I81" i="35" s="1"/>
  <c r="J12" i="35"/>
  <c r="I12" i="35" s="1"/>
  <c r="J82" i="35"/>
  <c r="I82" i="35" s="1"/>
  <c r="J80" i="35"/>
  <c r="I80" i="35" s="1"/>
  <c r="J77" i="35"/>
  <c r="I77" i="35" s="1"/>
  <c r="J13" i="35"/>
  <c r="I13" i="35" s="1"/>
  <c r="J88" i="35"/>
  <c r="I88" i="35" s="1"/>
  <c r="J14" i="35"/>
  <c r="I14" i="35" s="1"/>
  <c r="J58" i="35"/>
  <c r="I58" i="35" s="1"/>
  <c r="J16" i="35"/>
  <c r="I16" i="35" s="1"/>
  <c r="J83" i="35"/>
  <c r="I83" i="35" s="1"/>
  <c r="J84" i="35"/>
  <c r="I84" i="35" s="1"/>
  <c r="J15" i="35"/>
  <c r="I15" i="35" s="1"/>
  <c r="J11" i="35"/>
  <c r="I11" i="35" s="1"/>
  <c r="J79" i="35"/>
  <c r="I79" i="35" s="1"/>
  <c r="J17" i="35"/>
  <c r="I17" i="35" s="1"/>
  <c r="J86" i="35"/>
  <c r="I86" i="35" s="1"/>
  <c r="J87" i="35"/>
  <c r="I87" i="35" s="1"/>
  <c r="J85" i="35"/>
  <c r="I85" i="35" s="1"/>
  <c r="E11" i="33"/>
  <c r="E27" i="33" s="1"/>
  <c r="E11" i="21"/>
  <c r="E27" i="21" s="1"/>
  <c r="E11" i="36"/>
  <c r="E32" i="36" s="1"/>
  <c r="E11" i="31"/>
  <c r="E49" i="31" s="1"/>
  <c r="E75" i="31" s="1"/>
  <c r="E142" i="31" s="1"/>
  <c r="E158" i="31" s="1"/>
  <c r="E314" i="1"/>
  <c r="E751" i="1" s="1"/>
  <c r="E729" i="1"/>
  <c r="G614" i="1"/>
  <c r="G612" i="1"/>
  <c r="G325" i="1"/>
  <c r="G613" i="1"/>
  <c r="G617" i="1"/>
  <c r="G324" i="1"/>
  <c r="G611" i="1"/>
  <c r="G615" i="1"/>
  <c r="G193" i="31"/>
  <c r="G227" i="12" s="1"/>
  <c r="G798" i="1"/>
  <c r="G188" i="31"/>
  <c r="G341" i="1"/>
  <c r="G963" i="1"/>
  <c r="G1052" i="1"/>
  <c r="G100" i="31"/>
  <c r="G328" i="1"/>
  <c r="G240" i="1"/>
  <c r="G173" i="31"/>
  <c r="G109" i="1"/>
  <c r="G130" i="1" s="1"/>
  <c r="G107" i="31"/>
  <c r="G177" i="31"/>
  <c r="G239" i="1"/>
  <c r="G277" i="1" s="1"/>
  <c r="G749" i="1"/>
  <c r="G1005" i="1" s="1"/>
  <c r="G465" i="1"/>
  <c r="G494" i="1" s="1"/>
  <c r="G695" i="1"/>
  <c r="G214" i="1"/>
  <c r="G534" i="1"/>
  <c r="G378" i="1"/>
  <c r="G370" i="1"/>
  <c r="G1110" i="1" s="1"/>
  <c r="G491" i="1"/>
  <c r="G498" i="1" s="1"/>
  <c r="G1059" i="1"/>
  <c r="G1073" i="1" s="1"/>
  <c r="G1084" i="1" s="1"/>
  <c r="G700" i="1"/>
  <c r="G16" i="1"/>
  <c r="G162" i="1" s="1"/>
  <c r="G379" i="1"/>
  <c r="G372" i="1"/>
  <c r="G411" i="1" s="1"/>
  <c r="G902" i="1"/>
  <c r="G927" i="1" s="1"/>
  <c r="G314" i="1"/>
  <c r="G751" i="1" s="1"/>
  <c r="G235" i="31"/>
  <c r="G185" i="1"/>
  <c r="G212" i="1" s="1"/>
  <c r="G393" i="1"/>
  <c r="G1044" i="1" s="1"/>
  <c r="G666" i="1"/>
  <c r="G1112" i="1"/>
  <c r="G240" i="31"/>
  <c r="G399" i="1"/>
  <c r="G872" i="1" s="1"/>
  <c r="G907" i="1" s="1"/>
  <c r="G241" i="31"/>
  <c r="G833" i="1"/>
  <c r="G838" i="1" s="1"/>
  <c r="G133" i="1"/>
  <c r="G518" i="1"/>
  <c r="G864" i="1"/>
  <c r="G353" i="1"/>
  <c r="G434" i="1"/>
  <c r="G692" i="1" s="1"/>
  <c r="G522" i="1"/>
  <c r="G527" i="1" s="1"/>
  <c r="G826" i="1"/>
  <c r="G814" i="1" s="1"/>
  <c r="G1076" i="1"/>
  <c r="G1086" i="1" s="1"/>
  <c r="G804" i="1"/>
  <c r="G841" i="1" s="1"/>
  <c r="G131" i="1"/>
  <c r="G134" i="1" s="1"/>
  <c r="G139" i="1" s="1"/>
  <c r="G1012" i="1"/>
  <c r="G1031" i="1" s="1"/>
  <c r="G1032" i="1" s="1"/>
  <c r="G398" i="1"/>
  <c r="G295" i="1"/>
  <c r="G481" i="1" s="1"/>
  <c r="G884" i="1"/>
  <c r="G820" i="1"/>
  <c r="G981" i="1"/>
  <c r="G995" i="1" s="1"/>
  <c r="G932" i="1"/>
  <c r="G120" i="1"/>
  <c r="G136" i="1" s="1"/>
  <c r="G1080" i="1"/>
  <c r="G1092" i="1" s="1"/>
  <c r="G366" i="1"/>
  <c r="G401" i="1" s="1"/>
  <c r="G739" i="1"/>
  <c r="G1043" i="1" s="1"/>
  <c r="G839" i="1"/>
  <c r="G869" i="1" s="1"/>
  <c r="G908" i="1" s="1"/>
  <c r="G543" i="1"/>
  <c r="G446" i="1"/>
  <c r="G451" i="1" s="1"/>
  <c r="G243" i="31"/>
  <c r="G28" i="12" s="1"/>
  <c r="G998" i="1"/>
  <c r="G1111" i="1" s="1"/>
  <c r="G316" i="1"/>
  <c r="G323" i="1" s="1"/>
  <c r="G997" i="1"/>
  <c r="G1010" i="1" s="1"/>
  <c r="G445" i="1"/>
  <c r="G450" i="1" s="1"/>
  <c r="G1093" i="1"/>
  <c r="G665" i="1"/>
  <c r="G351" i="1"/>
  <c r="G1077" i="1"/>
  <c r="G1087" i="1" s="1"/>
  <c r="G1020" i="1"/>
  <c r="G1109" i="1" s="1"/>
  <c r="G152" i="1"/>
  <c r="G223" i="1"/>
  <c r="G439" i="1" s="1"/>
  <c r="G442" i="1" s="1"/>
  <c r="G350" i="1"/>
  <c r="G245" i="31"/>
  <c r="G781" i="1"/>
  <c r="G802" i="1"/>
  <c r="G1045" i="1"/>
  <c r="G544" i="1"/>
  <c r="G252" i="31"/>
  <c r="G41" i="12" s="1"/>
  <c r="G53" i="12" s="1"/>
  <c r="G172" i="1"/>
  <c r="G877" i="1"/>
  <c r="G905" i="1" s="1"/>
  <c r="G17" i="1"/>
  <c r="G167" i="1" s="1"/>
  <c r="G656" i="1"/>
  <c r="G435" i="1"/>
  <c r="G697" i="1" s="1"/>
  <c r="G242" i="31"/>
  <c r="G397" i="1"/>
  <c r="G1006" i="1" s="1"/>
  <c r="G1081" i="1"/>
  <c r="G992" i="1"/>
  <c r="G996" i="1" s="1"/>
  <c r="G40" i="12"/>
  <c r="G61" i="12" s="1"/>
  <c r="G222" i="1"/>
  <c r="G438" i="1" s="1"/>
  <c r="G441" i="1" s="1"/>
  <c r="G148" i="1"/>
  <c r="G499" i="1"/>
  <c r="G519" i="1" s="1"/>
  <c r="G336" i="1"/>
  <c r="G349" i="1" s="1"/>
  <c r="G983" i="1"/>
  <c r="G991" i="1" s="1"/>
  <c r="G239" i="31"/>
  <c r="G464" i="1"/>
  <c r="G470" i="1" s="1"/>
  <c r="G164" i="1"/>
  <c r="G875" i="1"/>
  <c r="G1114" i="1"/>
  <c r="G520" i="1"/>
  <c r="G1011" i="1"/>
  <c r="G1159" i="1"/>
  <c r="G816" i="1"/>
  <c r="G394" i="1"/>
  <c r="G926" i="1"/>
  <c r="G1016" i="1"/>
  <c r="G1153" i="1"/>
  <c r="G405" i="1"/>
  <c r="G49" i="12"/>
  <c r="G1022" i="1"/>
  <c r="G236" i="31"/>
  <c r="G234" i="31"/>
  <c r="G471" i="1"/>
  <c r="G495" i="1" s="1"/>
  <c r="G238" i="31"/>
  <c r="G116" i="1"/>
  <c r="G834" i="1"/>
  <c r="G792" i="1"/>
  <c r="G37" i="12"/>
  <c r="G729" i="1"/>
  <c r="G517" i="1"/>
  <c r="G348" i="1"/>
  <c r="G592" i="1"/>
  <c r="G354" i="1"/>
  <c r="G504" i="1"/>
  <c r="G812" i="1"/>
  <c r="G334" i="1"/>
  <c r="D214" i="5"/>
  <c r="G787" i="1"/>
  <c r="G909" i="1" s="1"/>
  <c r="G929" i="1"/>
  <c r="G830" i="1"/>
  <c r="G599" i="1"/>
  <c r="G1072" i="1"/>
  <c r="G395" i="1"/>
  <c r="G1017" i="1"/>
  <c r="G1075" i="1"/>
  <c r="G593" i="1"/>
  <c r="G878" i="1"/>
  <c r="G137" i="1"/>
  <c r="G925" i="1"/>
  <c r="G657" i="1"/>
  <c r="G156" i="1"/>
  <c r="G1074" i="1"/>
  <c r="G478" i="1"/>
  <c r="G496" i="1" s="1"/>
  <c r="G521" i="1"/>
  <c r="G900" i="1"/>
  <c r="G910" i="1"/>
  <c r="G815" i="1"/>
  <c r="G1014" i="1"/>
  <c r="G1058" i="1"/>
  <c r="G1161" i="1"/>
  <c r="G169" i="1"/>
  <c r="G404" i="1"/>
  <c r="G879" i="1"/>
  <c r="G598" i="1"/>
  <c r="G1069" i="1"/>
  <c r="G1056" i="1"/>
  <c r="G352" i="1"/>
  <c r="F52" i="11"/>
  <c r="B193" i="5" s="1"/>
  <c r="G87" i="1"/>
  <c r="G340" i="1" s="1"/>
  <c r="G68" i="1"/>
  <c r="G192" i="31"/>
  <c r="G174" i="31"/>
  <c r="G181" i="31"/>
  <c r="G800" i="1"/>
  <c r="G183" i="31"/>
  <c r="D21" i="5" s="1"/>
  <c r="G799" i="1"/>
  <c r="G824" i="1" s="1"/>
  <c r="G1036" i="1"/>
  <c r="D23" i="5" s="1"/>
  <c r="G267" i="1"/>
  <c r="G274" i="1" s="1"/>
  <c r="G45" i="1"/>
  <c r="G508" i="1" s="1"/>
  <c r="G120" i="31"/>
  <c r="D22" i="5" s="1"/>
  <c r="G34" i="31"/>
  <c r="G180" i="31"/>
  <c r="G111" i="1"/>
  <c r="G330" i="1"/>
  <c r="G339" i="1" s="1"/>
  <c r="G182" i="31"/>
  <c r="G112" i="1"/>
  <c r="G987" i="1"/>
  <c r="H55" i="13"/>
  <c r="F642" i="1"/>
  <c r="B82" i="31"/>
  <c r="B135" i="31"/>
  <c r="E85" i="31"/>
  <c r="E94" i="31" s="1"/>
  <c r="E96" i="31" s="1"/>
  <c r="E97" i="31" s="1"/>
  <c r="E14" i="36"/>
  <c r="E14" i="33"/>
  <c r="E14" i="21"/>
  <c r="E14" i="31"/>
  <c r="E52" i="31" s="1"/>
  <c r="E78" i="31" s="1"/>
  <c r="E145" i="31" s="1"/>
  <c r="E161" i="31" s="1"/>
  <c r="E15" i="36"/>
  <c r="E36" i="36" s="1"/>
  <c r="E15" i="21"/>
  <c r="E31" i="21" s="1"/>
  <c r="E15" i="33"/>
  <c r="E31" i="33" s="1"/>
  <c r="E15" i="31"/>
  <c r="E53" i="31" s="1"/>
  <c r="F194" i="1"/>
  <c r="E197" i="1" s="1"/>
  <c r="F389" i="1"/>
  <c r="F391" i="1" s="1"/>
  <c r="F855" i="1"/>
  <c r="F476" i="1"/>
  <c r="F862" i="1"/>
  <c r="F917" i="1"/>
  <c r="F718" i="1"/>
  <c r="F540" i="1"/>
  <c r="F936" i="1"/>
  <c r="F118" i="1"/>
  <c r="F770" i="1"/>
  <c r="F462" i="1"/>
  <c r="F229" i="1"/>
  <c r="F106" i="31"/>
  <c r="E63" i="1"/>
  <c r="E60" i="1"/>
  <c r="E59" i="1"/>
  <c r="E61" i="1"/>
  <c r="E62" i="1"/>
  <c r="B61" i="31"/>
  <c r="B29" i="11"/>
  <c r="G195" i="12"/>
  <c r="G322" i="12" s="1"/>
  <c r="G1088" i="1"/>
  <c r="G1181" i="1" s="1"/>
  <c r="G26" i="31"/>
  <c r="G288" i="31" s="1"/>
  <c r="G329" i="12"/>
  <c r="L8" i="34" s="1"/>
  <c r="G95" i="35" s="1"/>
  <c r="G240" i="12"/>
  <c r="G324" i="12" s="1"/>
  <c r="G37" i="33"/>
  <c r="G79" i="33" s="1"/>
  <c r="G912" i="1"/>
  <c r="G1180" i="1" s="1"/>
  <c r="G266" i="31"/>
  <c r="G289" i="31" s="1"/>
  <c r="G1147" i="1"/>
  <c r="G1182" i="1" s="1"/>
  <c r="L56" i="5"/>
  <c r="L5" i="34" s="1"/>
  <c r="G92" i="35" s="1"/>
  <c r="G152" i="12"/>
  <c r="G321" i="12" s="1"/>
  <c r="G108" i="11"/>
  <c r="L6" i="34" s="1"/>
  <c r="G93" i="35" s="1"/>
  <c r="G679" i="1"/>
  <c r="G1174" i="1" s="1"/>
  <c r="G528" i="1"/>
  <c r="G1170" i="1" s="1"/>
  <c r="G43" i="12"/>
  <c r="G317" i="12" s="1"/>
  <c r="G686" i="1"/>
  <c r="G1175" i="1" s="1"/>
  <c r="G806" i="1"/>
  <c r="G1178" i="1" s="1"/>
  <c r="G81" i="21"/>
  <c r="L12" i="34" s="1"/>
  <c r="G99" i="35" s="1"/>
  <c r="G110" i="12"/>
  <c r="G319" i="12" s="1"/>
  <c r="G207" i="12"/>
  <c r="G323" i="12" s="1"/>
  <c r="G55" i="12"/>
  <c r="G318" i="12" s="1"/>
  <c r="G140" i="12"/>
  <c r="G320" i="12" s="1"/>
  <c r="G384" i="1"/>
  <c r="G1168" i="1" s="1"/>
  <c r="G670" i="1"/>
  <c r="G1173" i="1" s="1"/>
  <c r="G406" i="1"/>
  <c r="G1169" i="1" s="1"/>
  <c r="G81" i="33"/>
  <c r="L11" i="34" s="1"/>
  <c r="G98" i="35" s="1"/>
  <c r="G307" i="12"/>
  <c r="G327" i="12" s="1"/>
  <c r="G291" i="31"/>
  <c r="L10" i="34" s="1"/>
  <c r="G97" i="35" s="1"/>
  <c r="G1186" i="1"/>
  <c r="L7" i="34" s="1"/>
  <c r="G94" i="35" s="1"/>
  <c r="G570" i="1"/>
  <c r="G1171" i="1" s="1"/>
  <c r="G42" i="36"/>
  <c r="G84" i="36" s="1"/>
  <c r="G295" i="12"/>
  <c r="G326" i="12" s="1"/>
  <c r="G360" i="1"/>
  <c r="G1167" i="1" s="1"/>
  <c r="G153" i="7"/>
  <c r="L9" i="34" s="1"/>
  <c r="G96" i="35" s="1"/>
  <c r="G843" i="1"/>
  <c r="G1179" i="1" s="1"/>
  <c r="G619" i="1"/>
  <c r="G1172" i="1" s="1"/>
  <c r="G752" i="1"/>
  <c r="G1177" i="1" s="1"/>
  <c r="G709" i="1"/>
  <c r="G1176" i="1" s="1"/>
  <c r="G37" i="21"/>
  <c r="G79" i="21" s="1"/>
  <c r="G142" i="1"/>
  <c r="G1166" i="1" s="1"/>
  <c r="G252" i="12"/>
  <c r="G325" i="12" s="1"/>
  <c r="S207" i="5"/>
  <c r="G452" i="1"/>
  <c r="G7" i="1"/>
  <c r="P7" i="34" s="1"/>
  <c r="G1162" i="1"/>
  <c r="L52" i="5"/>
  <c r="L53" i="5"/>
  <c r="B448" i="1"/>
  <c r="L54" i="5"/>
  <c r="G86" i="36"/>
  <c r="W210" i="5"/>
  <c r="L51" i="5"/>
  <c r="L50" i="5"/>
  <c r="E1033" i="1"/>
  <c r="A1024" i="1"/>
  <c r="B26" i="1"/>
  <c r="A225" i="1"/>
  <c r="E295" i="1"/>
  <c r="AH289" i="1"/>
  <c r="AX289" i="1"/>
  <c r="AD289" i="1"/>
  <c r="AE289" i="1"/>
  <c r="W289" i="1"/>
  <c r="Z289" i="1"/>
  <c r="AG289" i="1"/>
  <c r="O289" i="1"/>
  <c r="AV289" i="1"/>
  <c r="AM289" i="1"/>
  <c r="V289" i="1"/>
  <c r="AO289" i="1"/>
  <c r="AI289" i="1"/>
  <c r="X289" i="1"/>
  <c r="N289" i="1"/>
  <c r="Q289" i="1"/>
  <c r="AF289" i="1"/>
  <c r="M289" i="1"/>
  <c r="AU289" i="1"/>
  <c r="T289" i="1"/>
  <c r="AN289" i="1"/>
  <c r="AP289" i="1"/>
  <c r="AC289" i="1"/>
  <c r="P289" i="1"/>
  <c r="U289" i="1"/>
  <c r="AQ289" i="1"/>
  <c r="AB289" i="1"/>
  <c r="AT289" i="1"/>
  <c r="Y289" i="1"/>
  <c r="AW289" i="1"/>
  <c r="AS289" i="1"/>
  <c r="R289" i="1"/>
  <c r="AR289" i="1"/>
  <c r="S289" i="1"/>
  <c r="AL289" i="1"/>
  <c r="AA289" i="1"/>
  <c r="AK289" i="1"/>
  <c r="K289" i="1"/>
  <c r="L289" i="1"/>
  <c r="AJ289" i="1"/>
  <c r="E289" i="1"/>
  <c r="G200" i="31"/>
  <c r="G254" i="1"/>
  <c r="G255" i="1" s="1"/>
  <c r="G290" i="1" s="1"/>
  <c r="G251" i="1"/>
  <c r="G252" i="1"/>
  <c r="E1008" i="1"/>
  <c r="E915" i="1"/>
  <c r="E920" i="1" s="1"/>
  <c r="E928" i="1" s="1"/>
  <c r="E1107" i="1"/>
  <c r="E1124" i="1" s="1"/>
  <c r="H67" i="1"/>
  <c r="H66" i="1"/>
  <c r="E83" i="31"/>
  <c r="E140" i="31"/>
  <c r="E156" i="31" s="1"/>
  <c r="E20" i="1"/>
  <c r="E209" i="1"/>
  <c r="E213" i="1" s="1"/>
  <c r="E1130" i="1"/>
  <c r="E48" i="12"/>
  <c r="E678" i="1"/>
  <c r="E698" i="1"/>
  <c r="S63" i="5"/>
  <c r="E642" i="1"/>
  <c r="G647" i="1"/>
  <c r="E643" i="1"/>
  <c r="G283" i="1"/>
  <c r="G952" i="1"/>
  <c r="G80" i="1"/>
  <c r="E645" i="1"/>
  <c r="G954" i="1"/>
  <c r="G642" i="1"/>
  <c r="G181" i="1"/>
  <c r="E644" i="1"/>
  <c r="G284" i="1"/>
  <c r="G761" i="1"/>
  <c r="G795" i="1"/>
  <c r="G953" i="1"/>
  <c r="G422" i="1"/>
  <c r="G643" i="1"/>
  <c r="G644" i="1"/>
  <c r="G245" i="1"/>
  <c r="G762" i="1"/>
  <c r="G182" i="1"/>
  <c r="G34" i="1"/>
  <c r="G228" i="1" s="1"/>
  <c r="G645" i="1"/>
  <c r="G423" i="1"/>
  <c r="G7" i="12" s="1"/>
  <c r="G796" i="1"/>
  <c r="G244" i="1"/>
  <c r="D6" i="5"/>
  <c r="G23" i="1"/>
  <c r="G193" i="1" s="1"/>
  <c r="G29" i="1"/>
  <c r="G243" i="1" s="1"/>
  <c r="G67" i="1"/>
  <c r="G794" i="1" s="1"/>
  <c r="G94" i="1"/>
  <c r="G951" i="1" s="1"/>
  <c r="G40" i="11"/>
  <c r="G105" i="31" s="1"/>
  <c r="G30" i="1"/>
  <c r="G282" i="1" s="1"/>
  <c r="G66" i="1"/>
  <c r="G760" i="1" s="1"/>
  <c r="G18" i="1"/>
  <c r="D7" i="5"/>
  <c r="G71" i="1"/>
  <c r="D5" i="5"/>
  <c r="G95" i="11" s="1"/>
  <c r="G78" i="1"/>
  <c r="G79" i="1"/>
  <c r="G716" i="1" s="1"/>
  <c r="G35" i="1"/>
  <c r="G25" i="1"/>
  <c r="G854" i="1" s="1"/>
  <c r="E708" i="1"/>
  <c r="E1106" i="1"/>
  <c r="E1123" i="1" s="1"/>
  <c r="E1137" i="1" s="1"/>
  <c r="E683" i="1"/>
  <c r="G279" i="31"/>
  <c r="G231" i="1" s="1"/>
  <c r="G284" i="31"/>
  <c r="G232" i="1" s="1"/>
  <c r="G233" i="1" s="1"/>
  <c r="G293" i="1" s="1"/>
  <c r="E1142" i="1"/>
  <c r="E660" i="1"/>
  <c r="E264" i="31"/>
  <c r="E266" i="31" s="1"/>
  <c r="E289" i="31" s="1"/>
  <c r="E1014" i="1"/>
  <c r="E526" i="1"/>
  <c r="E358" i="1"/>
  <c r="I2" i="1"/>
  <c r="E359" i="1"/>
  <c r="E20" i="36"/>
  <c r="E669" i="1"/>
  <c r="E381" i="1"/>
  <c r="E141" i="1"/>
  <c r="I2" i="31"/>
  <c r="I2" i="36"/>
  <c r="I2" i="6"/>
  <c r="E357" i="1"/>
  <c r="E401" i="1"/>
  <c r="E668" i="1"/>
  <c r="E842" i="1"/>
  <c r="E405" i="1"/>
  <c r="E52" i="12"/>
  <c r="I2" i="12"/>
  <c r="E1086" i="1"/>
  <c r="E140" i="1"/>
  <c r="E20" i="33"/>
  <c r="I2" i="21"/>
  <c r="E139" i="1"/>
  <c r="I2" i="33"/>
  <c r="I2" i="7"/>
  <c r="E356" i="1"/>
  <c r="E404" i="1"/>
  <c r="E1085" i="1"/>
  <c r="I2" i="11"/>
  <c r="E20" i="21"/>
  <c r="E804" i="1"/>
  <c r="E841" i="1" s="1"/>
  <c r="E382" i="1"/>
  <c r="E402" i="1" s="1"/>
  <c r="E383" i="1"/>
  <c r="E403" i="1" s="1"/>
  <c r="E12" i="36"/>
  <c r="E33" i="36" s="1"/>
  <c r="E12" i="33"/>
  <c r="E28" i="33" s="1"/>
  <c r="E12" i="21"/>
  <c r="E28" i="21" s="1"/>
  <c r="E12" i="31"/>
  <c r="E50" i="31" s="1"/>
  <c r="E1151" i="1"/>
  <c r="E155" i="1"/>
  <c r="E65" i="12"/>
  <c r="E30" i="12"/>
  <c r="E95" i="12" s="1"/>
  <c r="E108" i="12" s="1"/>
  <c r="E33" i="12"/>
  <c r="E45" i="12" s="1"/>
  <c r="E1161" i="1"/>
  <c r="J4" i="35"/>
  <c r="G92" i="11"/>
  <c r="G62" i="11"/>
  <c r="G96" i="11"/>
  <c r="G90" i="11"/>
  <c r="G91" i="11"/>
  <c r="G88" i="11"/>
  <c r="G484" i="1" s="1"/>
  <c r="G6" i="33"/>
  <c r="G6" i="36"/>
  <c r="G61" i="11"/>
  <c r="G54" i="11"/>
  <c r="G97" i="11"/>
  <c r="G98" i="11"/>
  <c r="G55" i="11"/>
  <c r="G125" i="7"/>
  <c r="G89" i="11"/>
  <c r="G93" i="11"/>
  <c r="F75" i="11"/>
  <c r="G87" i="11"/>
  <c r="G483" i="1" s="1"/>
  <c r="G6" i="21"/>
  <c r="G56" i="11"/>
  <c r="G114" i="12" s="1"/>
  <c r="G63" i="11"/>
  <c r="G52" i="11"/>
  <c r="E52" i="1"/>
  <c r="E554" i="1" s="1"/>
  <c r="E562" i="1" s="1"/>
  <c r="E568" i="1" s="1"/>
  <c r="E50" i="1"/>
  <c r="E552" i="1" s="1"/>
  <c r="E560" i="1" s="1"/>
  <c r="E566" i="1" s="1"/>
  <c r="E51" i="1"/>
  <c r="E553" i="1" s="1"/>
  <c r="E561" i="1" s="1"/>
  <c r="E567" i="1" s="1"/>
  <c r="E49" i="1"/>
  <c r="E551" i="1" s="1"/>
  <c r="E559" i="1" s="1"/>
  <c r="E565" i="1" s="1"/>
  <c r="G50" i="36"/>
  <c r="G45" i="21"/>
  <c r="H67" i="13"/>
  <c r="G45" i="33"/>
  <c r="G20" i="33"/>
  <c r="G20" i="36"/>
  <c r="G20" i="21"/>
  <c r="G20" i="31"/>
  <c r="G11" i="1"/>
  <c r="E11" i="1"/>
  <c r="E1155" i="1"/>
  <c r="E1129" i="1"/>
  <c r="E35" i="12"/>
  <c r="E132" i="12" s="1"/>
  <c r="E144" i="12" s="1"/>
  <c r="E1041" i="1"/>
  <c r="E704" i="1"/>
  <c r="H645" i="1"/>
  <c r="H644" i="1"/>
  <c r="E423" i="1"/>
  <c r="E7" i="12" s="1"/>
  <c r="D71" i="13"/>
  <c r="G7" i="11"/>
  <c r="G28" i="1"/>
  <c r="G237" i="1" s="1"/>
  <c r="G238" i="1" s="1"/>
  <c r="G264" i="1" s="1"/>
  <c r="G33" i="1"/>
  <c r="G265" i="1" s="1"/>
  <c r="G266" i="1" s="1"/>
  <c r="K25" i="24"/>
  <c r="F117" i="7"/>
  <c r="B144" i="1"/>
  <c r="E152" i="1"/>
  <c r="C67" i="5"/>
  <c r="C74" i="5"/>
  <c r="C98" i="5"/>
  <c r="E79" i="7"/>
  <c r="C123" i="5"/>
  <c r="E9" i="7"/>
  <c r="E120" i="7"/>
  <c r="E146" i="1"/>
  <c r="E150" i="1"/>
  <c r="E178" i="1"/>
  <c r="E185" i="1" s="1"/>
  <c r="E212" i="1" s="1"/>
  <c r="E217" i="1"/>
  <c r="E248" i="31"/>
  <c r="E298" i="1"/>
  <c r="E21" i="12"/>
  <c r="E86" i="12" s="1"/>
  <c r="F643" i="1"/>
  <c r="E602" i="1"/>
  <c r="G276" i="31"/>
  <c r="H66" i="13"/>
  <c r="G274" i="31"/>
  <c r="E156" i="1"/>
  <c r="E1153" i="1"/>
  <c r="K8" i="21"/>
  <c r="K8" i="36"/>
  <c r="K8" i="33"/>
  <c r="E27" i="35"/>
  <c r="E39" i="35"/>
  <c r="E1051" i="1"/>
  <c r="E790" i="1"/>
  <c r="G4" i="5"/>
  <c r="E592" i="1"/>
  <c r="E593" i="1"/>
  <c r="E889" i="1"/>
  <c r="E705" i="1"/>
  <c r="E1003" i="1"/>
  <c r="E849" i="1"/>
  <c r="R94" i="5"/>
  <c r="R119" i="5"/>
  <c r="T62" i="5"/>
  <c r="A29" i="31"/>
  <c r="K5" i="24" s="1"/>
  <c r="A5" i="11"/>
  <c r="G13" i="24" s="1"/>
  <c r="H4" i="5"/>
  <c r="H60" i="13"/>
  <c r="A65" i="11"/>
  <c r="A269" i="31"/>
  <c r="K13" i="24" s="1"/>
  <c r="E539" i="1"/>
  <c r="E715" i="1"/>
  <c r="G17" i="31"/>
  <c r="G48" i="36"/>
  <c r="G43" i="33"/>
  <c r="G18" i="33"/>
  <c r="G18" i="36"/>
  <c r="G43" i="21"/>
  <c r="G18" i="21"/>
  <c r="E10" i="7"/>
  <c r="E247" i="1"/>
  <c r="E186" i="31"/>
  <c r="E110" i="31"/>
  <c r="R95" i="5"/>
  <c r="E172" i="31"/>
  <c r="E81" i="7"/>
  <c r="E115" i="31"/>
  <c r="E55" i="31"/>
  <c r="R120" i="5"/>
  <c r="E236" i="1"/>
  <c r="E99" i="31"/>
  <c r="E122" i="7"/>
  <c r="E1030" i="1"/>
  <c r="E946" i="1"/>
  <c r="H2" i="1"/>
  <c r="H2" i="11"/>
  <c r="H2" i="31"/>
  <c r="E537" i="1"/>
  <c r="E533" i="1"/>
  <c r="E586" i="1"/>
  <c r="E676" i="1"/>
  <c r="E255" i="12"/>
  <c r="E155" i="12"/>
  <c r="E210" i="12"/>
  <c r="E310" i="12"/>
  <c r="E1059" i="1"/>
  <c r="E1073" i="1" s="1"/>
  <c r="E1084" i="1" s="1"/>
  <c r="R78" i="5"/>
  <c r="H63" i="13"/>
  <c r="G3" i="5"/>
  <c r="E2" i="7"/>
  <c r="E2" i="21"/>
  <c r="E2" i="1"/>
  <c r="E2" i="36"/>
  <c r="E2" i="11"/>
  <c r="E2" i="6"/>
  <c r="E2" i="31"/>
  <c r="E2" i="33"/>
  <c r="E2" i="12"/>
  <c r="E649" i="1"/>
  <c r="E531" i="1"/>
  <c r="E514" i="1"/>
  <c r="F167" i="5"/>
  <c r="F189" i="5"/>
  <c r="F118" i="5"/>
  <c r="F212" i="5"/>
  <c r="F143" i="5"/>
  <c r="F93" i="5"/>
  <c r="F60" i="5"/>
  <c r="E71" i="12"/>
  <c r="E949" i="1"/>
  <c r="E510" i="1"/>
  <c r="E168" i="1"/>
  <c r="E173" i="12"/>
  <c r="E1049" i="1"/>
  <c r="E377" i="1"/>
  <c r="E273" i="12"/>
  <c r="H1117" i="1"/>
  <c r="H80" i="12"/>
  <c r="H248" i="1"/>
  <c r="H230" i="31"/>
  <c r="H196" i="1"/>
  <c r="E518" i="1"/>
  <c r="E524" i="1" s="1"/>
  <c r="B506" i="1"/>
  <c r="E44" i="1"/>
  <c r="E507" i="1" s="1"/>
  <c r="H50" i="13"/>
  <c r="F54" i="11"/>
  <c r="F56" i="11" s="1"/>
  <c r="E6" i="36"/>
  <c r="E6" i="21"/>
  <c r="E6" i="33"/>
  <c r="E311" i="12"/>
  <c r="E256" i="12"/>
  <c r="E156" i="12"/>
  <c r="E211" i="12"/>
  <c r="E97" i="11"/>
  <c r="L2" i="38"/>
  <c r="G24" i="1"/>
  <c r="G180" i="1" s="1"/>
  <c r="G43" i="1"/>
  <c r="G461" i="1" s="1"/>
  <c r="G37" i="1"/>
  <c r="G117" i="1" s="1"/>
  <c r="G40" i="1"/>
  <c r="G47" i="1"/>
  <c r="G275" i="12"/>
  <c r="G278" i="12" s="1"/>
  <c r="G274" i="12"/>
  <c r="G277" i="12" s="1"/>
  <c r="G73" i="12"/>
  <c r="G76" i="12" s="1"/>
  <c r="G174" i="12"/>
  <c r="G177" i="12" s="1"/>
  <c r="G175" i="12"/>
  <c r="G178" i="12" s="1"/>
  <c r="G72" i="12"/>
  <c r="G75" i="12" s="1"/>
  <c r="B211" i="1"/>
  <c r="B19" i="1"/>
  <c r="A174" i="1"/>
  <c r="I7" i="24" s="1"/>
  <c r="E214" i="1"/>
  <c r="E96" i="11"/>
  <c r="K2" i="38"/>
  <c r="H238" i="12"/>
  <c r="H41" i="12"/>
  <c r="B247" i="31"/>
  <c r="E252" i="31"/>
  <c r="E41" i="12" s="1"/>
  <c r="E138" i="12" s="1"/>
  <c r="E36" i="33"/>
  <c r="E36" i="21"/>
  <c r="E42" i="36"/>
  <c r="E84" i="36" s="1"/>
  <c r="E25" i="31"/>
  <c r="E41" i="36"/>
  <c r="E37" i="33"/>
  <c r="E79" i="33" s="1"/>
  <c r="E15" i="11"/>
  <c r="E37" i="21"/>
  <c r="E79" i="21" s="1"/>
  <c r="N32" i="5"/>
  <c r="E72" i="35" s="1"/>
  <c r="F13" i="5"/>
  <c r="B39" i="11"/>
  <c r="D57" i="13"/>
  <c r="B254" i="31"/>
  <c r="C1133" i="1"/>
  <c r="A40" i="21"/>
  <c r="B25" i="33"/>
  <c r="A45" i="36"/>
  <c r="B25" i="21"/>
  <c r="A40" i="33"/>
  <c r="B30" i="36"/>
  <c r="H69" i="13"/>
  <c r="F61" i="11"/>
  <c r="F63" i="11" s="1"/>
  <c r="B75" i="5"/>
  <c r="B68" i="5"/>
  <c r="E164" i="1"/>
  <c r="B161" i="1"/>
  <c r="E1118" i="1"/>
  <c r="E81" i="12"/>
  <c r="B23" i="31"/>
  <c r="B34" i="33"/>
  <c r="B39" i="36"/>
  <c r="B34" i="21"/>
  <c r="A159" i="1"/>
  <c r="I6" i="24" s="1"/>
  <c r="B15" i="1"/>
  <c r="E388" i="1"/>
  <c r="E717" i="1"/>
  <c r="E17" i="35"/>
  <c r="E37" i="11"/>
  <c r="E43" i="31" s="1"/>
  <c r="E238" i="1"/>
  <c r="E264" i="1" s="1"/>
  <c r="I30" i="1" a="1"/>
  <c r="I30" i="1" s="1"/>
  <c r="E18" i="33"/>
  <c r="E17" i="31"/>
  <c r="E43" i="33"/>
  <c r="E43" i="21"/>
  <c r="E18" i="36"/>
  <c r="E18" i="21"/>
  <c r="E48" i="36"/>
  <c r="E809" i="1"/>
  <c r="E829" i="1"/>
  <c r="E104" i="35"/>
  <c r="E16" i="21"/>
  <c r="E32" i="21" s="1"/>
  <c r="E16" i="36"/>
  <c r="E37" i="36" s="1"/>
  <c r="E16" i="33"/>
  <c r="E32" i="33" s="1"/>
  <c r="E183" i="12"/>
  <c r="E283" i="12"/>
  <c r="E204" i="31"/>
  <c r="E57" i="1"/>
  <c r="E609" i="1" s="1"/>
  <c r="E55" i="1"/>
  <c r="E607" i="1" s="1"/>
  <c r="E54" i="1"/>
  <c r="E606" i="1" s="1"/>
  <c r="E56" i="1"/>
  <c r="E608" i="1" s="1"/>
  <c r="E1011" i="1"/>
  <c r="E1012" i="1"/>
  <c r="E1031" i="1" s="1"/>
  <c r="E769" i="1"/>
  <c r="B74" i="31"/>
  <c r="E147" i="31"/>
  <c r="E163" i="31" s="1"/>
  <c r="B965" i="1"/>
  <c r="E227" i="31"/>
  <c r="E80" i="31"/>
  <c r="B159" i="5"/>
  <c r="B120" i="5"/>
  <c r="B95" i="5"/>
  <c r="B191" i="5"/>
  <c r="B64" i="5"/>
  <c r="B171" i="5"/>
  <c r="B71" i="5"/>
  <c r="E54" i="11"/>
  <c r="D50" i="13"/>
  <c r="C69" i="5"/>
  <c r="C100" i="5"/>
  <c r="C76" i="5"/>
  <c r="C125" i="5"/>
  <c r="E24" i="1"/>
  <c r="G36" i="21"/>
  <c r="G36" i="33"/>
  <c r="G15" i="11"/>
  <c r="A59" i="31"/>
  <c r="K7" i="24" s="1"/>
  <c r="B43" i="35"/>
  <c r="B216" i="31"/>
  <c r="B229" i="31"/>
  <c r="A214" i="31"/>
  <c r="K12" i="24" s="1"/>
  <c r="E130" i="1"/>
  <c r="E111" i="1"/>
  <c r="B501" i="1"/>
  <c r="E504" i="1"/>
  <c r="F390" i="1"/>
  <c r="F771" i="1"/>
  <c r="F119" i="1"/>
  <c r="F477" i="1"/>
  <c r="F918" i="1"/>
  <c r="F541" i="1"/>
  <c r="F856" i="1"/>
  <c r="F195" i="1"/>
  <c r="F463" i="1"/>
  <c r="F719" i="1"/>
  <c r="F863" i="1"/>
  <c r="F230" i="1"/>
  <c r="F937" i="1"/>
  <c r="E394" i="1"/>
  <c r="E398" i="1"/>
  <c r="E459" i="1"/>
  <c r="E464" i="1" s="1"/>
  <c r="E470" i="1" s="1"/>
  <c r="F52" i="5"/>
  <c r="C1083" i="1"/>
  <c r="E452" i="1"/>
  <c r="E110" i="12"/>
  <c r="E319" i="12" s="1"/>
  <c r="R91" i="5"/>
  <c r="F53" i="5" s="1"/>
  <c r="E806" i="1"/>
  <c r="E1178" i="1" s="1"/>
  <c r="E26" i="31"/>
  <c r="E288" i="31" s="1"/>
  <c r="E570" i="1"/>
  <c r="E1171" i="1" s="1"/>
  <c r="E7" i="1"/>
  <c r="E406" i="1"/>
  <c r="E1169" i="1" s="1"/>
  <c r="E670" i="1"/>
  <c r="E1173" i="1" s="1"/>
  <c r="E528" i="1"/>
  <c r="E1170" i="1" s="1"/>
  <c r="E142" i="1"/>
  <c r="E1166" i="1" s="1"/>
  <c r="R210" i="5"/>
  <c r="F54" i="5" s="1"/>
  <c r="E91" i="7"/>
  <c r="E151" i="7" s="1"/>
  <c r="E619" i="1"/>
  <c r="E1172" i="1" s="1"/>
  <c r="F16" i="5"/>
  <c r="F50" i="5" s="1"/>
  <c r="E360" i="1"/>
  <c r="E1167" i="1" s="1"/>
  <c r="F17" i="5"/>
  <c r="F51" i="5" s="1"/>
  <c r="E912" i="1"/>
  <c r="E1180" i="1" s="1"/>
  <c r="E752" i="1"/>
  <c r="E1177" i="1" s="1"/>
  <c r="E140" i="12"/>
  <c r="E320" i="12" s="1"/>
  <c r="E1088" i="1"/>
  <c r="E1181" i="1" s="1"/>
  <c r="E43" i="12"/>
  <c r="E317" i="12" s="1"/>
  <c r="E384" i="1"/>
  <c r="E1168" i="1" s="1"/>
  <c r="G373" i="1"/>
  <c r="H70" i="13"/>
  <c r="E61" i="12"/>
  <c r="E66" i="12"/>
  <c r="E137" i="12"/>
  <c r="H77" i="13"/>
  <c r="E69" i="31"/>
  <c r="E136" i="31"/>
  <c r="E311" i="1"/>
  <c r="E590" i="1"/>
  <c r="E726" i="1"/>
  <c r="E397" i="1"/>
  <c r="E1006" i="1" s="1"/>
  <c r="E393" i="1"/>
  <c r="E1044" i="1" s="1"/>
  <c r="F80" i="21"/>
  <c r="F85" i="36"/>
  <c r="F80" i="33"/>
  <c r="F328" i="12"/>
  <c r="F152" i="7"/>
  <c r="K55" i="5"/>
  <c r="F290" i="31"/>
  <c r="F1185" i="1"/>
  <c r="F83" i="36"/>
  <c r="F107" i="11"/>
  <c r="F150" i="7"/>
  <c r="F78" i="21"/>
  <c r="F1165" i="1"/>
  <c r="F316" i="12"/>
  <c r="F105" i="11"/>
  <c r="F78" i="33"/>
  <c r="F287" i="31"/>
  <c r="K49" i="5"/>
  <c r="E916" i="1"/>
  <c r="E935" i="1"/>
  <c r="D54" i="13"/>
  <c r="B64" i="1"/>
  <c r="B39" i="1"/>
  <c r="E40" i="1"/>
  <c r="E819" i="1"/>
  <c r="E823" i="1"/>
  <c r="E13" i="36"/>
  <c r="E34" i="36" s="1"/>
  <c r="E13" i="21"/>
  <c r="E29" i="21" s="1"/>
  <c r="E13" i="33"/>
  <c r="E29" i="33" s="1"/>
  <c r="E13" i="31"/>
  <c r="E51" i="31" s="1"/>
  <c r="E77" i="31" s="1"/>
  <c r="E144" i="31" s="1"/>
  <c r="E160" i="31" s="1"/>
  <c r="E368" i="1"/>
  <c r="E364" i="1"/>
  <c r="E107" i="31"/>
  <c r="E103" i="31"/>
  <c r="E1027" i="1" s="1"/>
  <c r="E269" i="1"/>
  <c r="E259" i="1"/>
  <c r="E10" i="1"/>
  <c r="G13" i="1"/>
  <c r="E124" i="1"/>
  <c r="E128" i="1"/>
  <c r="G603" i="1"/>
  <c r="S133" i="5" s="1"/>
  <c r="G602" i="1"/>
  <c r="E703" i="1"/>
  <c r="E502" i="1"/>
  <c r="E532" i="1"/>
  <c r="E305" i="1"/>
  <c r="E430" i="1" s="1"/>
  <c r="E449" i="1" s="1"/>
  <c r="E75" i="1"/>
  <c r="E369" i="1" s="1"/>
  <c r="E370" i="1"/>
  <c r="E1110" i="1" s="1"/>
  <c r="E1127" i="1" s="1"/>
  <c r="E640" i="1"/>
  <c r="D1076" i="1"/>
  <c r="D521" i="1"/>
  <c r="D1043" i="1"/>
  <c r="D1042" i="1"/>
  <c r="D250" i="31"/>
  <c r="D251" i="31"/>
  <c r="D235" i="31"/>
  <c r="D1005" i="1"/>
  <c r="D71" i="31"/>
  <c r="D1006" i="1"/>
  <c r="D928" i="1"/>
  <c r="D814" i="1"/>
  <c r="D833" i="1"/>
  <c r="D786" i="1"/>
  <c r="D146" i="1"/>
  <c r="D589" i="1"/>
  <c r="D1009" i="1"/>
  <c r="D704" i="1"/>
  <c r="D166" i="31"/>
  <c r="D708" i="1"/>
  <c r="D591" i="1"/>
  <c r="D832" i="1"/>
  <c r="D588" i="1"/>
  <c r="D151" i="1"/>
  <c r="D249" i="31"/>
  <c r="D351" i="1"/>
  <c r="D353" i="1"/>
  <c r="D1044" i="1"/>
  <c r="D705" i="1"/>
  <c r="D84" i="31"/>
  <c r="D1008" i="1"/>
  <c r="D135" i="1"/>
  <c r="D1004" i="1"/>
  <c r="D590" i="1"/>
  <c r="D533" i="1"/>
  <c r="D909" i="1"/>
  <c r="D365" i="1"/>
  <c r="D815" i="1"/>
  <c r="G27" i="11"/>
  <c r="G25" i="11"/>
  <c r="G20" i="11"/>
  <c r="G21" i="11"/>
  <c r="G24" i="11"/>
  <c r="G22" i="11"/>
  <c r="G19" i="11"/>
  <c r="G26" i="11"/>
  <c r="F73" i="11"/>
  <c r="G23" i="11"/>
  <c r="G18" i="11"/>
  <c r="B8" i="21"/>
  <c r="A4" i="36"/>
  <c r="A4" i="21"/>
  <c r="A4" i="33"/>
  <c r="B8" i="33"/>
  <c r="B8" i="36"/>
  <c r="E820" i="1"/>
  <c r="C818" i="1"/>
  <c r="B1116" i="1"/>
  <c r="R65" i="5"/>
  <c r="N19" i="5"/>
  <c r="B1102" i="1"/>
  <c r="A4" i="7"/>
  <c r="A1100" i="1"/>
  <c r="I24" i="24" s="1"/>
  <c r="B69" i="5"/>
  <c r="E23" i="11"/>
  <c r="E26" i="11"/>
  <c r="B176" i="5"/>
  <c r="E22" i="11"/>
  <c r="E20" i="11"/>
  <c r="E24" i="11"/>
  <c r="E19" i="11"/>
  <c r="F6" i="5"/>
  <c r="E21" i="11"/>
  <c r="B164" i="5"/>
  <c r="B100" i="5"/>
  <c r="E25" i="11"/>
  <c r="B76" i="5"/>
  <c r="B196" i="5"/>
  <c r="E27" i="11"/>
  <c r="E18" i="11"/>
  <c r="B125" i="5"/>
  <c r="D72" i="13"/>
  <c r="A886" i="1"/>
  <c r="I20" i="24" s="1"/>
  <c r="B69" i="1"/>
  <c r="E250" i="1"/>
  <c r="E198" i="31"/>
  <c r="E345" i="1"/>
  <c r="E693" i="1"/>
  <c r="E677" i="1"/>
  <c r="E34" i="35"/>
  <c r="E22" i="35"/>
  <c r="G54" i="1"/>
  <c r="G606" i="1" s="1"/>
  <c r="G1050" i="1"/>
  <c r="G56" i="1"/>
  <c r="G608" i="1" s="1"/>
  <c r="G55" i="1"/>
  <c r="G607" i="1" s="1"/>
  <c r="G57" i="1"/>
  <c r="G609" i="1" s="1"/>
  <c r="E12" i="1"/>
  <c r="E58" i="35"/>
  <c r="E10" i="35"/>
  <c r="F220" i="5"/>
  <c r="G424" i="1"/>
  <c r="G425" i="1"/>
  <c r="L3" i="7"/>
  <c r="L3" i="1"/>
  <c r="L3" i="31"/>
  <c r="L3" i="11"/>
  <c r="L3" i="12"/>
  <c r="K1" i="5"/>
  <c r="L3" i="6"/>
  <c r="C8" i="34"/>
  <c r="E24" i="35"/>
  <c r="E36" i="35"/>
  <c r="R86" i="5"/>
  <c r="E266" i="1"/>
  <c r="E278" i="1"/>
  <c r="E258" i="1"/>
  <c r="E272" i="12"/>
  <c r="E948" i="1"/>
  <c r="E211" i="31"/>
  <c r="F244" i="1"/>
  <c r="F7" i="5"/>
  <c r="H64" i="13"/>
  <c r="G2" i="6"/>
  <c r="G2" i="7"/>
  <c r="G2" i="33"/>
  <c r="G2" i="31"/>
  <c r="G2" i="12"/>
  <c r="G2" i="36"/>
  <c r="G2" i="21"/>
  <c r="G2" i="11"/>
  <c r="G2" i="1"/>
  <c r="A93" i="5"/>
  <c r="B96" i="5"/>
  <c r="E15" i="35"/>
  <c r="E35" i="11"/>
  <c r="E41" i="31" s="1"/>
  <c r="I21" i="24"/>
  <c r="E207" i="31"/>
  <c r="E163" i="1"/>
  <c r="E172" i="12"/>
  <c r="E947" i="1"/>
  <c r="E199" i="31"/>
  <c r="E70" i="12"/>
  <c r="H48" i="1"/>
  <c r="D55" i="13"/>
  <c r="F74" i="11"/>
  <c r="E103" i="35"/>
  <c r="G46" i="11"/>
  <c r="D17" i="5"/>
  <c r="G58" i="11" s="1"/>
  <c r="G203" i="31" s="1"/>
  <c r="F245" i="1"/>
  <c r="H75" i="13"/>
  <c r="G9" i="36"/>
  <c r="G47" i="36" s="1"/>
  <c r="G9" i="33"/>
  <c r="G42" i="33" s="1"/>
  <c r="G50" i="1"/>
  <c r="G552" i="1" s="1"/>
  <c r="G560" i="1" s="1"/>
  <c r="G9" i="21"/>
  <c r="G42" i="21" s="1"/>
  <c r="G49" i="1"/>
  <c r="G551" i="1" s="1"/>
  <c r="G51" i="1"/>
  <c r="G553" i="1" s="1"/>
  <c r="G561" i="1" s="1"/>
  <c r="G52" i="1"/>
  <c r="G554" i="1" s="1"/>
  <c r="G562" i="1" s="1"/>
  <c r="G9" i="31"/>
  <c r="G46" i="31" s="1"/>
  <c r="D14" i="5"/>
  <c r="G212" i="31"/>
  <c r="G282" i="12" s="1"/>
  <c r="D12" i="5"/>
  <c r="D13" i="5"/>
  <c r="D11" i="5"/>
  <c r="G208" i="31"/>
  <c r="G182" i="12" s="1"/>
  <c r="D15" i="5"/>
  <c r="E30" i="11"/>
  <c r="E62" i="31" s="1"/>
  <c r="E64" i="31" s="1"/>
  <c r="E12" i="35"/>
  <c r="E503" i="1"/>
  <c r="E11" i="12"/>
  <c r="F422" i="1"/>
  <c r="H74" i="13"/>
  <c r="B22" i="21"/>
  <c r="B22" i="33"/>
  <c r="B25" i="36"/>
  <c r="E98" i="11"/>
  <c r="M2" i="38"/>
  <c r="I24" i="1" a="1"/>
  <c r="I24" i="1" s="1"/>
  <c r="B89" i="1"/>
  <c r="D78" i="13"/>
  <c r="E312" i="1"/>
  <c r="E474" i="1"/>
  <c r="E1103" i="1"/>
  <c r="E1120" i="1" s="1"/>
  <c r="E1134" i="1" s="1"/>
  <c r="E727" i="1"/>
  <c r="E1156" i="1"/>
  <c r="E38" i="12"/>
  <c r="B76" i="35"/>
  <c r="E37" i="12"/>
  <c r="E134" i="12" s="1"/>
  <c r="E146" i="12" s="1"/>
  <c r="E1114" i="1"/>
  <c r="E1131" i="1" s="1"/>
  <c r="E422" i="1"/>
  <c r="D74" i="13"/>
  <c r="I66" i="1" a="1"/>
  <c r="I66" i="1" s="1"/>
  <c r="E291" i="1"/>
  <c r="E294" i="1" s="1"/>
  <c r="E239" i="1"/>
  <c r="E277" i="1" s="1"/>
  <c r="F954" i="1"/>
  <c r="F796" i="1"/>
  <c r="I67" i="1" s="1" a="1"/>
  <c r="I67" i="1" s="1"/>
  <c r="E9" i="21"/>
  <c r="E42" i="21" s="1"/>
  <c r="E9" i="36"/>
  <c r="E47" i="36" s="1"/>
  <c r="E9" i="33"/>
  <c r="E42" i="33" s="1"/>
  <c r="E9" i="31"/>
  <c r="E46" i="31" s="1"/>
  <c r="E129" i="31" s="1"/>
  <c r="E131" i="31" s="1"/>
  <c r="F1" i="5"/>
  <c r="C1" i="3"/>
  <c r="D1" i="34"/>
  <c r="E10" i="33"/>
  <c r="E10" i="31"/>
  <c r="E48" i="31" s="1"/>
  <c r="E71" i="31" s="1"/>
  <c r="E139" i="31" s="1"/>
  <c r="E10" i="21"/>
  <c r="E10" i="36"/>
  <c r="F76" i="7"/>
  <c r="K24" i="24"/>
  <c r="E11" i="35"/>
  <c r="E12" i="11"/>
  <c r="E6" i="31" s="1"/>
  <c r="B11" i="11"/>
  <c r="E36" i="11"/>
  <c r="E42" i="31" s="1"/>
  <c r="E16" i="35"/>
  <c r="B76" i="1"/>
  <c r="E1009" i="1"/>
  <c r="E938" i="1"/>
  <c r="E939" i="1" s="1"/>
  <c r="E1108" i="1"/>
  <c r="E1125" i="1" s="1"/>
  <c r="A301" i="1"/>
  <c r="I9" i="24" s="1"/>
  <c r="E316" i="1"/>
  <c r="E323" i="1" s="1"/>
  <c r="A97" i="1"/>
  <c r="I5" i="24" s="1"/>
  <c r="E37" i="1"/>
  <c r="E117" i="1" s="1"/>
  <c r="E51" i="11"/>
  <c r="E33" i="31"/>
  <c r="C467" i="1"/>
  <c r="E471" i="1"/>
  <c r="E495" i="1" s="1"/>
  <c r="E50" i="36"/>
  <c r="E45" i="21"/>
  <c r="E20" i="31"/>
  <c r="E47" i="31" s="1"/>
  <c r="I224" i="5"/>
  <c r="I215" i="5"/>
  <c r="B215" i="5"/>
  <c r="E685" i="1"/>
  <c r="E699" i="1"/>
  <c r="E77" i="1"/>
  <c r="F11" i="5"/>
  <c r="E598" i="1"/>
  <c r="E599" i="1"/>
  <c r="G289" i="1"/>
  <c r="G261" i="1"/>
  <c r="G286" i="1" s="1"/>
  <c r="G279" i="1"/>
  <c r="G287" i="1" s="1"/>
  <c r="G291" i="1"/>
  <c r="G294" i="1" s="1"/>
  <c r="G32" i="1"/>
  <c r="G270" i="1" s="1"/>
  <c r="G271" i="1" s="1"/>
  <c r="G273" i="1" s="1"/>
  <c r="G275" i="1" s="1"/>
  <c r="G27" i="1"/>
  <c r="E1055" i="1"/>
  <c r="E1067" i="1"/>
  <c r="E1091" i="1"/>
  <c r="H59" i="13"/>
  <c r="F953" i="1"/>
  <c r="K8" i="24"/>
  <c r="G93" i="1"/>
  <c r="G985" i="1" s="1"/>
  <c r="G986" i="1"/>
  <c r="C122" i="5"/>
  <c r="C66" i="5"/>
  <c r="E78" i="7"/>
  <c r="E119" i="7"/>
  <c r="C97" i="5"/>
  <c r="E8" i="7"/>
  <c r="C73" i="5"/>
  <c r="E151" i="1"/>
  <c r="E147" i="1"/>
  <c r="F2" i="11"/>
  <c r="G81" i="11"/>
  <c r="F2" i="1"/>
  <c r="F2" i="6"/>
  <c r="F2" i="36"/>
  <c r="F2" i="21"/>
  <c r="F2" i="33"/>
  <c r="F2" i="7"/>
  <c r="F2" i="31"/>
  <c r="F2" i="12"/>
  <c r="G80" i="11"/>
  <c r="G278" i="31" s="1"/>
  <c r="G82" i="11"/>
  <c r="G60" i="11" s="1"/>
  <c r="E33" i="11"/>
  <c r="E63" i="31" s="1"/>
  <c r="E13" i="35"/>
  <c r="E188" i="31"/>
  <c r="E189" i="31"/>
  <c r="E20" i="7"/>
  <c r="N28" i="5"/>
  <c r="E395" i="1"/>
  <c r="E399" i="1"/>
  <c r="E872" i="1" s="1"/>
  <c r="E907" i="1" s="1"/>
  <c r="E460" i="1"/>
  <c r="E465" i="1" s="1"/>
  <c r="E494" i="1" s="1"/>
  <c r="E74" i="1"/>
  <c r="E1019" i="1" s="1"/>
  <c r="E1020" i="1"/>
  <c r="E1109" i="1" s="1"/>
  <c r="E1126" i="1" s="1"/>
  <c r="H49" i="13"/>
  <c r="B83" i="35"/>
  <c r="E14" i="35"/>
  <c r="E34" i="11"/>
  <c r="E40" i="31" s="1"/>
  <c r="E248" i="1"/>
  <c r="E252" i="1" s="1"/>
  <c r="E80" i="12"/>
  <c r="E196" i="1"/>
  <c r="E1117" i="1"/>
  <c r="E230" i="31"/>
  <c r="E682" i="1"/>
  <c r="E587" i="1"/>
  <c r="E655" i="1"/>
  <c r="E659" i="1" s="1"/>
  <c r="H777" i="1"/>
  <c r="H897" i="1"/>
  <c r="E49" i="36"/>
  <c r="E44" i="21"/>
  <c r="E44" i="33"/>
  <c r="E19" i="33"/>
  <c r="E19" i="21"/>
  <c r="E18" i="31"/>
  <c r="E19" i="36"/>
  <c r="B149" i="31"/>
  <c r="E167" i="31"/>
  <c r="E90" i="7" s="1"/>
  <c r="A125" i="31"/>
  <c r="K9" i="24" s="1"/>
  <c r="E684" i="1"/>
  <c r="E694" i="1"/>
  <c r="E579" i="1"/>
  <c r="E191" i="31"/>
  <c r="E618" i="1"/>
  <c r="E601" i="1"/>
  <c r="E38" i="35"/>
  <c r="E26" i="35"/>
  <c r="E499" i="1"/>
  <c r="E519" i="1" s="1"/>
  <c r="E525" i="1" s="1"/>
  <c r="C493" i="1"/>
  <c r="E7" i="34"/>
  <c r="A90" i="35"/>
  <c r="K3" i="34"/>
  <c r="E56" i="11"/>
  <c r="E114" i="12" s="1"/>
  <c r="E55" i="11"/>
  <c r="E782" i="1"/>
  <c r="E785" i="1"/>
  <c r="E802" i="1"/>
  <c r="E825" i="1" s="1"/>
  <c r="E831" i="1"/>
  <c r="E169" i="1"/>
  <c r="B166" i="1"/>
  <c r="E569" i="1"/>
  <c r="E257" i="12"/>
  <c r="E212" i="12"/>
  <c r="E312" i="12"/>
  <c r="E157" i="12"/>
  <c r="R205" i="5"/>
  <c r="F14" i="5"/>
  <c r="E255" i="1"/>
  <c r="E290" i="1" s="1"/>
  <c r="E118" i="7"/>
  <c r="C99" i="5"/>
  <c r="E77" i="7"/>
  <c r="E7" i="7"/>
  <c r="C68" i="5"/>
  <c r="C75" i="5"/>
  <c r="C124" i="5"/>
  <c r="E76" i="7"/>
  <c r="E117" i="7"/>
  <c r="C96" i="5"/>
  <c r="C72" i="5"/>
  <c r="E6" i="7"/>
  <c r="C65" i="5"/>
  <c r="C121" i="5"/>
  <c r="B338" i="1"/>
  <c r="C1071" i="1"/>
  <c r="A56" i="36"/>
  <c r="A51" i="21"/>
  <c r="A51" i="33"/>
  <c r="E963" i="1"/>
  <c r="E94" i="1"/>
  <c r="E951" i="1" s="1"/>
  <c r="R63" i="5"/>
  <c r="B9" i="1"/>
  <c r="R98" i="5"/>
  <c r="E47" i="11"/>
  <c r="E46" i="11"/>
  <c r="F423" i="1"/>
  <c r="F7" i="12" s="1"/>
  <c r="H71" i="13"/>
  <c r="D133" i="1"/>
  <c r="D925" i="1"/>
  <c r="D586" i="1"/>
  <c r="D517" i="1"/>
  <c r="D1010" i="1"/>
  <c r="D145" i="1"/>
  <c r="D248" i="31"/>
  <c r="D707" i="1"/>
  <c r="D234" i="31"/>
  <c r="D597" i="1"/>
  <c r="D831" i="1"/>
  <c r="D532" i="1"/>
  <c r="D147" i="1"/>
  <c r="D813" i="1"/>
  <c r="D908" i="1"/>
  <c r="D587" i="1"/>
  <c r="D1092" i="1"/>
  <c r="D364" i="1"/>
  <c r="D905" i="1"/>
  <c r="D1041" i="1"/>
  <c r="D926" i="1"/>
  <c r="D518" i="1"/>
  <c r="D70" i="31"/>
  <c r="D363" i="1"/>
  <c r="D1074" i="1"/>
  <c r="D150" i="1"/>
  <c r="D907" i="1"/>
  <c r="D706" i="1"/>
  <c r="D1072" i="1"/>
  <c r="D1007" i="1"/>
  <c r="D1073" i="1"/>
  <c r="D349" i="1"/>
  <c r="D348" i="1"/>
  <c r="D596" i="1"/>
  <c r="D519" i="1"/>
  <c r="D785" i="1"/>
  <c r="D136" i="1"/>
  <c r="D927" i="1"/>
  <c r="D1091" i="1"/>
  <c r="D134" i="1"/>
  <c r="D165" i="31"/>
  <c r="D83" i="31"/>
  <c r="D1003" i="1"/>
  <c r="D703" i="1"/>
  <c r="D350" i="1"/>
  <c r="G428" i="1" l="1"/>
  <c r="G303" i="1"/>
  <c r="G1085" i="1"/>
  <c r="G850" i="1"/>
  <c r="G906" i="1"/>
  <c r="E39" i="12"/>
  <c r="E1158" i="1"/>
  <c r="F412" i="1"/>
  <c r="G414" i="1"/>
  <c r="G1095" i="1" s="1"/>
  <c r="G415" i="1"/>
  <c r="G1007" i="1"/>
  <c r="G861" i="1"/>
  <c r="G482" i="1"/>
  <c r="E481" i="1"/>
  <c r="E485" i="1" s="1"/>
  <c r="E497" i="1" s="1"/>
  <c r="E478" i="1"/>
  <c r="E496" i="1" s="1"/>
  <c r="E476" i="1"/>
  <c r="E483" i="1"/>
  <c r="E484" i="1"/>
  <c r="E477" i="1"/>
  <c r="B209" i="12"/>
  <c r="B309" i="12"/>
  <c r="B280" i="12"/>
  <c r="E307" i="12" s="1"/>
  <c r="E327" i="12" s="1"/>
  <c r="B180" i="12"/>
  <c r="B31" i="35" s="1"/>
  <c r="E509" i="1"/>
  <c r="E791" i="1"/>
  <c r="E798" i="1" s="1"/>
  <c r="E327" i="1"/>
  <c r="E328" i="1" s="1"/>
  <c r="E330" i="1" s="1"/>
  <c r="E339" i="1" s="1"/>
  <c r="E108" i="1"/>
  <c r="B51" i="5"/>
  <c r="E155" i="31"/>
  <c r="E220" i="31" s="1"/>
  <c r="E235" i="31" s="1"/>
  <c r="E152" i="31"/>
  <c r="E217" i="31" s="1"/>
  <c r="E232" i="31" s="1"/>
  <c r="E199" i="1" s="1"/>
  <c r="E200" i="1" s="1"/>
  <c r="E1184" i="1"/>
  <c r="N7" i="34"/>
  <c r="F106" i="11"/>
  <c r="F108" i="11" s="1"/>
  <c r="K6" i="34" s="1"/>
  <c r="F93" i="35" s="1"/>
  <c r="J93" i="35" s="1"/>
  <c r="I93" i="35" s="1"/>
  <c r="O5" i="34"/>
  <c r="H874" i="1"/>
  <c r="G1183" i="1"/>
  <c r="G1184" i="1"/>
  <c r="G3" i="24"/>
  <c r="E421" i="1"/>
  <c r="E6" i="12"/>
  <c r="G421" i="1"/>
  <c r="G6" i="12"/>
  <c r="F114" i="12"/>
  <c r="G36" i="36"/>
  <c r="R85" i="5"/>
  <c r="R83" i="5"/>
  <c r="R82" i="5"/>
  <c r="E55" i="12"/>
  <c r="E318" i="12" s="1"/>
  <c r="B172" i="5"/>
  <c r="G8" i="24"/>
  <c r="B55" i="5"/>
  <c r="G10" i="24"/>
  <c r="C95" i="34"/>
  <c r="G9" i="24"/>
  <c r="E180" i="1"/>
  <c r="E183" i="1"/>
  <c r="B49" i="5"/>
  <c r="G6" i="24"/>
  <c r="B52" i="5"/>
  <c r="G7" i="24"/>
  <c r="I94" i="1" a="1"/>
  <c r="I94" i="1" s="1"/>
  <c r="E252" i="12"/>
  <c r="E325" i="12" s="1"/>
  <c r="R175" i="5"/>
  <c r="R79" i="5"/>
  <c r="R156" i="5" s="1"/>
  <c r="R90" i="5"/>
  <c r="B149" i="5" s="1"/>
  <c r="R88" i="5"/>
  <c r="R179" i="5" s="1"/>
  <c r="F955" i="1"/>
  <c r="F647" i="1"/>
  <c r="F81" i="21"/>
  <c r="K12" i="34" s="1"/>
  <c r="F99" i="35" s="1"/>
  <c r="J99" i="35" s="1"/>
  <c r="I99" i="35" s="1"/>
  <c r="F86" i="36"/>
  <c r="F81" i="33"/>
  <c r="K11" i="34" s="1"/>
  <c r="F98" i="35" s="1"/>
  <c r="J98" i="35" s="1"/>
  <c r="I98" i="35" s="1"/>
  <c r="F55" i="11"/>
  <c r="G22" i="1" s="1"/>
  <c r="G192" i="1" s="1"/>
  <c r="G197" i="1" s="1"/>
  <c r="E47" i="12"/>
  <c r="G28" i="36"/>
  <c r="G29" i="21"/>
  <c r="G23" i="21"/>
  <c r="S155" i="5"/>
  <c r="G27" i="33"/>
  <c r="G31" i="21"/>
  <c r="G26" i="33"/>
  <c r="G23" i="33"/>
  <c r="G30" i="33"/>
  <c r="G48" i="21"/>
  <c r="G26" i="21"/>
  <c r="G30" i="21"/>
  <c r="G31" i="33"/>
  <c r="G26" i="36"/>
  <c r="G28" i="21"/>
  <c r="G35" i="36"/>
  <c r="G31" i="36"/>
  <c r="P3" i="5"/>
  <c r="G27" i="21"/>
  <c r="G29" i="33"/>
  <c r="G48" i="33"/>
  <c r="F119" i="7"/>
  <c r="G28" i="33"/>
  <c r="G34" i="36"/>
  <c r="G32" i="21"/>
  <c r="G37" i="36"/>
  <c r="C155" i="5"/>
  <c r="G128" i="7"/>
  <c r="G33" i="36"/>
  <c r="G53" i="36"/>
  <c r="G32" i="33"/>
  <c r="G32" i="36"/>
  <c r="D9" i="5"/>
  <c r="G65" i="31"/>
  <c r="E41" i="35"/>
  <c r="E29" i="35"/>
  <c r="E387" i="1"/>
  <c r="E221" i="1"/>
  <c r="E664" i="1"/>
  <c r="E433" i="1"/>
  <c r="E714" i="1"/>
  <c r="E538" i="1"/>
  <c r="E59" i="12"/>
  <c r="E135" i="12"/>
  <c r="G13" i="35"/>
  <c r="G33" i="11"/>
  <c r="G63" i="31" s="1"/>
  <c r="G16" i="35"/>
  <c r="G36" i="11"/>
  <c r="G42" i="31" s="1"/>
  <c r="G555" i="1"/>
  <c r="G563" i="1" s="1"/>
  <c r="G559" i="1"/>
  <c r="I29" i="1" a="1"/>
  <c r="I29" i="1" s="1"/>
  <c r="G514" i="1"/>
  <c r="G649" i="1"/>
  <c r="G531" i="1"/>
  <c r="E780" i="1"/>
  <c r="E786" i="1"/>
  <c r="G35" i="21"/>
  <c r="G35" i="33"/>
  <c r="G24" i="31"/>
  <c r="G40" i="36"/>
  <c r="E60" i="12"/>
  <c r="E136" i="12"/>
  <c r="F283" i="12"/>
  <c r="F183" i="12"/>
  <c r="F204" i="31"/>
  <c r="S90" i="5"/>
  <c r="C149" i="5" s="1"/>
  <c r="S88" i="5"/>
  <c r="E28" i="35"/>
  <c r="E40" i="35"/>
  <c r="E218" i="1"/>
  <c r="E429" i="1"/>
  <c r="E304" i="1"/>
  <c r="E223" i="1"/>
  <c r="E439" i="1" s="1"/>
  <c r="E442" i="1" s="1"/>
  <c r="E222" i="1"/>
  <c r="E438" i="1" s="1"/>
  <c r="E441" i="1" s="1"/>
  <c r="E1104" i="1"/>
  <c r="E1121" i="1" s="1"/>
  <c r="G51" i="11"/>
  <c r="G33" i="31"/>
  <c r="E21" i="7"/>
  <c r="N29" i="5"/>
  <c r="G21" i="31"/>
  <c r="G47" i="31"/>
  <c r="G81" i="12"/>
  <c r="G1118" i="1"/>
  <c r="G718" i="1"/>
  <c r="G540" i="1"/>
  <c r="G476" i="1"/>
  <c r="G462" i="1"/>
  <c r="G389" i="1"/>
  <c r="G229" i="1"/>
  <c r="G936" i="1"/>
  <c r="G106" i="31"/>
  <c r="G862" i="1"/>
  <c r="G917" i="1"/>
  <c r="G770" i="1"/>
  <c r="G194" i="1"/>
  <c r="G118" i="1"/>
  <c r="G855" i="1"/>
  <c r="G937" i="1"/>
  <c r="G390" i="1"/>
  <c r="G719" i="1"/>
  <c r="G863" i="1"/>
  <c r="G477" i="1"/>
  <c r="G195" i="1"/>
  <c r="G771" i="1"/>
  <c r="G856" i="1"/>
  <c r="G230" i="1"/>
  <c r="G119" i="1"/>
  <c r="G541" i="1"/>
  <c r="G918" i="1"/>
  <c r="G463" i="1"/>
  <c r="E58" i="12"/>
  <c r="E130" i="12"/>
  <c r="E1143" i="1"/>
  <c r="E53" i="12"/>
  <c r="E50" i="12"/>
  <c r="G717" i="1"/>
  <c r="G388" i="1"/>
  <c r="G1117" i="1"/>
  <c r="G248" i="1"/>
  <c r="G80" i="12"/>
  <c r="G230" i="31"/>
  <c r="G196" i="1"/>
  <c r="K14" i="24"/>
  <c r="J10" i="34"/>
  <c r="E97" i="35" s="1"/>
  <c r="I8" i="24"/>
  <c r="E12" i="12"/>
  <c r="E573" i="1"/>
  <c r="E622" i="1"/>
  <c r="E611" i="1" s="1"/>
  <c r="I34" i="1" a="1"/>
  <c r="I34" i="1" s="1"/>
  <c r="I71" i="1" a="1"/>
  <c r="I71" i="1" s="1"/>
  <c r="I35" i="1" a="1"/>
  <c r="I35" i="1" s="1"/>
  <c r="I23" i="1" a="1"/>
  <c r="I23" i="1" s="1"/>
  <c r="E47" i="33"/>
  <c r="E30" i="33"/>
  <c r="G948" i="1"/>
  <c r="G272" i="12"/>
  <c r="G211" i="31"/>
  <c r="G38" i="12"/>
  <c r="G1156" i="1"/>
  <c r="G706" i="1"/>
  <c r="G1042" i="1"/>
  <c r="G698" i="1"/>
  <c r="G678" i="1"/>
  <c r="G1151" i="1"/>
  <c r="G30" i="12"/>
  <c r="G65" i="12"/>
  <c r="G155" i="1"/>
  <c r="G264" i="31"/>
  <c r="G33" i="12"/>
  <c r="G45" i="12" s="1"/>
  <c r="G141" i="1"/>
  <c r="G147" i="1"/>
  <c r="G151" i="1"/>
  <c r="G1107" i="1"/>
  <c r="G1008" i="1"/>
  <c r="G915" i="1"/>
  <c r="G920" i="1" s="1"/>
  <c r="G928" i="1" s="1"/>
  <c r="G525" i="1"/>
  <c r="G524" i="1"/>
  <c r="G889" i="1"/>
  <c r="G849" i="1"/>
  <c r="G1003" i="1"/>
  <c r="G705" i="1"/>
  <c r="G459" i="1"/>
  <c r="G382" i="1"/>
  <c r="G402" i="1" s="1"/>
  <c r="G1051" i="1"/>
  <c r="G790" i="1"/>
  <c r="G278" i="1"/>
  <c r="G258" i="1"/>
  <c r="E26" i="33"/>
  <c r="E23" i="33"/>
  <c r="E177" i="1"/>
  <c r="E19" i="12"/>
  <c r="E84" i="12" s="1"/>
  <c r="E23" i="7"/>
  <c r="E72" i="7" s="1"/>
  <c r="R96" i="5"/>
  <c r="N31" i="5"/>
  <c r="G35" i="11"/>
  <c r="G41" i="31" s="1"/>
  <c r="G15" i="35"/>
  <c r="G56" i="31"/>
  <c r="G129" i="31"/>
  <c r="G131" i="31" s="1"/>
  <c r="K23" i="24"/>
  <c r="F6" i="7"/>
  <c r="E19" i="7"/>
  <c r="N27" i="5"/>
  <c r="E719" i="1"/>
  <c r="E541" i="1"/>
  <c r="E463" i="1"/>
  <c r="E918" i="1"/>
  <c r="E195" i="1"/>
  <c r="E856" i="1"/>
  <c r="E863" i="1"/>
  <c r="E119" i="1"/>
  <c r="E230" i="1"/>
  <c r="E937" i="1"/>
  <c r="E771" i="1"/>
  <c r="E390" i="1"/>
  <c r="B74" i="5"/>
  <c r="S80" i="5"/>
  <c r="S176" i="5" s="1"/>
  <c r="S79" i="5"/>
  <c r="S175" i="5" s="1"/>
  <c r="E118" i="12"/>
  <c r="N8" i="5"/>
  <c r="E46" i="35" s="1"/>
  <c r="G283" i="12"/>
  <c r="G204" i="31"/>
  <c r="G183" i="12"/>
  <c r="E127" i="12"/>
  <c r="N17" i="5"/>
  <c r="E54" i="35" s="1"/>
  <c r="E187" i="31"/>
  <c r="E76" i="31"/>
  <c r="E143" i="31" s="1"/>
  <c r="E159" i="31" s="1"/>
  <c r="E1141" i="1"/>
  <c r="E51" i="12"/>
  <c r="E21" i="31"/>
  <c r="E99" i="12"/>
  <c r="E255" i="31"/>
  <c r="G916" i="1"/>
  <c r="G935" i="1"/>
  <c r="E62" i="12"/>
  <c r="E133" i="12"/>
  <c r="E9" i="12"/>
  <c r="E188" i="1"/>
  <c r="E574" i="1"/>
  <c r="E623" i="1"/>
  <c r="E612" i="1" s="1"/>
  <c r="I43" i="1" a="1"/>
  <c r="I43" i="1" s="1"/>
  <c r="E118" i="1"/>
  <c r="E718" i="1"/>
  <c r="E936" i="1"/>
  <c r="E862" i="1"/>
  <c r="E462" i="1"/>
  <c r="E194" i="1"/>
  <c r="E389" i="1"/>
  <c r="E770" i="1"/>
  <c r="E540" i="1"/>
  <c r="E229" i="1"/>
  <c r="E106" i="31"/>
  <c r="E855" i="1"/>
  <c r="E917" i="1"/>
  <c r="E52" i="36"/>
  <c r="E35" i="36"/>
  <c r="I47" i="1" a="1"/>
  <c r="I47" i="1" s="1"/>
  <c r="G327" i="1"/>
  <c r="G791" i="1"/>
  <c r="G108" i="1"/>
  <c r="G509" i="1"/>
  <c r="G809" i="1"/>
  <c r="G829" i="1"/>
  <c r="G823" i="1"/>
  <c r="G819" i="1"/>
  <c r="G526" i="1"/>
  <c r="G537" i="1"/>
  <c r="G676" i="1"/>
  <c r="G533" i="1"/>
  <c r="G586" i="1"/>
  <c r="F62" i="11"/>
  <c r="G357" i="1"/>
  <c r="G365" i="1"/>
  <c r="G66" i="12"/>
  <c r="G52" i="12"/>
  <c r="G27" i="12"/>
  <c r="G262" i="31"/>
  <c r="G145" i="1"/>
  <c r="G104" i="1"/>
  <c r="G105" i="1" s="1"/>
  <c r="G251" i="31"/>
  <c r="G970" i="1"/>
  <c r="G980" i="1" s="1"/>
  <c r="G1091" i="1"/>
  <c r="G1055" i="1"/>
  <c r="G1067" i="1"/>
  <c r="G356" i="1"/>
  <c r="G376" i="1"/>
  <c r="G381" i="1" s="1"/>
  <c r="G1108" i="1"/>
  <c r="G1009" i="1"/>
  <c r="G938" i="1"/>
  <c r="G939" i="1" s="1"/>
  <c r="G297" i="1"/>
  <c r="G313" i="1"/>
  <c r="G1105" i="1"/>
  <c r="G591" i="1"/>
  <c r="G728" i="1"/>
  <c r="G128" i="1"/>
  <c r="G124" i="1"/>
  <c r="G125" i="1" s="1"/>
  <c r="G135" i="1" s="1"/>
  <c r="G588" i="1"/>
  <c r="G469" i="1"/>
  <c r="G309" i="1"/>
  <c r="G25" i="12"/>
  <c r="G260" i="31"/>
  <c r="G249" i="31"/>
  <c r="G724" i="1"/>
  <c r="G968" i="1"/>
  <c r="G978" i="1" s="1"/>
  <c r="G587" i="1"/>
  <c r="G655" i="1"/>
  <c r="G659" i="1" s="1"/>
  <c r="G682" i="1"/>
  <c r="G127" i="31"/>
  <c r="G150" i="31"/>
  <c r="E70" i="7"/>
  <c r="E34" i="7"/>
  <c r="G3" i="6"/>
  <c r="G3" i="31"/>
  <c r="G3" i="21"/>
  <c r="D1" i="5"/>
  <c r="G3" i="11"/>
  <c r="F1" i="24"/>
  <c r="G3" i="7"/>
  <c r="G3" i="12"/>
  <c r="G3" i="36"/>
  <c r="G3" i="33"/>
  <c r="G3" i="1"/>
  <c r="N26" i="5"/>
  <c r="E18" i="7"/>
  <c r="G269" i="1"/>
  <c r="G259" i="1"/>
  <c r="E130" i="31"/>
  <c r="E132" i="31" s="1"/>
  <c r="E68" i="31"/>
  <c r="E17" i="7"/>
  <c r="N25" i="5"/>
  <c r="E31" i="36"/>
  <c r="E26" i="36"/>
  <c r="E124" i="7"/>
  <c r="E125" i="7" s="1"/>
  <c r="R132" i="5"/>
  <c r="E557" i="1"/>
  <c r="E189" i="12"/>
  <c r="E221" i="12"/>
  <c r="E234" i="12" s="1"/>
  <c r="G17" i="35"/>
  <c r="G37" i="11"/>
  <c r="G43" i="31" s="1"/>
  <c r="G14" i="35"/>
  <c r="G34" i="11"/>
  <c r="G40" i="31" s="1"/>
  <c r="AB255" i="1"/>
  <c r="AB290" i="1" s="1"/>
  <c r="AB291" i="1" s="1"/>
  <c r="AB294" i="1" s="1"/>
  <c r="AL255" i="1"/>
  <c r="AL290" i="1" s="1"/>
  <c r="AL291" i="1" s="1"/>
  <c r="AL294" i="1" s="1"/>
  <c r="AN255" i="1"/>
  <c r="AN290" i="1" s="1"/>
  <c r="AN291" i="1" s="1"/>
  <c r="AN294" i="1" s="1"/>
  <c r="Q255" i="1"/>
  <c r="Q290" i="1" s="1"/>
  <c r="Q291" i="1" s="1"/>
  <c r="Q294" i="1" s="1"/>
  <c r="K255" i="1"/>
  <c r="K290" i="1" s="1"/>
  <c r="K291" i="1" s="1"/>
  <c r="K294" i="1" s="1"/>
  <c r="AG255" i="1"/>
  <c r="AG290" i="1" s="1"/>
  <c r="AG291" i="1" s="1"/>
  <c r="AG294" i="1" s="1"/>
  <c r="AK255" i="1"/>
  <c r="AK290" i="1" s="1"/>
  <c r="AK291" i="1" s="1"/>
  <c r="AK294" i="1" s="1"/>
  <c r="AW255" i="1"/>
  <c r="AW290" i="1" s="1"/>
  <c r="AW291" i="1" s="1"/>
  <c r="AW294" i="1" s="1"/>
  <c r="AR255" i="1"/>
  <c r="AR290" i="1" s="1"/>
  <c r="AR291" i="1" s="1"/>
  <c r="AR294" i="1" s="1"/>
  <c r="L255" i="1"/>
  <c r="L290" i="1" s="1"/>
  <c r="L291" i="1" s="1"/>
  <c r="L294" i="1" s="1"/>
  <c r="AD255" i="1"/>
  <c r="AD290" i="1" s="1"/>
  <c r="AD291" i="1" s="1"/>
  <c r="AD294" i="1" s="1"/>
  <c r="AM255" i="1"/>
  <c r="AM290" i="1" s="1"/>
  <c r="AM291" i="1" s="1"/>
  <c r="AM294" i="1" s="1"/>
  <c r="AT255" i="1"/>
  <c r="AT290" i="1" s="1"/>
  <c r="AT291" i="1" s="1"/>
  <c r="AT294" i="1" s="1"/>
  <c r="AJ255" i="1"/>
  <c r="AJ290" i="1" s="1"/>
  <c r="AJ291" i="1" s="1"/>
  <c r="AJ294" i="1" s="1"/>
  <c r="Y255" i="1"/>
  <c r="Y290" i="1" s="1"/>
  <c r="Y291" i="1" s="1"/>
  <c r="Y294" i="1" s="1"/>
  <c r="U255" i="1"/>
  <c r="U290" i="1" s="1"/>
  <c r="U291" i="1" s="1"/>
  <c r="U294" i="1" s="1"/>
  <c r="AS255" i="1"/>
  <c r="AS290" i="1" s="1"/>
  <c r="AS291" i="1" s="1"/>
  <c r="AS294" i="1" s="1"/>
  <c r="AV255" i="1"/>
  <c r="AV290" i="1" s="1"/>
  <c r="AV291" i="1" s="1"/>
  <c r="AV294" i="1" s="1"/>
  <c r="AC255" i="1"/>
  <c r="AC290" i="1" s="1"/>
  <c r="AC291" i="1" s="1"/>
  <c r="AC294" i="1" s="1"/>
  <c r="R255" i="1"/>
  <c r="R290" i="1" s="1"/>
  <c r="R291" i="1" s="1"/>
  <c r="R294" i="1" s="1"/>
  <c r="T255" i="1"/>
  <c r="T290" i="1" s="1"/>
  <c r="T291" i="1" s="1"/>
  <c r="T294" i="1" s="1"/>
  <c r="W255" i="1"/>
  <c r="W290" i="1" s="1"/>
  <c r="W291" i="1" s="1"/>
  <c r="W294" i="1" s="1"/>
  <c r="AP255" i="1"/>
  <c r="AP290" i="1" s="1"/>
  <c r="AP291" i="1" s="1"/>
  <c r="AP294" i="1" s="1"/>
  <c r="AH255" i="1"/>
  <c r="AH290" i="1" s="1"/>
  <c r="AH291" i="1" s="1"/>
  <c r="AH294" i="1" s="1"/>
  <c r="V255" i="1"/>
  <c r="V290" i="1" s="1"/>
  <c r="V291" i="1" s="1"/>
  <c r="V294" i="1" s="1"/>
  <c r="S255" i="1"/>
  <c r="S290" i="1" s="1"/>
  <c r="S291" i="1" s="1"/>
  <c r="S294" i="1" s="1"/>
  <c r="X255" i="1"/>
  <c r="X290" i="1" s="1"/>
  <c r="X291" i="1" s="1"/>
  <c r="X294" i="1" s="1"/>
  <c r="M255" i="1"/>
  <c r="M290" i="1" s="1"/>
  <c r="M291" i="1" s="1"/>
  <c r="M294" i="1" s="1"/>
  <c r="AX255" i="1"/>
  <c r="AX290" i="1" s="1"/>
  <c r="AX291" i="1" s="1"/>
  <c r="AX294" i="1" s="1"/>
  <c r="AI255" i="1"/>
  <c r="AI290" i="1" s="1"/>
  <c r="AI291" i="1" s="1"/>
  <c r="AI294" i="1" s="1"/>
  <c r="AU255" i="1"/>
  <c r="AU290" i="1" s="1"/>
  <c r="AU291" i="1" s="1"/>
  <c r="AU294" i="1" s="1"/>
  <c r="P255" i="1"/>
  <c r="P290" i="1" s="1"/>
  <c r="P291" i="1" s="1"/>
  <c r="P294" i="1" s="1"/>
  <c r="AF255" i="1"/>
  <c r="AF290" i="1" s="1"/>
  <c r="AF291" i="1" s="1"/>
  <c r="AF294" i="1" s="1"/>
  <c r="N255" i="1"/>
  <c r="N290" i="1" s="1"/>
  <c r="N291" i="1" s="1"/>
  <c r="N294" i="1" s="1"/>
  <c r="AO255" i="1"/>
  <c r="AO290" i="1" s="1"/>
  <c r="AO291" i="1" s="1"/>
  <c r="AO294" i="1" s="1"/>
  <c r="AE255" i="1"/>
  <c r="AE290" i="1" s="1"/>
  <c r="AE291" i="1" s="1"/>
  <c r="AE294" i="1" s="1"/>
  <c r="AQ255" i="1"/>
  <c r="AQ290" i="1" s="1"/>
  <c r="AQ291" i="1" s="1"/>
  <c r="AQ294" i="1" s="1"/>
  <c r="O255" i="1"/>
  <c r="O290" i="1" s="1"/>
  <c r="O291" i="1" s="1"/>
  <c r="O294" i="1" s="1"/>
  <c r="AA255" i="1"/>
  <c r="AA290" i="1" s="1"/>
  <c r="AA291" i="1" s="1"/>
  <c r="AA294" i="1" s="1"/>
  <c r="Z255" i="1"/>
  <c r="Z290" i="1" s="1"/>
  <c r="Z291" i="1" s="1"/>
  <c r="Z294" i="1" s="1"/>
  <c r="E21" i="35"/>
  <c r="E33" i="35"/>
  <c r="F9" i="5"/>
  <c r="R84" i="5" s="1"/>
  <c r="B54" i="5"/>
  <c r="B192" i="5"/>
  <c r="E86" i="7"/>
  <c r="E224" i="31"/>
  <c r="E240" i="31" s="1"/>
  <c r="E746" i="1"/>
  <c r="E736" i="1"/>
  <c r="E163" i="12"/>
  <c r="E192" i="12"/>
  <c r="E168" i="12"/>
  <c r="E175" i="12" s="1"/>
  <c r="E178" i="12" s="1"/>
  <c r="E224" i="12"/>
  <c r="E237" i="12" s="1"/>
  <c r="E89" i="7"/>
  <c r="E166" i="31"/>
  <c r="E193" i="12"/>
  <c r="E225" i="12"/>
  <c r="E238" i="12" s="1"/>
  <c r="G640" i="1"/>
  <c r="E154" i="1"/>
  <c r="E1152" i="1"/>
  <c r="E34" i="12"/>
  <c r="E72" i="12"/>
  <c r="E75" i="12" s="1"/>
  <c r="E67" i="12"/>
  <c r="E15" i="7"/>
  <c r="N23" i="5"/>
  <c r="G11" i="35"/>
  <c r="G12" i="11"/>
  <c r="G6" i="31" s="1"/>
  <c r="E22" i="7"/>
  <c r="N30" i="5"/>
  <c r="E83" i="7"/>
  <c r="E165" i="31"/>
  <c r="N24" i="5"/>
  <c r="E16" i="7"/>
  <c r="K20" i="24"/>
  <c r="J8" i="34"/>
  <c r="E95" i="35" s="1"/>
  <c r="I22" i="24"/>
  <c r="E576" i="1"/>
  <c r="E625" i="1"/>
  <c r="E614" i="1" s="1"/>
  <c r="E577" i="1"/>
  <c r="E626" i="1"/>
  <c r="E615" i="1" s="1"/>
  <c r="I18" i="1" a="1"/>
  <c r="I18" i="1" s="1"/>
  <c r="I80" i="1" a="1"/>
  <c r="I80" i="1" s="1"/>
  <c r="I79" i="1" a="1"/>
  <c r="I79" i="1" s="1"/>
  <c r="I78" i="1" a="1"/>
  <c r="I78" i="1" s="1"/>
  <c r="I25" i="1" a="1"/>
  <c r="I25" i="1" s="1"/>
  <c r="E79" i="31"/>
  <c r="E146" i="31" s="1"/>
  <c r="E95" i="31"/>
  <c r="E111" i="31"/>
  <c r="E123" i="31" s="1"/>
  <c r="E225" i="31"/>
  <c r="E241" i="31" s="1"/>
  <c r="E87" i="7"/>
  <c r="G236" i="1"/>
  <c r="G247" i="1"/>
  <c r="G99" i="31"/>
  <c r="G10" i="7"/>
  <c r="F7" i="7" s="1"/>
  <c r="G1030" i="1"/>
  <c r="G115" i="31"/>
  <c r="G81" i="7"/>
  <c r="F77" i="7" s="1"/>
  <c r="G946" i="1"/>
  <c r="S120" i="5"/>
  <c r="G186" i="31"/>
  <c r="G55" i="31"/>
  <c r="G110" i="31"/>
  <c r="G172" i="31"/>
  <c r="S95" i="5"/>
  <c r="B97" i="5" s="1"/>
  <c r="G122" i="7"/>
  <c r="F118" i="7" s="1"/>
  <c r="G949" i="1"/>
  <c r="G1049" i="1"/>
  <c r="G377" i="1"/>
  <c r="G71" i="12"/>
  <c r="G168" i="1"/>
  <c r="G510" i="1"/>
  <c r="G173" i="12"/>
  <c r="G273" i="12"/>
  <c r="G255" i="31"/>
  <c r="G177" i="1"/>
  <c r="G19" i="12"/>
  <c r="G312" i="1"/>
  <c r="G474" i="1"/>
  <c r="G1103" i="1"/>
  <c r="G727" i="1"/>
  <c r="G805" i="1"/>
  <c r="G813" i="1"/>
  <c r="G825" i="1"/>
  <c r="G1004" i="1"/>
  <c r="G707" i="1"/>
  <c r="G853" i="1"/>
  <c r="G857" i="1" s="1"/>
  <c r="G364" i="1"/>
  <c r="G358" i="1"/>
  <c r="G368" i="1"/>
  <c r="G786" i="1"/>
  <c r="G780" i="1"/>
  <c r="G363" i="1"/>
  <c r="G359" i="1"/>
  <c r="G1155" i="1"/>
  <c r="G35" i="12"/>
  <c r="G47" i="12" s="1"/>
  <c r="G20" i="12"/>
  <c r="G256" i="31"/>
  <c r="G460" i="1"/>
  <c r="G383" i="1"/>
  <c r="G403" i="1" s="1"/>
  <c r="G1104" i="1"/>
  <c r="G304" i="1"/>
  <c r="G218" i="1"/>
  <c r="G429" i="1"/>
  <c r="E747" i="1"/>
  <c r="E768" i="1" s="1"/>
  <c r="E772" i="1" s="1"/>
  <c r="E737" i="1"/>
  <c r="E1062" i="1"/>
  <c r="E115" i="1"/>
  <c r="E129" i="1"/>
  <c r="E813" i="1"/>
  <c r="R178" i="5"/>
  <c r="B146" i="5"/>
  <c r="R74" i="5"/>
  <c r="E68" i="35"/>
  <c r="G19" i="21"/>
  <c r="G44" i="21"/>
  <c r="G18" i="31"/>
  <c r="G49" i="36"/>
  <c r="G19" i="36"/>
  <c r="G19" i="33"/>
  <c r="G44" i="33"/>
  <c r="E25" i="35"/>
  <c r="E37" i="35"/>
  <c r="E899" i="1"/>
  <c r="E874" i="1"/>
  <c r="E26" i="21"/>
  <c r="E23" i="21"/>
  <c r="N20" i="5"/>
  <c r="E12" i="7"/>
  <c r="I40" i="1" a="1"/>
  <c r="I40" i="1" s="1"/>
  <c r="F424" i="1"/>
  <c r="F425" i="1" s="1"/>
  <c r="G5" i="24"/>
  <c r="B50" i="5"/>
  <c r="E32" i="35"/>
  <c r="E20" i="35"/>
  <c r="E832" i="1"/>
  <c r="E837" i="1"/>
  <c r="E150" i="31"/>
  <c r="E127" i="31"/>
  <c r="E68" i="12"/>
  <c r="E73" i="12"/>
  <c r="E76" i="12" s="1"/>
  <c r="E84" i="31"/>
  <c r="E243" i="31"/>
  <c r="E28" i="12" s="1"/>
  <c r="E93" i="12" s="1"/>
  <c r="E40" i="36"/>
  <c r="E35" i="33"/>
  <c r="E35" i="21"/>
  <c r="E24" i="31"/>
  <c r="E187" i="12"/>
  <c r="E219" i="12"/>
  <c r="E232" i="12" s="1"/>
  <c r="E1140" i="1"/>
  <c r="E49" i="12"/>
  <c r="E1144" i="1"/>
  <c r="E150" i="12"/>
  <c r="E805" i="1"/>
  <c r="E1138" i="1"/>
  <c r="E149" i="12"/>
  <c r="E1139" i="1"/>
  <c r="E1145" i="1"/>
  <c r="E1147" i="1" s="1"/>
  <c r="E1182" i="1" s="1"/>
  <c r="G539" i="1"/>
  <c r="G715" i="1"/>
  <c r="G475" i="1"/>
  <c r="G769" i="1"/>
  <c r="G58" i="35"/>
  <c r="G10" i="35"/>
  <c r="G12" i="1"/>
  <c r="K26" i="24"/>
  <c r="J9" i="34"/>
  <c r="E96" i="35" s="1"/>
  <c r="J7" i="34"/>
  <c r="E94" i="35" s="1"/>
  <c r="I26" i="24"/>
  <c r="E728" i="1"/>
  <c r="E1105" i="1"/>
  <c r="E1122" i="1" s="1"/>
  <c r="E591" i="1"/>
  <c r="E297" i="1"/>
  <c r="E313" i="1"/>
  <c r="E575" i="1"/>
  <c r="E624" i="1"/>
  <c r="E613" i="1" s="1"/>
  <c r="P107" i="31"/>
  <c r="T107" i="31"/>
  <c r="AC107" i="31"/>
  <c r="AK107" i="31"/>
  <c r="AE107" i="31"/>
  <c r="AN107" i="31"/>
  <c r="AB107" i="31"/>
  <c r="O107" i="31"/>
  <c r="AI107" i="31"/>
  <c r="AM107" i="31"/>
  <c r="AA107" i="31"/>
  <c r="AT107" i="31"/>
  <c r="AG107" i="31"/>
  <c r="AU107" i="31"/>
  <c r="AL107" i="31"/>
  <c r="M107" i="31"/>
  <c r="AD107" i="31"/>
  <c r="L107" i="31"/>
  <c r="N107" i="31"/>
  <c r="AP107" i="31"/>
  <c r="AJ107" i="31"/>
  <c r="U107" i="31"/>
  <c r="W107" i="31"/>
  <c r="AQ107" i="31"/>
  <c r="V107" i="31"/>
  <c r="Y107" i="31"/>
  <c r="AS107" i="31"/>
  <c r="R107" i="31"/>
  <c r="Z107" i="31"/>
  <c r="AO107" i="31"/>
  <c r="AR107" i="31"/>
  <c r="AX107" i="31"/>
  <c r="AW107" i="31"/>
  <c r="Q107" i="31"/>
  <c r="AH107" i="31"/>
  <c r="AV107" i="31"/>
  <c r="K107" i="31"/>
  <c r="S107" i="31"/>
  <c r="X107" i="31"/>
  <c r="AF107" i="31"/>
  <c r="I37" i="1" a="1"/>
  <c r="I37" i="1" s="1"/>
  <c r="E47" i="21"/>
  <c r="E30" i="21"/>
  <c r="G163" i="1"/>
  <c r="G199" i="31"/>
  <c r="G70" i="12"/>
  <c r="G207" i="31"/>
  <c r="G172" i="12"/>
  <c r="G947" i="1"/>
  <c r="G14" i="33"/>
  <c r="G47" i="33" s="1"/>
  <c r="G80" i="31"/>
  <c r="G84" i="31" s="1"/>
  <c r="G14" i="36"/>
  <c r="G52" i="36" s="1"/>
  <c r="G14" i="21"/>
  <c r="G47" i="21" s="1"/>
  <c r="S89" i="5"/>
  <c r="C148" i="5" s="1"/>
  <c r="G12" i="31"/>
  <c r="G50" i="31" s="1"/>
  <c r="G147" i="31"/>
  <c r="G163" i="31" s="1"/>
  <c r="G167" i="31"/>
  <c r="G90" i="7" s="1"/>
  <c r="G91" i="7" s="1"/>
  <c r="G151" i="7" s="1"/>
  <c r="G10" i="31"/>
  <c r="G48" i="31" s="1"/>
  <c r="G14" i="31"/>
  <c r="G52" i="31" s="1"/>
  <c r="G78" i="31" s="1"/>
  <c r="G145" i="31" s="1"/>
  <c r="G161" i="31" s="1"/>
  <c r="G85" i="31"/>
  <c r="G94" i="31" s="1"/>
  <c r="G15" i="33"/>
  <c r="G10" i="21"/>
  <c r="G13" i="36"/>
  <c r="G16" i="21"/>
  <c r="G16" i="33"/>
  <c r="G15" i="31"/>
  <c r="G53" i="31" s="1"/>
  <c r="F1118" i="1"/>
  <c r="G10" i="33"/>
  <c r="G11" i="36"/>
  <c r="G13" i="33"/>
  <c r="G15" i="21"/>
  <c r="G10" i="36"/>
  <c r="I3" i="5"/>
  <c r="S87" i="5"/>
  <c r="G13" i="31"/>
  <c r="G51" i="31" s="1"/>
  <c r="G77" i="31" s="1"/>
  <c r="G144" i="31" s="1"/>
  <c r="G160" i="31" s="1"/>
  <c r="G11" i="31"/>
  <c r="G49" i="31" s="1"/>
  <c r="G75" i="31" s="1"/>
  <c r="G142" i="31" s="1"/>
  <c r="G158" i="31" s="1"/>
  <c r="G16" i="36"/>
  <c r="G12" i="21"/>
  <c r="G12" i="33"/>
  <c r="G13" i="21"/>
  <c r="G15" i="36"/>
  <c r="F81" i="12"/>
  <c r="G227" i="31"/>
  <c r="G27" i="36"/>
  <c r="G11" i="21"/>
  <c r="G12" i="36"/>
  <c r="G11" i="33"/>
  <c r="G70" i="31"/>
  <c r="G138" i="31" s="1"/>
  <c r="G154" i="31" s="1"/>
  <c r="G219" i="31" s="1"/>
  <c r="G258" i="31"/>
  <c r="G307" i="1"/>
  <c r="G596" i="1"/>
  <c r="G23" i="12"/>
  <c r="G488" i="1"/>
  <c r="G966" i="1"/>
  <c r="G976" i="1" s="1"/>
  <c r="G722" i="1"/>
  <c r="G298" i="1"/>
  <c r="G21" i="12"/>
  <c r="G248" i="31"/>
  <c r="G217" i="1"/>
  <c r="G178" i="1"/>
  <c r="G967" i="1"/>
  <c r="G977" i="1" s="1"/>
  <c r="G468" i="1"/>
  <c r="G597" i="1"/>
  <c r="G723" i="1"/>
  <c r="G308" i="1"/>
  <c r="G24" i="12"/>
  <c r="G259" i="31"/>
  <c r="G333" i="1"/>
  <c r="G311" i="1"/>
  <c r="G490" i="1"/>
  <c r="G590" i="1" s="1"/>
  <c r="G726" i="1"/>
  <c r="G660" i="1"/>
  <c r="G683" i="1"/>
  <c r="G1106" i="1"/>
  <c r="G708" i="1"/>
  <c r="G785" i="1"/>
  <c r="G831" i="1"/>
  <c r="G782" i="1"/>
  <c r="G154" i="1"/>
  <c r="G1152" i="1"/>
  <c r="G34" i="12"/>
  <c r="G699" i="1"/>
  <c r="G685" i="1"/>
  <c r="G668" i="1"/>
  <c r="G677" i="1"/>
  <c r="G693" i="1"/>
  <c r="G832" i="1"/>
  <c r="G837" i="1"/>
  <c r="G842" i="1" s="1"/>
  <c r="G873" i="1"/>
  <c r="G898" i="1"/>
  <c r="G589" i="1"/>
  <c r="G261" i="31"/>
  <c r="G489" i="1"/>
  <c r="G26" i="12"/>
  <c r="G310" i="1"/>
  <c r="G969" i="1"/>
  <c r="G979" i="1" s="1"/>
  <c r="G250" i="31"/>
  <c r="G725" i="1"/>
  <c r="G669" i="1"/>
  <c r="G684" i="1"/>
  <c r="G694" i="1"/>
  <c r="G1041" i="1"/>
  <c r="G704" i="1"/>
  <c r="G579" i="1"/>
  <c r="G618" i="1"/>
  <c r="G191" i="31"/>
  <c r="G601" i="1"/>
  <c r="E84" i="7"/>
  <c r="E222" i="31"/>
  <c r="E238" i="31" s="1"/>
  <c r="E488" i="1" s="1"/>
  <c r="G39" i="12" l="1"/>
  <c r="G1158" i="1"/>
  <c r="E207" i="12"/>
  <c r="E323" i="12" s="1"/>
  <c r="G310" i="12"/>
  <c r="G312" i="12"/>
  <c r="G311" i="12"/>
  <c r="G212" i="12"/>
  <c r="G211" i="12"/>
  <c r="G210" i="12"/>
  <c r="E20" i="12"/>
  <c r="E85" i="12" s="1"/>
  <c r="E256" i="31"/>
  <c r="E295" i="12"/>
  <c r="E326" i="12" s="1"/>
  <c r="E204" i="12"/>
  <c r="R200" i="5"/>
  <c r="E201" i="12"/>
  <c r="R197" i="5"/>
  <c r="E199" i="12"/>
  <c r="R195" i="5"/>
  <c r="G123" i="12"/>
  <c r="G119" i="12"/>
  <c r="G121" i="12"/>
  <c r="G127" i="12"/>
  <c r="G122" i="12"/>
  <c r="G118" i="12"/>
  <c r="G125" i="12"/>
  <c r="G117" i="12"/>
  <c r="G124" i="12"/>
  <c r="G120" i="12"/>
  <c r="G116" i="12"/>
  <c r="E205" i="12"/>
  <c r="R201" i="5"/>
  <c r="E195" i="12"/>
  <c r="E322" i="12" s="1"/>
  <c r="B67" i="5"/>
  <c r="B147" i="5"/>
  <c r="C152" i="5" s="1"/>
  <c r="O6" i="34" s="1"/>
  <c r="G232" i="31"/>
  <c r="G199" i="1" s="1"/>
  <c r="G200" i="1" s="1"/>
  <c r="B163" i="5"/>
  <c r="R176" i="5"/>
  <c r="R80" i="5"/>
  <c r="G745" i="1"/>
  <c r="G735" i="1"/>
  <c r="G91" i="12"/>
  <c r="G89" i="12"/>
  <c r="G102" i="12" s="1"/>
  <c r="G84" i="12"/>
  <c r="G97" i="12" s="1"/>
  <c r="G88" i="12"/>
  <c r="G101" i="12" s="1"/>
  <c r="G90" i="12"/>
  <c r="G103" i="12" s="1"/>
  <c r="G131" i="12"/>
  <c r="G85" i="12"/>
  <c r="G98" i="12" s="1"/>
  <c r="G93" i="12"/>
  <c r="G106" i="12" s="1"/>
  <c r="G137" i="12"/>
  <c r="G92" i="12"/>
  <c r="G105" i="12" s="1"/>
  <c r="G134" i="12"/>
  <c r="G136" i="12"/>
  <c r="G86" i="12"/>
  <c r="G99" i="12" s="1"/>
  <c r="G95" i="12"/>
  <c r="G108" i="12" s="1"/>
  <c r="G133" i="12"/>
  <c r="G138" i="12"/>
  <c r="O19" i="5"/>
  <c r="G132" i="12"/>
  <c r="G135" i="12"/>
  <c r="O3" i="5"/>
  <c r="G130" i="12"/>
  <c r="G71" i="31"/>
  <c r="G139" i="31" s="1"/>
  <c r="G155" i="31" s="1"/>
  <c r="G220" i="31" s="1"/>
  <c r="G72" i="31"/>
  <c r="S113" i="31"/>
  <c r="S112" i="31"/>
  <c r="S121" i="31" s="1"/>
  <c r="S127" i="31"/>
  <c r="S150" i="31"/>
  <c r="Y113" i="31"/>
  <c r="Y127" i="31"/>
  <c r="Y112" i="31"/>
  <c r="Y121" i="31" s="1"/>
  <c r="Y150" i="31"/>
  <c r="L113" i="31"/>
  <c r="L127" i="31"/>
  <c r="L112" i="31"/>
  <c r="L121" i="31" s="1"/>
  <c r="L150" i="31"/>
  <c r="AN113" i="31"/>
  <c r="AN112" i="31"/>
  <c r="AN121" i="31" s="1"/>
  <c r="AN127" i="31"/>
  <c r="AN150" i="31"/>
  <c r="T113" i="31"/>
  <c r="T127" i="31"/>
  <c r="T150" i="31"/>
  <c r="T112" i="31"/>
  <c r="T121" i="31" s="1"/>
  <c r="AJ113" i="31"/>
  <c r="AJ112" i="31"/>
  <c r="AJ121" i="31" s="1"/>
  <c r="AJ150" i="31"/>
  <c r="AJ127" i="31"/>
  <c r="F514" i="1"/>
  <c r="F531" i="1"/>
  <c r="F649" i="1"/>
  <c r="G891" i="1"/>
  <c r="G867" i="1"/>
  <c r="E112" i="31"/>
  <c r="E121" i="31" s="1"/>
  <c r="E896" i="1"/>
  <c r="E871" i="1"/>
  <c r="E32" i="7"/>
  <c r="E68" i="7"/>
  <c r="G51" i="12"/>
  <c r="G60" i="12"/>
  <c r="G738" i="1"/>
  <c r="G748" i="1"/>
  <c r="G860" i="1" s="1"/>
  <c r="S85" i="5"/>
  <c r="K3" i="5"/>
  <c r="S82" i="5"/>
  <c r="B73" i="5" s="1"/>
  <c r="S83" i="5"/>
  <c r="S84" i="5"/>
  <c r="E85" i="7"/>
  <c r="E223" i="31"/>
  <c r="E239" i="31" s="1"/>
  <c r="E116" i="12"/>
  <c r="N6" i="5"/>
  <c r="E44" i="35" s="1"/>
  <c r="E97" i="12"/>
  <c r="G48" i="12"/>
  <c r="G62" i="12"/>
  <c r="E185" i="12"/>
  <c r="E169" i="12"/>
  <c r="E160" i="12"/>
  <c r="E167" i="12"/>
  <c r="E174" i="12" s="1"/>
  <c r="E177" i="12" s="1"/>
  <c r="E217" i="12"/>
  <c r="E230" i="12" s="1"/>
  <c r="E142" i="12"/>
  <c r="G111" i="31"/>
  <c r="G79" i="31"/>
  <c r="G146" i="31" s="1"/>
  <c r="G95" i="31"/>
  <c r="Q113" i="31"/>
  <c r="Q127" i="31"/>
  <c r="Q112" i="31"/>
  <c r="Q121" i="31" s="1"/>
  <c r="Q150" i="31"/>
  <c r="AU113" i="31"/>
  <c r="AU112" i="31"/>
  <c r="AU121" i="31" s="1"/>
  <c r="AU150" i="31"/>
  <c r="AU127" i="31"/>
  <c r="E307" i="1"/>
  <c r="E596" i="1"/>
  <c r="E966" i="1"/>
  <c r="E976" i="1" s="1"/>
  <c r="E23" i="12"/>
  <c r="E88" i="12" s="1"/>
  <c r="E722" i="1"/>
  <c r="E258" i="31"/>
  <c r="G67" i="12"/>
  <c r="G46" i="12"/>
  <c r="G58" i="12"/>
  <c r="G22" i="35"/>
  <c r="G25" i="35"/>
  <c r="G28" i="35"/>
  <c r="G23" i="35"/>
  <c r="G24" i="35"/>
  <c r="G26" i="35"/>
  <c r="G29" i="35"/>
  <c r="G27" i="35"/>
  <c r="G20" i="35"/>
  <c r="G21" i="35"/>
  <c r="I107" i="31"/>
  <c r="K113" i="31"/>
  <c r="K112" i="31"/>
  <c r="K150" i="31"/>
  <c r="K127" i="31"/>
  <c r="Z113" i="31"/>
  <c r="Z127" i="31"/>
  <c r="Z112" i="31"/>
  <c r="Z121" i="31" s="1"/>
  <c r="Z150" i="31"/>
  <c r="AD112" i="31"/>
  <c r="AD121" i="31" s="1"/>
  <c r="AD113" i="31"/>
  <c r="AD150" i="31"/>
  <c r="AD127" i="31"/>
  <c r="AI113" i="31"/>
  <c r="AI150" i="31"/>
  <c r="AI127" i="31"/>
  <c r="AI112" i="31"/>
  <c r="AI121" i="31" s="1"/>
  <c r="P113" i="31"/>
  <c r="P112" i="31"/>
  <c r="P121" i="31" s="1"/>
  <c r="P127" i="31"/>
  <c r="P150" i="31"/>
  <c r="G733" i="1"/>
  <c r="G743" i="1"/>
  <c r="G222" i="31"/>
  <c r="G84" i="7"/>
  <c r="G89" i="7"/>
  <c r="G166" i="31"/>
  <c r="AF113" i="31"/>
  <c r="AF112" i="31"/>
  <c r="AF121" i="31" s="1"/>
  <c r="AF127" i="31"/>
  <c r="AF150" i="31"/>
  <c r="AV113" i="31"/>
  <c r="AV127" i="31"/>
  <c r="AV112" i="31"/>
  <c r="AV121" i="31" s="1"/>
  <c r="AV150" i="31"/>
  <c r="AX113" i="31"/>
  <c r="AX112" i="31"/>
  <c r="AX121" i="31" s="1"/>
  <c r="AX150" i="31"/>
  <c r="AX127" i="31"/>
  <c r="R113" i="31"/>
  <c r="R112" i="31"/>
  <c r="R121" i="31" s="1"/>
  <c r="R127" i="31"/>
  <c r="R150" i="31"/>
  <c r="AQ113" i="31"/>
  <c r="AQ127" i="31"/>
  <c r="AQ112" i="31"/>
  <c r="AQ121" i="31" s="1"/>
  <c r="AQ150" i="31"/>
  <c r="AP113" i="31"/>
  <c r="AP150" i="31"/>
  <c r="AP112" i="31"/>
  <c r="AP121" i="31" s="1"/>
  <c r="AP127" i="31"/>
  <c r="M113" i="31"/>
  <c r="M112" i="31"/>
  <c r="M121" i="31" s="1"/>
  <c r="M127" i="31"/>
  <c r="M150" i="31"/>
  <c r="AT113" i="31"/>
  <c r="AT127" i="31"/>
  <c r="AT150" i="31"/>
  <c r="AT112" i="31"/>
  <c r="AT121" i="31" s="1"/>
  <c r="O127" i="31"/>
  <c r="O150" i="31"/>
  <c r="O112" i="31"/>
  <c r="O121" i="31" s="1"/>
  <c r="O113" i="31"/>
  <c r="AK113" i="31"/>
  <c r="AK112" i="31"/>
  <c r="AK121" i="31" s="1"/>
  <c r="AK127" i="31"/>
  <c r="AK150" i="31"/>
  <c r="E738" i="1"/>
  <c r="E748" i="1"/>
  <c r="E860" i="1" s="1"/>
  <c r="E864" i="1" s="1"/>
  <c r="E100" i="1"/>
  <c r="E101" i="1" s="1"/>
  <c r="E126" i="7"/>
  <c r="E282" i="31"/>
  <c r="E273" i="31"/>
  <c r="E133" i="31"/>
  <c r="E66" i="35"/>
  <c r="R72" i="5"/>
  <c r="E67" i="35"/>
  <c r="R73" i="5"/>
  <c r="G124" i="7"/>
  <c r="F120" i="7" s="1"/>
  <c r="G557" i="1"/>
  <c r="S132" i="5"/>
  <c r="B123" i="5" s="1"/>
  <c r="R77" i="5"/>
  <c r="E71" i="35"/>
  <c r="R75" i="5"/>
  <c r="E69" i="35"/>
  <c r="N21" i="5"/>
  <c r="E13" i="7"/>
  <c r="E1135" i="1"/>
  <c r="C147" i="5"/>
  <c r="S179" i="5"/>
  <c r="AW112" i="31"/>
  <c r="AW121" i="31" s="1"/>
  <c r="AW127" i="31"/>
  <c r="AW150" i="31"/>
  <c r="AW113" i="31"/>
  <c r="V113" i="31"/>
  <c r="V112" i="31"/>
  <c r="V121" i="31" s="1"/>
  <c r="V127" i="31"/>
  <c r="V150" i="31"/>
  <c r="AG113" i="31"/>
  <c r="AG150" i="31"/>
  <c r="AG112" i="31"/>
  <c r="AG121" i="31" s="1"/>
  <c r="AG127" i="31"/>
  <c r="AE113" i="31"/>
  <c r="AE127" i="31"/>
  <c r="AE112" i="31"/>
  <c r="AE121" i="31" s="1"/>
  <c r="AE150" i="31"/>
  <c r="E14" i="7"/>
  <c r="N22" i="5"/>
  <c r="E1136" i="1"/>
  <c r="E287" i="12"/>
  <c r="E299" i="12" s="1"/>
  <c r="E244" i="12"/>
  <c r="G736" i="1"/>
  <c r="G746" i="1"/>
  <c r="G732" i="1"/>
  <c r="G742" i="1"/>
  <c r="G224" i="31"/>
  <c r="G86" i="7"/>
  <c r="G1123" i="1"/>
  <c r="G1127" i="1"/>
  <c r="G1130" i="1"/>
  <c r="G1122" i="1"/>
  <c r="G1126" i="1"/>
  <c r="G1129" i="1"/>
  <c r="G1131" i="1"/>
  <c r="G1128" i="1"/>
  <c r="G1121" i="1"/>
  <c r="G1124" i="1"/>
  <c r="G1120" i="1"/>
  <c r="G1125" i="1"/>
  <c r="G87" i="7"/>
  <c r="G225" i="31"/>
  <c r="G187" i="31"/>
  <c r="G76" i="31"/>
  <c r="G143" i="31" s="1"/>
  <c r="G159" i="31" s="1"/>
  <c r="X113" i="31"/>
  <c r="X127" i="31"/>
  <c r="X112" i="31"/>
  <c r="X121" i="31" s="1"/>
  <c r="X150" i="31"/>
  <c r="AH113" i="31"/>
  <c r="AH127" i="31"/>
  <c r="AH112" i="31"/>
  <c r="AH121" i="31" s="1"/>
  <c r="AH150" i="31"/>
  <c r="AR113" i="31"/>
  <c r="AR112" i="31"/>
  <c r="AR121" i="31" s="1"/>
  <c r="AR150" i="31"/>
  <c r="AR127" i="31"/>
  <c r="AS113" i="31"/>
  <c r="AS112" i="31"/>
  <c r="AS121" i="31" s="1"/>
  <c r="AS127" i="31"/>
  <c r="AS150" i="31"/>
  <c r="W113" i="31"/>
  <c r="W127" i="31"/>
  <c r="W112" i="31"/>
  <c r="W121" i="31" s="1"/>
  <c r="W150" i="31"/>
  <c r="N113" i="31"/>
  <c r="N112" i="31"/>
  <c r="N121" i="31" s="1"/>
  <c r="N127" i="31"/>
  <c r="N150" i="31"/>
  <c r="AL127" i="31"/>
  <c r="AL112" i="31"/>
  <c r="AL121" i="31" s="1"/>
  <c r="AL113" i="31"/>
  <c r="AL150" i="31"/>
  <c r="AA113" i="31"/>
  <c r="AA127" i="31"/>
  <c r="AA112" i="31"/>
  <c r="AA121" i="31" s="1"/>
  <c r="AA150" i="31"/>
  <c r="AB113" i="31"/>
  <c r="AB112" i="31"/>
  <c r="AB121" i="31" s="1"/>
  <c r="AB150" i="31"/>
  <c r="AB127" i="31"/>
  <c r="AC113" i="31"/>
  <c r="AC127" i="31"/>
  <c r="AC112" i="31"/>
  <c r="AC121" i="31" s="1"/>
  <c r="AC150" i="31"/>
  <c r="E125" i="12"/>
  <c r="N15" i="5"/>
  <c r="E52" i="35" s="1"/>
  <c r="E106" i="12"/>
  <c r="E26" i="7"/>
  <c r="E62" i="7"/>
  <c r="G737" i="1"/>
  <c r="G747" i="1"/>
  <c r="G768" i="1" s="1"/>
  <c r="G772" i="1" s="1"/>
  <c r="E30" i="7"/>
  <c r="E66" i="7"/>
  <c r="E70" i="35"/>
  <c r="R76" i="5"/>
  <c r="R69" i="5"/>
  <c r="E63" i="35"/>
  <c r="E131" i="12"/>
  <c r="E46" i="12"/>
  <c r="R71" i="5"/>
  <c r="E65" i="35"/>
  <c r="G150" i="1"/>
  <c r="G140" i="1"/>
  <c r="G146" i="1"/>
  <c r="G899" i="1"/>
  <c r="G874" i="1"/>
  <c r="E188" i="12"/>
  <c r="E164" i="12"/>
  <c r="E220" i="12"/>
  <c r="E233" i="12" s="1"/>
  <c r="E145" i="12"/>
  <c r="E33" i="7"/>
  <c r="E69" i="7"/>
  <c r="G50" i="12"/>
  <c r="G68" i="12"/>
  <c r="G59" i="12"/>
  <c r="E706" i="1"/>
  <c r="E1042" i="1"/>
  <c r="E191" i="12"/>
  <c r="E162" i="12"/>
  <c r="E223" i="12"/>
  <c r="E236" i="12" s="1"/>
  <c r="E148" i="12"/>
  <c r="E190" i="12"/>
  <c r="E161" i="12"/>
  <c r="E170" i="12"/>
  <c r="E222" i="12"/>
  <c r="E235" i="12" s="1"/>
  <c r="E147" i="12"/>
  <c r="G136" i="31"/>
  <c r="G152" i="31" s="1"/>
  <c r="G217" i="31" s="1"/>
  <c r="G69" i="31"/>
  <c r="G88" i="35"/>
  <c r="G84" i="35"/>
  <c r="S178" i="5"/>
  <c r="G85" i="35"/>
  <c r="C146" i="5"/>
  <c r="G87" i="35"/>
  <c r="G86" i="35"/>
  <c r="AO113" i="31"/>
  <c r="AO127" i="31"/>
  <c r="AO150" i="31"/>
  <c r="AO112" i="31"/>
  <c r="AO121" i="31" s="1"/>
  <c r="U113" i="31"/>
  <c r="U127" i="31"/>
  <c r="U150" i="31"/>
  <c r="U112" i="31"/>
  <c r="U121" i="31" s="1"/>
  <c r="AM112" i="31"/>
  <c r="AM121" i="31" s="1"/>
  <c r="AM150" i="31"/>
  <c r="AM127" i="31"/>
  <c r="AM113" i="31"/>
  <c r="R66" i="5"/>
  <c r="E60" i="35"/>
  <c r="E777" i="1"/>
  <c r="E897" i="1"/>
  <c r="E589" i="1"/>
  <c r="E310" i="1"/>
  <c r="E489" i="1"/>
  <c r="E250" i="31"/>
  <c r="E969" i="1"/>
  <c r="E979" i="1" s="1"/>
  <c r="E26" i="12"/>
  <c r="E91" i="12" s="1"/>
  <c r="E725" i="1"/>
  <c r="E261" i="31"/>
  <c r="F7" i="1"/>
  <c r="R70" i="5"/>
  <c r="E64" i="35"/>
  <c r="E35" i="7"/>
  <c r="E71" i="7"/>
  <c r="E29" i="7"/>
  <c r="E65" i="7"/>
  <c r="E293" i="12"/>
  <c r="E305" i="12" s="1"/>
  <c r="E250" i="12"/>
  <c r="E268" i="12"/>
  <c r="E263" i="12"/>
  <c r="E292" i="12"/>
  <c r="E304" i="12" s="1"/>
  <c r="E249" i="12"/>
  <c r="E469" i="1"/>
  <c r="E588" i="1"/>
  <c r="E249" i="31"/>
  <c r="E309" i="1"/>
  <c r="E968" i="1"/>
  <c r="E978" i="1" s="1"/>
  <c r="E724" i="1"/>
  <c r="E25" i="12"/>
  <c r="E90" i="12" s="1"/>
  <c r="E260" i="31"/>
  <c r="E23" i="35"/>
  <c r="E35" i="35"/>
  <c r="E289" i="12"/>
  <c r="E301" i="12" s="1"/>
  <c r="E246" i="12"/>
  <c r="E67" i="7"/>
  <c r="E31" i="7"/>
  <c r="G734" i="1"/>
  <c r="G744" i="1"/>
  <c r="G68" i="31"/>
  <c r="G130" i="31"/>
  <c r="G132" i="31" s="1"/>
  <c r="E707" i="1"/>
  <c r="E1004" i="1"/>
  <c r="E853" i="1"/>
  <c r="E857" i="1" s="1"/>
  <c r="C206" i="31"/>
  <c r="C210" i="31"/>
  <c r="E212" i="31"/>
  <c r="E282" i="12" s="1"/>
  <c r="E208" i="31"/>
  <c r="E182" i="12" s="1"/>
  <c r="G12" i="35"/>
  <c r="G30" i="11"/>
  <c r="G62" i="31" s="1"/>
  <c r="G64" i="31" s="1"/>
  <c r="S174" i="5"/>
  <c r="B173" i="5" s="1"/>
  <c r="E117" i="12" l="1"/>
  <c r="N7" i="5"/>
  <c r="E45" i="35" s="1"/>
  <c r="E98" i="12"/>
  <c r="F1184" i="1"/>
  <c r="O7" i="34"/>
  <c r="E202" i="12"/>
  <c r="R198" i="5"/>
  <c r="E203" i="12"/>
  <c r="R199" i="5"/>
  <c r="E197" i="12"/>
  <c r="R193" i="5"/>
  <c r="E200" i="12"/>
  <c r="R196" i="5"/>
  <c r="C151" i="5"/>
  <c r="E270" i="12"/>
  <c r="E275" i="12"/>
  <c r="E278" i="12" s="1"/>
  <c r="G894" i="1"/>
  <c r="G779" i="1"/>
  <c r="E734" i="1"/>
  <c r="E744" i="1"/>
  <c r="E735" i="1"/>
  <c r="E745" i="1"/>
  <c r="AM155" i="31"/>
  <c r="AM220" i="31" s="1"/>
  <c r="AM159" i="31"/>
  <c r="AM160" i="31"/>
  <c r="AM161" i="31"/>
  <c r="AM152" i="31"/>
  <c r="AM217" i="31" s="1"/>
  <c r="AM158" i="31"/>
  <c r="AM154" i="31"/>
  <c r="U131" i="31"/>
  <c r="U132" i="31"/>
  <c r="AO131" i="31"/>
  <c r="AO132" i="31"/>
  <c r="E290" i="12"/>
  <c r="E302" i="12" s="1"/>
  <c r="E261" i="12"/>
  <c r="E247" i="12"/>
  <c r="G897" i="1"/>
  <c r="G777" i="1"/>
  <c r="AB152" i="31"/>
  <c r="AB217" i="31" s="1"/>
  <c r="AB155" i="31"/>
  <c r="AB220" i="31" s="1"/>
  <c r="AB159" i="31"/>
  <c r="AB158" i="31"/>
  <c r="AB160" i="31"/>
  <c r="AB154" i="31"/>
  <c r="AB161" i="31"/>
  <c r="N132" i="31"/>
  <c r="N131" i="31"/>
  <c r="AS132" i="31"/>
  <c r="AS131" i="31"/>
  <c r="AR152" i="31"/>
  <c r="AR217" i="31" s="1"/>
  <c r="AR155" i="31"/>
  <c r="AR220" i="31" s="1"/>
  <c r="AR161" i="31"/>
  <c r="AR158" i="31"/>
  <c r="AR159" i="31"/>
  <c r="AR160" i="31"/>
  <c r="AR154" i="31"/>
  <c r="G1134" i="1"/>
  <c r="G12" i="7"/>
  <c r="G26" i="7" s="1"/>
  <c r="G23" i="7"/>
  <c r="G1145" i="1"/>
  <c r="S96" i="5"/>
  <c r="G22" i="7"/>
  <c r="G35" i="7" s="1"/>
  <c r="G1144" i="1"/>
  <c r="R68" i="5"/>
  <c r="E62" i="35"/>
  <c r="AE132" i="31"/>
  <c r="AE131" i="31"/>
  <c r="AG152" i="31"/>
  <c r="AG217" i="31" s="1"/>
  <c r="AG155" i="31"/>
  <c r="AG220" i="31" s="1"/>
  <c r="AG160" i="31"/>
  <c r="AG161" i="31"/>
  <c r="AG158" i="31"/>
  <c r="AG159" i="31"/>
  <c r="AG154" i="31"/>
  <c r="AW131" i="31"/>
  <c r="AW132" i="31"/>
  <c r="O131" i="31"/>
  <c r="O132" i="31"/>
  <c r="P131" i="31"/>
  <c r="P132" i="31"/>
  <c r="AI131" i="31"/>
  <c r="AI132" i="31"/>
  <c r="AD152" i="31"/>
  <c r="AD217" i="31" s="1"/>
  <c r="AD160" i="31"/>
  <c r="AD161" i="31"/>
  <c r="AD155" i="31"/>
  <c r="AD220" i="31" s="1"/>
  <c r="AD158" i="31"/>
  <c r="AD154" i="31"/>
  <c r="AD159" i="31"/>
  <c r="K160" i="31"/>
  <c r="K161" i="31"/>
  <c r="K155" i="31"/>
  <c r="K152" i="31"/>
  <c r="K158" i="31"/>
  <c r="K159" i="31"/>
  <c r="K154" i="31"/>
  <c r="AU131" i="31"/>
  <c r="AU132" i="31"/>
  <c r="Q155" i="31"/>
  <c r="Q220" i="31" s="1"/>
  <c r="Q152" i="31"/>
  <c r="Q217" i="31" s="1"/>
  <c r="Q161" i="31"/>
  <c r="Q160" i="31"/>
  <c r="Q158" i="31"/>
  <c r="Q159" i="31"/>
  <c r="Q154" i="31"/>
  <c r="G96" i="31"/>
  <c r="G98" i="31"/>
  <c r="E267" i="12"/>
  <c r="E285" i="12"/>
  <c r="E297" i="12" s="1"/>
  <c r="E260" i="12"/>
  <c r="E242" i="12"/>
  <c r="E308" i="1"/>
  <c r="E967" i="1"/>
  <c r="E977" i="1" s="1"/>
  <c r="E597" i="1"/>
  <c r="E468" i="1"/>
  <c r="E24" i="12"/>
  <c r="E89" i="12" s="1"/>
  <c r="E333" i="1"/>
  <c r="E334" i="1" s="1"/>
  <c r="E723" i="1"/>
  <c r="E259" i="31"/>
  <c r="G51" i="35"/>
  <c r="G50" i="35"/>
  <c r="G47" i="35"/>
  <c r="G52" i="35"/>
  <c r="G44" i="35"/>
  <c r="G49" i="35"/>
  <c r="G54" i="35"/>
  <c r="G46" i="35"/>
  <c r="G48" i="35"/>
  <c r="G45" i="35"/>
  <c r="G144" i="12"/>
  <c r="G187" i="12"/>
  <c r="G199" i="12" s="1"/>
  <c r="S195" i="5" s="1"/>
  <c r="G219" i="12"/>
  <c r="G232" i="12" s="1"/>
  <c r="G143" i="12"/>
  <c r="G186" i="12"/>
  <c r="G198" i="12" s="1"/>
  <c r="S194" i="5" s="1"/>
  <c r="G218" i="12"/>
  <c r="G231" i="12" s="1"/>
  <c r="E123" i="12"/>
  <c r="E127" i="7"/>
  <c r="N13" i="5"/>
  <c r="E50" i="35" s="1"/>
  <c r="E104" i="12"/>
  <c r="E186" i="12"/>
  <c r="E218" i="12"/>
  <c r="E231" i="12" s="1"/>
  <c r="E143" i="12"/>
  <c r="AC132" i="31"/>
  <c r="AC131" i="31"/>
  <c r="AA131" i="31"/>
  <c r="AA132" i="31"/>
  <c r="W131" i="31"/>
  <c r="W132" i="31"/>
  <c r="AH131" i="31"/>
  <c r="AH132" i="31"/>
  <c r="X131" i="31"/>
  <c r="X132" i="31"/>
  <c r="G16" i="7"/>
  <c r="G30" i="7" s="1"/>
  <c r="G1138" i="1"/>
  <c r="G21" i="7"/>
  <c r="G1143" i="1"/>
  <c r="G1141" i="1"/>
  <c r="G19" i="7"/>
  <c r="G33" i="7" s="1"/>
  <c r="G758" i="1"/>
  <c r="G892" i="1"/>
  <c r="E64" i="7"/>
  <c r="E28" i="7"/>
  <c r="E113" i="12"/>
  <c r="B20" i="5"/>
  <c r="AK152" i="31"/>
  <c r="AK217" i="31" s="1"/>
  <c r="AK155" i="31"/>
  <c r="AK220" i="31" s="1"/>
  <c r="AK160" i="31"/>
  <c r="AK159" i="31"/>
  <c r="AK158" i="31"/>
  <c r="AK161" i="31"/>
  <c r="AK154" i="31"/>
  <c r="M155" i="31"/>
  <c r="M220" i="31" s="1"/>
  <c r="M152" i="31"/>
  <c r="M217" i="31" s="1"/>
  <c r="M158" i="31"/>
  <c r="M160" i="31"/>
  <c r="M154" i="31"/>
  <c r="M159" i="31"/>
  <c r="M161" i="31"/>
  <c r="AP132" i="31"/>
  <c r="AP131" i="31"/>
  <c r="AQ155" i="31"/>
  <c r="AQ220" i="31" s="1"/>
  <c r="AQ161" i="31"/>
  <c r="AQ152" i="31"/>
  <c r="AQ217" i="31" s="1"/>
  <c r="AQ158" i="31"/>
  <c r="AQ159" i="31"/>
  <c r="AQ160" i="31"/>
  <c r="AQ154" i="31"/>
  <c r="R155" i="31"/>
  <c r="R220" i="31" s="1"/>
  <c r="R152" i="31"/>
  <c r="R217" i="31" s="1"/>
  <c r="R161" i="31"/>
  <c r="R158" i="31"/>
  <c r="R154" i="31"/>
  <c r="R160" i="31"/>
  <c r="R159" i="31"/>
  <c r="AX132" i="31"/>
  <c r="AX131" i="31"/>
  <c r="AV152" i="31"/>
  <c r="AV217" i="31" s="1"/>
  <c r="AV155" i="31"/>
  <c r="AV220" i="31" s="1"/>
  <c r="AV159" i="31"/>
  <c r="AV161" i="31"/>
  <c r="AV158" i="31"/>
  <c r="AV160" i="31"/>
  <c r="AV154" i="31"/>
  <c r="AF152" i="31"/>
  <c r="AF217" i="31" s="1"/>
  <c r="AF155" i="31"/>
  <c r="AF220" i="31" s="1"/>
  <c r="AF158" i="31"/>
  <c r="AF160" i="31"/>
  <c r="AF161" i="31"/>
  <c r="AF154" i="31"/>
  <c r="AF159" i="31"/>
  <c r="G778" i="1"/>
  <c r="G893" i="1"/>
  <c r="AI155" i="31"/>
  <c r="AI220" i="31" s="1"/>
  <c r="AI152" i="31"/>
  <c r="AI217" i="31" s="1"/>
  <c r="AI161" i="31"/>
  <c r="AI158" i="31"/>
  <c r="AI160" i="31"/>
  <c r="AI154" i="31"/>
  <c r="AI159" i="31"/>
  <c r="Z132" i="31"/>
  <c r="Z131" i="31"/>
  <c r="I112" i="31"/>
  <c r="I121" i="31" s="1"/>
  <c r="K121" i="31"/>
  <c r="AU155" i="31"/>
  <c r="AU220" i="31" s="1"/>
  <c r="AU152" i="31"/>
  <c r="AU217" i="31" s="1"/>
  <c r="AU161" i="31"/>
  <c r="AU160" i="31"/>
  <c r="AU159" i="31"/>
  <c r="AU158" i="31"/>
  <c r="AU154" i="31"/>
  <c r="G40" i="35"/>
  <c r="G33" i="35"/>
  <c r="G37" i="35"/>
  <c r="G41" i="35"/>
  <c r="G36" i="35"/>
  <c r="G32" i="35"/>
  <c r="G34" i="35"/>
  <c r="D216" i="5"/>
  <c r="G38" i="35"/>
  <c r="G39" i="35"/>
  <c r="G35" i="35"/>
  <c r="AJ132" i="31"/>
  <c r="AJ131" i="31"/>
  <c r="AN155" i="31"/>
  <c r="AN220" i="31" s="1"/>
  <c r="AN152" i="31"/>
  <c r="AN217" i="31" s="1"/>
  <c r="AN161" i="31"/>
  <c r="AN159" i="31"/>
  <c r="AN158" i="31"/>
  <c r="AN160" i="31"/>
  <c r="AN154" i="31"/>
  <c r="L152" i="31"/>
  <c r="L217" i="31" s="1"/>
  <c r="L155" i="31"/>
  <c r="L220" i="31" s="1"/>
  <c r="L160" i="31"/>
  <c r="L159" i="31"/>
  <c r="L158" i="31"/>
  <c r="L161" i="31"/>
  <c r="L154" i="31"/>
  <c r="Y152" i="31"/>
  <c r="Y217" i="31" s="1"/>
  <c r="Y155" i="31"/>
  <c r="Y220" i="31" s="1"/>
  <c r="Y154" i="31"/>
  <c r="Y158" i="31"/>
  <c r="Y161" i="31"/>
  <c r="Y159" i="31"/>
  <c r="Y160" i="31"/>
  <c r="S152" i="31"/>
  <c r="S217" i="31" s="1"/>
  <c r="S155" i="31"/>
  <c r="S220" i="31" s="1"/>
  <c r="S160" i="31"/>
  <c r="S158" i="31"/>
  <c r="S154" i="31"/>
  <c r="S159" i="31"/>
  <c r="S161" i="31"/>
  <c r="G83" i="31"/>
  <c r="G140" i="31"/>
  <c r="G156" i="31" s="1"/>
  <c r="G168" i="12"/>
  <c r="G149" i="12"/>
  <c r="G224" i="12"/>
  <c r="G237" i="12" s="1"/>
  <c r="G192" i="12"/>
  <c r="G204" i="12" s="1"/>
  <c r="S200" i="5" s="1"/>
  <c r="G163" i="12"/>
  <c r="G127" i="7"/>
  <c r="G104" i="12"/>
  <c r="G126" i="7"/>
  <c r="G100" i="1"/>
  <c r="G101" i="1" s="1"/>
  <c r="G282" i="31"/>
  <c r="G133" i="31"/>
  <c r="G273" i="31"/>
  <c r="AL131" i="31"/>
  <c r="AL132" i="31"/>
  <c r="G13" i="7"/>
  <c r="G1135" i="1"/>
  <c r="G1140" i="1"/>
  <c r="G18" i="7"/>
  <c r="G32" i="7" s="1"/>
  <c r="G15" i="7"/>
  <c r="G29" i="7" s="1"/>
  <c r="G1137" i="1"/>
  <c r="AE155" i="31"/>
  <c r="AE220" i="31" s="1"/>
  <c r="AE152" i="31"/>
  <c r="AE217" i="31" s="1"/>
  <c r="AE160" i="31"/>
  <c r="AE154" i="31"/>
  <c r="AE161" i="31"/>
  <c r="AE158" i="31"/>
  <c r="AE159" i="31"/>
  <c r="AG131" i="31"/>
  <c r="AG132" i="31"/>
  <c r="V152" i="31"/>
  <c r="V217" i="31" s="1"/>
  <c r="V158" i="31"/>
  <c r="V155" i="31"/>
  <c r="V220" i="31" s="1"/>
  <c r="V154" i="31"/>
  <c r="V161" i="31"/>
  <c r="V159" i="31"/>
  <c r="V160" i="31"/>
  <c r="E63" i="7"/>
  <c r="E27" i="7"/>
  <c r="E873" i="1"/>
  <c r="E898" i="1"/>
  <c r="AK132" i="31"/>
  <c r="AK131" i="31"/>
  <c r="AT152" i="31"/>
  <c r="AT217" i="31" s="1"/>
  <c r="AT160" i="31"/>
  <c r="AT159" i="31"/>
  <c r="AT161" i="31"/>
  <c r="AT158" i="31"/>
  <c r="AT155" i="31"/>
  <c r="AT220" i="31" s="1"/>
  <c r="AT154" i="31"/>
  <c r="M132" i="31"/>
  <c r="M131" i="31"/>
  <c r="R131" i="31"/>
  <c r="R132" i="31"/>
  <c r="AX152" i="31"/>
  <c r="AX217" i="31" s="1"/>
  <c r="AX155" i="31"/>
  <c r="AX220" i="31" s="1"/>
  <c r="AX159" i="31"/>
  <c r="AX160" i="31"/>
  <c r="AX154" i="31"/>
  <c r="AX161" i="31"/>
  <c r="AX158" i="31"/>
  <c r="AF131" i="31"/>
  <c r="AF132" i="31"/>
  <c r="I113" i="31"/>
  <c r="K116" i="31"/>
  <c r="L116" i="31" s="1"/>
  <c r="E732" i="1"/>
  <c r="E742" i="1"/>
  <c r="Q131" i="31"/>
  <c r="Q132" i="31"/>
  <c r="E162" i="31"/>
  <c r="E88" i="7" s="1"/>
  <c r="E226" i="31"/>
  <c r="E242" i="31" s="1"/>
  <c r="AJ155" i="31"/>
  <c r="AJ220" i="31" s="1"/>
  <c r="AJ152" i="31"/>
  <c r="AJ217" i="31" s="1"/>
  <c r="AJ159" i="31"/>
  <c r="AJ154" i="31"/>
  <c r="AJ160" i="31"/>
  <c r="AJ161" i="31"/>
  <c r="AJ158" i="31"/>
  <c r="T155" i="31"/>
  <c r="T220" i="31" s="1"/>
  <c r="T152" i="31"/>
  <c r="T217" i="31" s="1"/>
  <c r="T161" i="31"/>
  <c r="T158" i="31"/>
  <c r="T160" i="31"/>
  <c r="T159" i="31"/>
  <c r="T154" i="31"/>
  <c r="AN131" i="31"/>
  <c r="AN132" i="31"/>
  <c r="S132" i="31"/>
  <c r="S131" i="31"/>
  <c r="S67" i="5"/>
  <c r="B66" i="5" s="1"/>
  <c r="G66" i="35"/>
  <c r="G67" i="35"/>
  <c r="G70" i="35"/>
  <c r="G65" i="35"/>
  <c r="G68" i="35"/>
  <c r="G62" i="35"/>
  <c r="S76" i="5"/>
  <c r="S66" i="5"/>
  <c r="G72" i="35"/>
  <c r="S72" i="5"/>
  <c r="S70" i="5"/>
  <c r="S73" i="5"/>
  <c r="G61" i="35"/>
  <c r="G69" i="35"/>
  <c r="G63" i="35"/>
  <c r="G71" i="35"/>
  <c r="G64" i="35"/>
  <c r="S77" i="5"/>
  <c r="S75" i="5"/>
  <c r="G60" i="35"/>
  <c r="S69" i="5"/>
  <c r="S68" i="5"/>
  <c r="S71" i="5"/>
  <c r="S74" i="5"/>
  <c r="G150" i="12"/>
  <c r="G193" i="12"/>
  <c r="G205" i="12" s="1"/>
  <c r="S201" i="5" s="1"/>
  <c r="G225" i="12"/>
  <c r="G238" i="12" s="1"/>
  <c r="G191" i="12"/>
  <c r="G203" i="12" s="1"/>
  <c r="S199" i="5" s="1"/>
  <c r="G148" i="12"/>
  <c r="G223" i="12"/>
  <c r="G236" i="12" s="1"/>
  <c r="G162" i="12"/>
  <c r="E867" i="1"/>
  <c r="E891" i="1"/>
  <c r="E262" i="12"/>
  <c r="E291" i="12"/>
  <c r="E303" i="12" s="1"/>
  <c r="E248" i="12"/>
  <c r="E122" i="12"/>
  <c r="N12" i="5"/>
  <c r="E49" i="35" s="1"/>
  <c r="E103" i="12"/>
  <c r="AM132" i="31"/>
  <c r="AM131" i="31"/>
  <c r="U160" i="31"/>
  <c r="U159" i="31"/>
  <c r="U161" i="31"/>
  <c r="U155" i="31"/>
  <c r="U220" i="31" s="1"/>
  <c r="U158" i="31"/>
  <c r="U152" i="31"/>
  <c r="U217" i="31" s="1"/>
  <c r="U154" i="31"/>
  <c r="AO161" i="31"/>
  <c r="AO155" i="31"/>
  <c r="AO220" i="31" s="1"/>
  <c r="AO152" i="31"/>
  <c r="AO217" i="31" s="1"/>
  <c r="AO160" i="31"/>
  <c r="AO159" i="31"/>
  <c r="AO154" i="31"/>
  <c r="AO158" i="31"/>
  <c r="E288" i="12"/>
  <c r="E300" i="12" s="1"/>
  <c r="E264" i="12"/>
  <c r="E245" i="12"/>
  <c r="AC152" i="31"/>
  <c r="AC217" i="31" s="1"/>
  <c r="AC160" i="31"/>
  <c r="AC159" i="31"/>
  <c r="AC155" i="31"/>
  <c r="AC220" i="31" s="1"/>
  <c r="AC161" i="31"/>
  <c r="AC154" i="31"/>
  <c r="AC158" i="31"/>
  <c r="AB131" i="31"/>
  <c r="AB132" i="31"/>
  <c r="AA155" i="31"/>
  <c r="AA220" i="31" s="1"/>
  <c r="AA152" i="31"/>
  <c r="AA217" i="31" s="1"/>
  <c r="AA159" i="31"/>
  <c r="AA161" i="31"/>
  <c r="AA154" i="31"/>
  <c r="AA160" i="31"/>
  <c r="AA158" i="31"/>
  <c r="AL155" i="31"/>
  <c r="AL220" i="31" s="1"/>
  <c r="AL152" i="31"/>
  <c r="AL217" i="31" s="1"/>
  <c r="AL161" i="31"/>
  <c r="AL159" i="31"/>
  <c r="AL158" i="31"/>
  <c r="AL160" i="31"/>
  <c r="AL154" i="31"/>
  <c r="N155" i="31"/>
  <c r="N220" i="31" s="1"/>
  <c r="N161" i="31"/>
  <c r="N160" i="31"/>
  <c r="N158" i="31"/>
  <c r="N159" i="31"/>
  <c r="N152" i="31"/>
  <c r="N217" i="31" s="1"/>
  <c r="N154" i="31"/>
  <c r="W155" i="31"/>
  <c r="W220" i="31" s="1"/>
  <c r="W152" i="31"/>
  <c r="W217" i="31" s="1"/>
  <c r="W158" i="31"/>
  <c r="W161" i="31"/>
  <c r="W154" i="31"/>
  <c r="W160" i="31"/>
  <c r="W159" i="31"/>
  <c r="AS155" i="31"/>
  <c r="AS220" i="31" s="1"/>
  <c r="AS161" i="31"/>
  <c r="AS158" i="31"/>
  <c r="AS152" i="31"/>
  <c r="AS217" i="31" s="1"/>
  <c r="AS154" i="31"/>
  <c r="AS159" i="31"/>
  <c r="AS160" i="31"/>
  <c r="AR131" i="31"/>
  <c r="AR132" i="31"/>
  <c r="AH155" i="31"/>
  <c r="AH220" i="31" s="1"/>
  <c r="AH160" i="31"/>
  <c r="AH152" i="31"/>
  <c r="AH217" i="31" s="1"/>
  <c r="AH161" i="31"/>
  <c r="AH159" i="31"/>
  <c r="AH158" i="31"/>
  <c r="AH154" i="31"/>
  <c r="X152" i="31"/>
  <c r="X217" i="31" s="1"/>
  <c r="X155" i="31"/>
  <c r="X220" i="31" s="1"/>
  <c r="X160" i="31"/>
  <c r="X159" i="31"/>
  <c r="X158" i="31"/>
  <c r="X161" i="31"/>
  <c r="X154" i="31"/>
  <c r="G223" i="31"/>
  <c r="G85" i="7"/>
  <c r="G1139" i="1"/>
  <c r="G17" i="7"/>
  <c r="G31" i="7" s="1"/>
  <c r="G20" i="7"/>
  <c r="G34" i="7" s="1"/>
  <c r="G1142" i="1"/>
  <c r="G1136" i="1"/>
  <c r="G14" i="7"/>
  <c r="G28" i="7" s="1"/>
  <c r="G871" i="1"/>
  <c r="G896" i="1"/>
  <c r="V131" i="31"/>
  <c r="V132" i="31"/>
  <c r="AW152" i="31"/>
  <c r="AW217" i="31" s="1"/>
  <c r="AW155" i="31"/>
  <c r="AW220" i="31" s="1"/>
  <c r="AW159" i="31"/>
  <c r="AW160" i="31"/>
  <c r="AW161" i="31"/>
  <c r="AW154" i="31"/>
  <c r="AW158" i="31"/>
  <c r="E61" i="35"/>
  <c r="R67" i="5"/>
  <c r="O152" i="31"/>
  <c r="O217" i="31" s="1"/>
  <c r="O161" i="31"/>
  <c r="O154" i="31"/>
  <c r="O155" i="31"/>
  <c r="O220" i="31" s="1"/>
  <c r="O159" i="31"/>
  <c r="O158" i="31"/>
  <c r="O160" i="31"/>
  <c r="AT132" i="31"/>
  <c r="AT131" i="31"/>
  <c r="AP155" i="31"/>
  <c r="AP220" i="31" s="1"/>
  <c r="AP152" i="31"/>
  <c r="AP217" i="31" s="1"/>
  <c r="AP161" i="31"/>
  <c r="AP159" i="31"/>
  <c r="AP160" i="31"/>
  <c r="AP158" i="31"/>
  <c r="AP154" i="31"/>
  <c r="AQ132" i="31"/>
  <c r="AQ131" i="31"/>
  <c r="AV132" i="31"/>
  <c r="AV131" i="31"/>
  <c r="P155" i="31"/>
  <c r="P220" i="31" s="1"/>
  <c r="P158" i="31"/>
  <c r="P152" i="31"/>
  <c r="P217" i="31" s="1"/>
  <c r="P160" i="31"/>
  <c r="P159" i="31"/>
  <c r="P154" i="31"/>
  <c r="P161" i="31"/>
  <c r="AD131" i="31"/>
  <c r="AD132" i="31"/>
  <c r="Z155" i="31"/>
  <c r="Z220" i="31" s="1"/>
  <c r="Z152" i="31"/>
  <c r="Z217" i="31" s="1"/>
  <c r="Z159" i="31"/>
  <c r="Z158" i="31"/>
  <c r="Z160" i="31"/>
  <c r="Z161" i="31"/>
  <c r="Z154" i="31"/>
  <c r="K131" i="31"/>
  <c r="K132" i="31"/>
  <c r="I127" i="31"/>
  <c r="I150" i="31"/>
  <c r="E120" i="12"/>
  <c r="N10" i="5"/>
  <c r="E47" i="35" s="1"/>
  <c r="E101" i="12"/>
  <c r="T132" i="31"/>
  <c r="T131" i="31"/>
  <c r="L131" i="31"/>
  <c r="L132" i="31"/>
  <c r="Y131" i="31"/>
  <c r="Y132" i="31"/>
  <c r="G142" i="12"/>
  <c r="G169" i="12"/>
  <c r="G167" i="12"/>
  <c r="G185" i="12"/>
  <c r="G197" i="12" s="1"/>
  <c r="S193" i="5" s="1"/>
  <c r="G217" i="12"/>
  <c r="G230" i="12" s="1"/>
  <c r="G160" i="12"/>
  <c r="G147" i="12"/>
  <c r="G170" i="12"/>
  <c r="G190" i="12"/>
  <c r="G202" i="12" s="1"/>
  <c r="S198" i="5" s="1"/>
  <c r="G222" i="12"/>
  <c r="G235" i="12" s="1"/>
  <c r="G161" i="12"/>
  <c r="G145" i="12"/>
  <c r="G188" i="12"/>
  <c r="G200" i="12" s="1"/>
  <c r="S196" i="5" s="1"/>
  <c r="G220" i="12"/>
  <c r="G233" i="12" s="1"/>
  <c r="G164" i="12"/>
  <c r="G146" i="12"/>
  <c r="G189" i="12"/>
  <c r="G201" i="12" s="1"/>
  <c r="S197" i="5" s="1"/>
  <c r="G221" i="12"/>
  <c r="G234" i="12" s="1"/>
  <c r="G895" i="1"/>
  <c r="G870" i="1"/>
  <c r="E198" i="12" l="1"/>
  <c r="R194" i="5"/>
  <c r="L126" i="7"/>
  <c r="L100" i="1"/>
  <c r="L282" i="31"/>
  <c r="L284" i="31" s="1"/>
  <c r="L232" i="1" s="1"/>
  <c r="L273" i="31"/>
  <c r="L274" i="31" s="1"/>
  <c r="L276" i="31" s="1"/>
  <c r="L279" i="31" s="1"/>
  <c r="L231" i="1" s="1"/>
  <c r="Z156" i="31"/>
  <c r="Z219" i="31"/>
  <c r="P84" i="7"/>
  <c r="P222" i="31"/>
  <c r="AP156" i="31"/>
  <c r="AP219" i="31"/>
  <c r="U132" i="5"/>
  <c r="L124" i="7"/>
  <c r="L557" i="1"/>
  <c r="P85" i="7"/>
  <c r="P223" i="31"/>
  <c r="AW84" i="7"/>
  <c r="AW222" i="31"/>
  <c r="X87" i="7"/>
  <c r="X225" i="31"/>
  <c r="AH85" i="7"/>
  <c r="AH223" i="31"/>
  <c r="AS87" i="7"/>
  <c r="AS225" i="31"/>
  <c r="G285" i="12"/>
  <c r="G297" i="12" s="1"/>
  <c r="G267" i="12"/>
  <c r="G242" i="12"/>
  <c r="AH132" i="5"/>
  <c r="Y557" i="1"/>
  <c r="Y124" i="7"/>
  <c r="K124" i="7"/>
  <c r="T132" i="5"/>
  <c r="K557" i="1"/>
  <c r="Z84" i="7"/>
  <c r="Z222" i="31"/>
  <c r="AD282" i="31"/>
  <c r="AD284" i="31" s="1"/>
  <c r="AD232" i="1" s="1"/>
  <c r="AD273" i="31"/>
  <c r="AD274" i="31" s="1"/>
  <c r="AD276" i="31" s="1"/>
  <c r="AD279" i="31" s="1"/>
  <c r="AD231" i="1" s="1"/>
  <c r="AD126" i="7"/>
  <c r="AD100" i="1"/>
  <c r="P87" i="7"/>
  <c r="P225" i="31"/>
  <c r="AQ100" i="1"/>
  <c r="AQ126" i="7"/>
  <c r="AQ282" i="31"/>
  <c r="AQ284" i="31" s="1"/>
  <c r="AQ232" i="1" s="1"/>
  <c r="AQ273" i="31"/>
  <c r="AQ274" i="31" s="1"/>
  <c r="AQ276" i="31" s="1"/>
  <c r="AQ279" i="31" s="1"/>
  <c r="AQ231" i="1" s="1"/>
  <c r="AP223" i="31"/>
  <c r="AP85" i="7"/>
  <c r="O86" i="7"/>
  <c r="O224" i="31"/>
  <c r="O156" i="31"/>
  <c r="O219" i="31"/>
  <c r="AW87" i="7"/>
  <c r="AW225" i="31"/>
  <c r="X85" i="7"/>
  <c r="X223" i="31"/>
  <c r="AH156" i="31"/>
  <c r="AH219" i="31"/>
  <c r="AR124" i="7"/>
  <c r="BA132" i="5"/>
  <c r="AR557" i="1"/>
  <c r="W85" i="7"/>
  <c r="W223" i="31"/>
  <c r="W84" i="7"/>
  <c r="W222" i="31"/>
  <c r="N87" i="7"/>
  <c r="N225" i="31"/>
  <c r="AL84" i="7"/>
  <c r="AL222" i="31"/>
  <c r="AA87" i="7"/>
  <c r="AA225" i="31"/>
  <c r="AB282" i="31"/>
  <c r="AB284" i="31" s="1"/>
  <c r="AB232" i="1" s="1"/>
  <c r="AB273" i="31"/>
  <c r="AB274" i="31" s="1"/>
  <c r="AB276" i="31" s="1"/>
  <c r="AB279" i="31" s="1"/>
  <c r="AB231" i="1" s="1"/>
  <c r="AB126" i="7"/>
  <c r="AB100" i="1"/>
  <c r="AC87" i="7"/>
  <c r="AC225" i="31"/>
  <c r="AO84" i="7"/>
  <c r="AO222" i="31"/>
  <c r="U85" i="7"/>
  <c r="U223" i="31"/>
  <c r="G248" i="12"/>
  <c r="G291" i="12"/>
  <c r="G303" i="12" s="1"/>
  <c r="G262" i="12"/>
  <c r="G80" i="35"/>
  <c r="G79" i="35"/>
  <c r="G77" i="35"/>
  <c r="G78" i="35"/>
  <c r="G81" i="35"/>
  <c r="S100" i="1"/>
  <c r="S126" i="7"/>
  <c r="S282" i="31"/>
  <c r="S284" i="31" s="1"/>
  <c r="S232" i="1" s="1"/>
  <c r="S273" i="31"/>
  <c r="S274" i="31" s="1"/>
  <c r="S276" i="31" s="1"/>
  <c r="S279" i="31" s="1"/>
  <c r="S231" i="1" s="1"/>
  <c r="T85" i="7"/>
  <c r="T223" i="31"/>
  <c r="AJ86" i="7"/>
  <c r="AJ224" i="31"/>
  <c r="E145" i="1"/>
  <c r="E251" i="31"/>
  <c r="E104" i="1"/>
  <c r="E105" i="1" s="1"/>
  <c r="E27" i="12"/>
  <c r="E92" i="12" s="1"/>
  <c r="E970" i="1"/>
  <c r="E980" i="1" s="1"/>
  <c r="E262" i="31"/>
  <c r="AF100" i="1"/>
  <c r="AF126" i="7"/>
  <c r="AF282" i="31"/>
  <c r="AF284" i="31" s="1"/>
  <c r="AF232" i="1" s="1"/>
  <c r="AF273" i="31"/>
  <c r="AF274" i="31" s="1"/>
  <c r="AF276" i="31" s="1"/>
  <c r="AF279" i="31" s="1"/>
  <c r="AF231" i="1" s="1"/>
  <c r="AX84" i="7"/>
  <c r="AX222" i="31"/>
  <c r="AX85" i="7"/>
  <c r="AX223" i="31"/>
  <c r="R124" i="7"/>
  <c r="AA132" i="5"/>
  <c r="R557" i="1"/>
  <c r="AT224" i="31"/>
  <c r="AT86" i="7"/>
  <c r="AK124" i="7"/>
  <c r="AT132" i="5"/>
  <c r="AK557" i="1"/>
  <c r="V85" i="7"/>
  <c r="V223" i="31"/>
  <c r="V84" i="7"/>
  <c r="V222" i="31"/>
  <c r="AE85" i="7"/>
  <c r="AE223" i="31"/>
  <c r="AE86" i="7"/>
  <c r="AE224" i="31"/>
  <c r="G27" i="7"/>
  <c r="F8" i="7"/>
  <c r="AU132" i="5"/>
  <c r="AL557" i="1"/>
  <c r="AL124" i="7"/>
  <c r="D20" i="5"/>
  <c r="G113" i="12"/>
  <c r="S87" i="7"/>
  <c r="S225" i="31"/>
  <c r="S86" i="7"/>
  <c r="S224" i="31"/>
  <c r="Y223" i="31"/>
  <c r="Y85" i="7"/>
  <c r="L84" i="7"/>
  <c r="L222" i="31"/>
  <c r="AN85" i="7"/>
  <c r="AN223" i="31"/>
  <c r="AU223" i="31"/>
  <c r="AU85" i="7"/>
  <c r="Z100" i="1"/>
  <c r="Z126" i="7"/>
  <c r="Z282" i="31"/>
  <c r="Z284" i="31" s="1"/>
  <c r="Z232" i="1" s="1"/>
  <c r="Z273" i="31"/>
  <c r="Z274" i="31" s="1"/>
  <c r="Z276" i="31" s="1"/>
  <c r="Z279" i="31" s="1"/>
  <c r="Z231" i="1" s="1"/>
  <c r="AI86" i="7"/>
  <c r="AI224" i="31"/>
  <c r="AF86" i="7"/>
  <c r="AF224" i="31"/>
  <c r="AV156" i="31"/>
  <c r="AV219" i="31"/>
  <c r="AV223" i="31"/>
  <c r="AV85" i="7"/>
  <c r="AX100" i="1"/>
  <c r="AX126" i="7"/>
  <c r="AX282" i="31"/>
  <c r="AX284" i="31" s="1"/>
  <c r="AX232" i="1" s="1"/>
  <c r="AX273" i="31"/>
  <c r="AX274" i="31" s="1"/>
  <c r="AX276" i="31" s="1"/>
  <c r="AX279" i="31" s="1"/>
  <c r="AX231" i="1" s="1"/>
  <c r="R84" i="7"/>
  <c r="R222" i="31"/>
  <c r="AQ156" i="31"/>
  <c r="AQ219" i="31"/>
  <c r="AP126" i="7"/>
  <c r="AP282" i="31"/>
  <c r="AP284" i="31" s="1"/>
  <c r="AP232" i="1" s="1"/>
  <c r="AP100" i="1"/>
  <c r="AP273" i="31"/>
  <c r="AP274" i="31" s="1"/>
  <c r="AP276" i="31" s="1"/>
  <c r="AP279" i="31" s="1"/>
  <c r="AP231" i="1" s="1"/>
  <c r="M86" i="7"/>
  <c r="M224" i="31"/>
  <c r="AK87" i="7"/>
  <c r="AK225" i="31"/>
  <c r="G764" i="1"/>
  <c r="G776" i="1" s="1"/>
  <c r="G765" i="1"/>
  <c r="G868" i="1" s="1"/>
  <c r="X124" i="7"/>
  <c r="AG132" i="5"/>
  <c r="X557" i="1"/>
  <c r="W557" i="1"/>
  <c r="W124" i="7"/>
  <c r="AF132" i="5"/>
  <c r="M116" i="31"/>
  <c r="N116" i="31" s="1"/>
  <c r="Q219" i="31"/>
  <c r="Q156" i="31"/>
  <c r="Q87" i="7"/>
  <c r="Q225" i="31"/>
  <c r="AU124" i="7"/>
  <c r="BD132" i="5"/>
  <c r="AU557" i="1"/>
  <c r="K217" i="31"/>
  <c r="I152" i="31"/>
  <c r="I217" i="31" s="1"/>
  <c r="AD84" i="7"/>
  <c r="AD222" i="31"/>
  <c r="Y132" i="5"/>
  <c r="P124" i="7"/>
  <c r="P557" i="1"/>
  <c r="O100" i="1"/>
  <c r="O126" i="7"/>
  <c r="O282" i="31"/>
  <c r="O284" i="31" s="1"/>
  <c r="O232" i="1" s="1"/>
  <c r="O273" i="31"/>
  <c r="O274" i="31" s="1"/>
  <c r="O276" i="31" s="1"/>
  <c r="O279" i="31" s="1"/>
  <c r="O231" i="1" s="1"/>
  <c r="AG87" i="7"/>
  <c r="AG225" i="31"/>
  <c r="AE557" i="1"/>
  <c r="AE124" i="7"/>
  <c r="AN132" i="5"/>
  <c r="AR86" i="7"/>
  <c r="AR224" i="31"/>
  <c r="AB156" i="31"/>
  <c r="AB219" i="31"/>
  <c r="AO100" i="1"/>
  <c r="AO126" i="7"/>
  <c r="AO282" i="31"/>
  <c r="AO284" i="31" s="1"/>
  <c r="AO232" i="1" s="1"/>
  <c r="AO273" i="31"/>
  <c r="AO274" i="31" s="1"/>
  <c r="AO276" i="31" s="1"/>
  <c r="AO279" i="31" s="1"/>
  <c r="AO231" i="1" s="1"/>
  <c r="AM156" i="31"/>
  <c r="AM219" i="31"/>
  <c r="AM224" i="31"/>
  <c r="AM86" i="7"/>
  <c r="P156" i="31"/>
  <c r="P219" i="31"/>
  <c r="AW86" i="7"/>
  <c r="AW224" i="31"/>
  <c r="V100" i="1"/>
  <c r="V282" i="31"/>
  <c r="V284" i="31" s="1"/>
  <c r="V232" i="1" s="1"/>
  <c r="V126" i="7"/>
  <c r="V273" i="31"/>
  <c r="V274" i="31" s="1"/>
  <c r="V276" i="31" s="1"/>
  <c r="V279" i="31" s="1"/>
  <c r="V231" i="1" s="1"/>
  <c r="X156" i="31"/>
  <c r="X219" i="31"/>
  <c r="X86" i="7"/>
  <c r="X224" i="31"/>
  <c r="AH84" i="7"/>
  <c r="AH222" i="31"/>
  <c r="AH86" i="7"/>
  <c r="AH224" i="31"/>
  <c r="AS86" i="7"/>
  <c r="AS224" i="31"/>
  <c r="AS84" i="7"/>
  <c r="AS222" i="31"/>
  <c r="W86" i="7"/>
  <c r="W224" i="31"/>
  <c r="N85" i="7"/>
  <c r="N223" i="31"/>
  <c r="AL85" i="7"/>
  <c r="AL223" i="31"/>
  <c r="AA84" i="7"/>
  <c r="AA222" i="31"/>
  <c r="AA85" i="7"/>
  <c r="AA223" i="31"/>
  <c r="AB124" i="7"/>
  <c r="AB557" i="1"/>
  <c r="AK132" i="5"/>
  <c r="AO156" i="31"/>
  <c r="AO219" i="31"/>
  <c r="U84" i="7"/>
  <c r="U222" i="31"/>
  <c r="U86" i="7"/>
  <c r="U224" i="31"/>
  <c r="AN282" i="31"/>
  <c r="AN284" i="31" s="1"/>
  <c r="AN232" i="1" s="1"/>
  <c r="AN273" i="31"/>
  <c r="AN274" i="31" s="1"/>
  <c r="AN276" i="31" s="1"/>
  <c r="AN279" i="31" s="1"/>
  <c r="AN231" i="1" s="1"/>
  <c r="AN100" i="1"/>
  <c r="AN126" i="7"/>
  <c r="T86" i="7"/>
  <c r="T224" i="31"/>
  <c r="AJ156" i="31"/>
  <c r="AJ219" i="31"/>
  <c r="AO132" i="5"/>
  <c r="AF124" i="7"/>
  <c r="AF557" i="1"/>
  <c r="AX87" i="7"/>
  <c r="AX225" i="31"/>
  <c r="M557" i="1"/>
  <c r="V132" i="5"/>
  <c r="M124" i="7"/>
  <c r="AT84" i="7"/>
  <c r="AT222" i="31"/>
  <c r="AK100" i="1"/>
  <c r="AK126" i="7"/>
  <c r="AK282" i="31"/>
  <c r="AK284" i="31" s="1"/>
  <c r="AK232" i="1" s="1"/>
  <c r="AK273" i="31"/>
  <c r="AK274" i="31" s="1"/>
  <c r="AK276" i="31" s="1"/>
  <c r="AK279" i="31" s="1"/>
  <c r="AK231" i="1" s="1"/>
  <c r="V87" i="7"/>
  <c r="V225" i="31"/>
  <c r="AE84" i="7"/>
  <c r="AE222" i="31"/>
  <c r="S85" i="7"/>
  <c r="S223" i="31"/>
  <c r="Y87" i="7"/>
  <c r="Y225" i="31"/>
  <c r="L85" i="7"/>
  <c r="L223" i="31"/>
  <c r="AN219" i="31"/>
  <c r="AN156" i="31"/>
  <c r="AN87" i="7"/>
  <c r="AN225" i="31"/>
  <c r="AU86" i="7"/>
  <c r="AU224" i="31"/>
  <c r="AI84" i="7"/>
  <c r="AI222" i="31"/>
  <c r="AF85" i="7"/>
  <c r="AF223" i="31"/>
  <c r="AF84" i="7"/>
  <c r="AF222" i="31"/>
  <c r="AV86" i="7"/>
  <c r="AV224" i="31"/>
  <c r="R85" i="7"/>
  <c r="R223" i="31"/>
  <c r="R87" i="7"/>
  <c r="R225" i="31"/>
  <c r="AQ86" i="7"/>
  <c r="AQ224" i="31"/>
  <c r="AQ87" i="7"/>
  <c r="AQ225" i="31"/>
  <c r="M87" i="7"/>
  <c r="M225" i="31"/>
  <c r="M84" i="7"/>
  <c r="M222" i="31"/>
  <c r="AK84" i="7"/>
  <c r="AK222" i="31"/>
  <c r="AH126" i="7"/>
  <c r="AH100" i="1"/>
  <c r="AH282" i="31"/>
  <c r="AH284" i="31" s="1"/>
  <c r="AH232" i="1" s="1"/>
  <c r="AH273" i="31"/>
  <c r="AH274" i="31" s="1"/>
  <c r="AH276" i="31" s="1"/>
  <c r="AH279" i="31" s="1"/>
  <c r="AH231" i="1" s="1"/>
  <c r="AA126" i="7"/>
  <c r="AA100" i="1"/>
  <c r="AA282" i="31"/>
  <c r="AA284" i="31" s="1"/>
  <c r="AA232" i="1" s="1"/>
  <c r="AA273" i="31"/>
  <c r="AA274" i="31" s="1"/>
  <c r="AA276" i="31" s="1"/>
  <c r="AA279" i="31" s="1"/>
  <c r="AA231" i="1" s="1"/>
  <c r="AL132" i="5"/>
  <c r="AC124" i="7"/>
  <c r="AC557" i="1"/>
  <c r="E286" i="12"/>
  <c r="E298" i="12" s="1"/>
  <c r="E243" i="12"/>
  <c r="G287" i="12"/>
  <c r="G299" i="12" s="1"/>
  <c r="G244" i="12"/>
  <c r="E733" i="1"/>
  <c r="E743" i="1"/>
  <c r="Q223" i="31"/>
  <c r="Q85" i="7"/>
  <c r="I154" i="31"/>
  <c r="I219" i="31" s="1"/>
  <c r="X180" i="31"/>
  <c r="N180" i="31"/>
  <c r="AX180" i="31"/>
  <c r="AN180" i="31"/>
  <c r="AH180" i="31"/>
  <c r="AV180" i="31"/>
  <c r="AP180" i="31"/>
  <c r="S180" i="31"/>
  <c r="O180" i="31"/>
  <c r="AJ180" i="31"/>
  <c r="AS180" i="31"/>
  <c r="AU180" i="31"/>
  <c r="AM180" i="31"/>
  <c r="AF180" i="31"/>
  <c r="P180" i="31"/>
  <c r="V180" i="31"/>
  <c r="AE180" i="31"/>
  <c r="AK180" i="31"/>
  <c r="Q180" i="31"/>
  <c r="R180" i="31"/>
  <c r="M180" i="31"/>
  <c r="AD180" i="31"/>
  <c r="Y180" i="31"/>
  <c r="AB180" i="31"/>
  <c r="AC180" i="31"/>
  <c r="T180" i="31"/>
  <c r="AL180" i="31"/>
  <c r="AR180" i="31"/>
  <c r="K156" i="31"/>
  <c r="Z180" i="31"/>
  <c r="AG180" i="31"/>
  <c r="AO180" i="31"/>
  <c r="AA180" i="31"/>
  <c r="U180" i="31"/>
  <c r="AI180" i="31"/>
  <c r="W180" i="31"/>
  <c r="AW180" i="31"/>
  <c r="AT180" i="31"/>
  <c r="AQ180" i="31"/>
  <c r="L180" i="31"/>
  <c r="K219" i="31"/>
  <c r="K180" i="31"/>
  <c r="I155" i="31"/>
  <c r="I220" i="31" s="1"/>
  <c r="K220" i="31"/>
  <c r="AI126" i="7"/>
  <c r="AI100" i="1"/>
  <c r="AI282" i="31"/>
  <c r="AI284" i="31" s="1"/>
  <c r="AI232" i="1" s="1"/>
  <c r="AI273" i="31"/>
  <c r="AI274" i="31" s="1"/>
  <c r="AI276" i="31" s="1"/>
  <c r="AI279" i="31" s="1"/>
  <c r="AI231" i="1" s="1"/>
  <c r="X132" i="5"/>
  <c r="O124" i="7"/>
  <c r="O557" i="1"/>
  <c r="AW126" i="7"/>
  <c r="AW100" i="1"/>
  <c r="AW273" i="31"/>
  <c r="AW274" i="31" s="1"/>
  <c r="AW276" i="31" s="1"/>
  <c r="AW279" i="31" s="1"/>
  <c r="AW231" i="1" s="1"/>
  <c r="AW282" i="31"/>
  <c r="AW284" i="31" s="1"/>
  <c r="AW232" i="1" s="1"/>
  <c r="AG156" i="31"/>
  <c r="AG219" i="31"/>
  <c r="AG86" i="7"/>
  <c r="AG224" i="31"/>
  <c r="AE100" i="1"/>
  <c r="AE126" i="7"/>
  <c r="AE282" i="31"/>
  <c r="AE284" i="31" s="1"/>
  <c r="AE232" i="1" s="1"/>
  <c r="AE273" i="31"/>
  <c r="AE274" i="31" s="1"/>
  <c r="AE276" i="31" s="1"/>
  <c r="AE279" i="31" s="1"/>
  <c r="AE231" i="1" s="1"/>
  <c r="AR85" i="7"/>
  <c r="AR223" i="31"/>
  <c r="AB86" i="7"/>
  <c r="AB224" i="31"/>
  <c r="AO557" i="1"/>
  <c r="AO124" i="7"/>
  <c r="AX132" i="5"/>
  <c r="AM84" i="7"/>
  <c r="AM222" i="31"/>
  <c r="AM85" i="7"/>
  <c r="AM223" i="31"/>
  <c r="E894" i="1"/>
  <c r="E779" i="1"/>
  <c r="Z85" i="7"/>
  <c r="Z223" i="31"/>
  <c r="O87" i="7"/>
  <c r="O225" i="31"/>
  <c r="AV126" i="7"/>
  <c r="AV100" i="1"/>
  <c r="AV282" i="31"/>
  <c r="AV284" i="31" s="1"/>
  <c r="AV232" i="1" s="1"/>
  <c r="AV273" i="31"/>
  <c r="AV274" i="31" s="1"/>
  <c r="AV276" i="31" s="1"/>
  <c r="AV279" i="31" s="1"/>
  <c r="AV231" i="1" s="1"/>
  <c r="AP84" i="7"/>
  <c r="AP222" i="31"/>
  <c r="O85" i="7"/>
  <c r="O223" i="31"/>
  <c r="AW85" i="7"/>
  <c r="AW223" i="31"/>
  <c r="AS85" i="7"/>
  <c r="AS223" i="31"/>
  <c r="W156" i="31"/>
  <c r="W219" i="31"/>
  <c r="N84" i="7"/>
  <c r="N222" i="31"/>
  <c r="AL225" i="31"/>
  <c r="AL87" i="7"/>
  <c r="AC84" i="7"/>
  <c r="AC222" i="31"/>
  <c r="AO85" i="7"/>
  <c r="AO223" i="31"/>
  <c r="AM124" i="7"/>
  <c r="AV132" i="5"/>
  <c r="AM557" i="1"/>
  <c r="AW132" i="5"/>
  <c r="AN124" i="7"/>
  <c r="AN557" i="1"/>
  <c r="T84" i="7"/>
  <c r="T222" i="31"/>
  <c r="AJ84" i="7"/>
  <c r="AJ222" i="31"/>
  <c r="AJ85" i="7"/>
  <c r="AJ223" i="31"/>
  <c r="Q100" i="1"/>
  <c r="Q126" i="7"/>
  <c r="Q273" i="31"/>
  <c r="Q274" i="31" s="1"/>
  <c r="Q276" i="31" s="1"/>
  <c r="Q279" i="31" s="1"/>
  <c r="Q231" i="1" s="1"/>
  <c r="Q282" i="31"/>
  <c r="Q284" i="31" s="1"/>
  <c r="Q232" i="1" s="1"/>
  <c r="E892" i="1"/>
  <c r="E758" i="1"/>
  <c r="AX156" i="31"/>
  <c r="AX219" i="31"/>
  <c r="M100" i="1"/>
  <c r="M126" i="7"/>
  <c r="M282" i="31"/>
  <c r="M284" i="31" s="1"/>
  <c r="M232" i="1" s="1"/>
  <c r="M273" i="31"/>
  <c r="M274" i="31" s="1"/>
  <c r="M276" i="31" s="1"/>
  <c r="M279" i="31" s="1"/>
  <c r="M231" i="1" s="1"/>
  <c r="AT87" i="7"/>
  <c r="AT225" i="31"/>
  <c r="V156" i="31"/>
  <c r="V219" i="31"/>
  <c r="AG282" i="31"/>
  <c r="AG284" i="31" s="1"/>
  <c r="AG232" i="1" s="1"/>
  <c r="AG273" i="31"/>
  <c r="AG274" i="31" s="1"/>
  <c r="AG276" i="31" s="1"/>
  <c r="AG279" i="31" s="1"/>
  <c r="AG231" i="1" s="1"/>
  <c r="AG100" i="1"/>
  <c r="AG126" i="7"/>
  <c r="AE87" i="7"/>
  <c r="AE225" i="31"/>
  <c r="G165" i="31"/>
  <c r="G83" i="7"/>
  <c r="F78" i="7" s="1"/>
  <c r="S156" i="31"/>
  <c r="S219" i="31"/>
  <c r="Y84" i="7"/>
  <c r="Y222" i="31"/>
  <c r="L219" i="31"/>
  <c r="L156" i="31"/>
  <c r="L86" i="7"/>
  <c r="L224" i="31"/>
  <c r="AN86" i="7"/>
  <c r="AN224" i="31"/>
  <c r="AJ557" i="1"/>
  <c r="AJ124" i="7"/>
  <c r="AS132" i="5"/>
  <c r="AU156" i="31"/>
  <c r="AU219" i="31"/>
  <c r="AU87" i="7"/>
  <c r="AU225" i="31"/>
  <c r="AI85" i="7"/>
  <c r="AI223" i="31"/>
  <c r="AI87" i="7"/>
  <c r="AI225" i="31"/>
  <c r="AF156" i="31"/>
  <c r="AF219" i="31"/>
  <c r="AV84" i="7"/>
  <c r="AV222" i="31"/>
  <c r="R86" i="7"/>
  <c r="R224" i="31"/>
  <c r="AQ85" i="7"/>
  <c r="AQ223" i="31"/>
  <c r="M85" i="7"/>
  <c r="M223" i="31"/>
  <c r="AK85" i="7"/>
  <c r="AK223" i="31"/>
  <c r="AH124" i="7"/>
  <c r="AQ132" i="5"/>
  <c r="AH557" i="1"/>
  <c r="AJ132" i="5"/>
  <c r="AA124" i="7"/>
  <c r="AA557" i="1"/>
  <c r="AC273" i="31"/>
  <c r="AC274" i="31" s="1"/>
  <c r="AC276" i="31" s="1"/>
  <c r="AC279" i="31" s="1"/>
  <c r="AC231" i="1" s="1"/>
  <c r="AC282" i="31"/>
  <c r="AC284" i="31" s="1"/>
  <c r="AC232" i="1" s="1"/>
  <c r="AC126" i="7"/>
  <c r="AC100" i="1"/>
  <c r="G243" i="12"/>
  <c r="G269" i="12"/>
  <c r="G286" i="12"/>
  <c r="G298" i="12" s="1"/>
  <c r="G260" i="12"/>
  <c r="Q84" i="7"/>
  <c r="Q222" i="31"/>
  <c r="K85" i="7"/>
  <c r="I159" i="31"/>
  <c r="K223" i="31"/>
  <c r="K87" i="7"/>
  <c r="I161" i="31"/>
  <c r="K225" i="31"/>
  <c r="AD85" i="7"/>
  <c r="AD223" i="31"/>
  <c r="AD87" i="7"/>
  <c r="AD225" i="31"/>
  <c r="AI124" i="7"/>
  <c r="AR132" i="5"/>
  <c r="AI557" i="1"/>
  <c r="AW124" i="7"/>
  <c r="BF132" i="5"/>
  <c r="AW557" i="1"/>
  <c r="AG85" i="7"/>
  <c r="AG223" i="31"/>
  <c r="S99" i="5"/>
  <c r="B99" i="5"/>
  <c r="AR84" i="7"/>
  <c r="AR222" i="31"/>
  <c r="BB132" i="5"/>
  <c r="AS124" i="7"/>
  <c r="AS557" i="1"/>
  <c r="N124" i="7"/>
  <c r="W132" i="5"/>
  <c r="N557" i="1"/>
  <c r="AB84" i="7"/>
  <c r="AB222" i="31"/>
  <c r="U282" i="31"/>
  <c r="U284" i="31" s="1"/>
  <c r="U232" i="1" s="1"/>
  <c r="U126" i="7"/>
  <c r="U100" i="1"/>
  <c r="U273" i="31"/>
  <c r="U274" i="31" s="1"/>
  <c r="U276" i="31" s="1"/>
  <c r="U279" i="31" s="1"/>
  <c r="U231" i="1" s="1"/>
  <c r="AC132" i="5"/>
  <c r="T124" i="7"/>
  <c r="T557" i="1"/>
  <c r="AD124" i="7"/>
  <c r="AM132" i="5"/>
  <c r="AD557" i="1"/>
  <c r="BE132" i="5"/>
  <c r="AV124" i="7"/>
  <c r="AV557" i="1"/>
  <c r="AP87" i="7"/>
  <c r="AP225" i="31"/>
  <c r="O222" i="31"/>
  <c r="O84" i="7"/>
  <c r="T100" i="1"/>
  <c r="T126" i="7"/>
  <c r="T282" i="31"/>
  <c r="T284" i="31" s="1"/>
  <c r="T232" i="1" s="1"/>
  <c r="T273" i="31"/>
  <c r="T274" i="31" s="1"/>
  <c r="T276" i="31" s="1"/>
  <c r="T279" i="31" s="1"/>
  <c r="T231" i="1" s="1"/>
  <c r="Z87" i="7"/>
  <c r="Z225" i="31"/>
  <c r="AT124" i="7"/>
  <c r="BC132" i="5"/>
  <c r="AT557" i="1"/>
  <c r="AE132" i="5"/>
  <c r="V124" i="7"/>
  <c r="V557" i="1"/>
  <c r="AL156" i="31"/>
  <c r="AL219" i="31"/>
  <c r="AA86" i="7"/>
  <c r="AA224" i="31"/>
  <c r="AC85" i="7"/>
  <c r="AC223" i="31"/>
  <c r="AO87" i="7"/>
  <c r="AO225" i="31"/>
  <c r="G246" i="12"/>
  <c r="G289" i="12"/>
  <c r="G301" i="12" s="1"/>
  <c r="G288" i="12"/>
  <c r="G300" i="12" s="1"/>
  <c r="G245" i="12"/>
  <c r="G264" i="12"/>
  <c r="G247" i="12"/>
  <c r="G270" i="12"/>
  <c r="G290" i="12"/>
  <c r="G302" i="12" s="1"/>
  <c r="G261" i="12"/>
  <c r="Y126" i="7"/>
  <c r="Y100" i="1"/>
  <c r="Y282" i="31"/>
  <c r="Y284" i="31" s="1"/>
  <c r="Y232" i="1" s="1"/>
  <c r="Y273" i="31"/>
  <c r="Y274" i="31" s="1"/>
  <c r="Y276" i="31" s="1"/>
  <c r="Y279" i="31" s="1"/>
  <c r="Y231" i="1" s="1"/>
  <c r="K126" i="7"/>
  <c r="I132" i="31"/>
  <c r="K282" i="31"/>
  <c r="K284" i="31" s="1"/>
  <c r="F133" i="31"/>
  <c r="K273" i="31"/>
  <c r="K274" i="31" s="1"/>
  <c r="K100" i="1"/>
  <c r="Z86" i="7"/>
  <c r="Z224" i="31"/>
  <c r="P86" i="7"/>
  <c r="P224" i="31"/>
  <c r="AQ124" i="7"/>
  <c r="AZ132" i="5"/>
  <c r="AQ557" i="1"/>
  <c r="AP86" i="7"/>
  <c r="AP224" i="31"/>
  <c r="AT126" i="7"/>
  <c r="AT100" i="1"/>
  <c r="AT273" i="31"/>
  <c r="AT274" i="31" s="1"/>
  <c r="AT276" i="31" s="1"/>
  <c r="AT279" i="31" s="1"/>
  <c r="AT231" i="1" s="1"/>
  <c r="AT282" i="31"/>
  <c r="AT284" i="31" s="1"/>
  <c r="AT232" i="1" s="1"/>
  <c r="AW156" i="31"/>
  <c r="AW219" i="31"/>
  <c r="X84" i="7"/>
  <c r="X222" i="31"/>
  <c r="AH87" i="7"/>
  <c r="AH225" i="31"/>
  <c r="AR126" i="7"/>
  <c r="AR100" i="1"/>
  <c r="AR282" i="31"/>
  <c r="AR284" i="31" s="1"/>
  <c r="AR232" i="1" s="1"/>
  <c r="AR273" i="31"/>
  <c r="AR274" i="31" s="1"/>
  <c r="AR276" i="31" s="1"/>
  <c r="AR279" i="31" s="1"/>
  <c r="AR231" i="1" s="1"/>
  <c r="AS156" i="31"/>
  <c r="AS219" i="31"/>
  <c r="W87" i="7"/>
  <c r="W225" i="31"/>
  <c r="N156" i="31"/>
  <c r="N219" i="31"/>
  <c r="N86" i="7"/>
  <c r="N224" i="31"/>
  <c r="AL86" i="7"/>
  <c r="AL224" i="31"/>
  <c r="AA156" i="31"/>
  <c r="AA219" i="31"/>
  <c r="AC156" i="31"/>
  <c r="AC219" i="31"/>
  <c r="AC86" i="7"/>
  <c r="AC224" i="31"/>
  <c r="AO86" i="7"/>
  <c r="AO224" i="31"/>
  <c r="U156" i="31"/>
  <c r="U219" i="31"/>
  <c r="U87" i="7"/>
  <c r="U225" i="31"/>
  <c r="AM100" i="1"/>
  <c r="AM126" i="7"/>
  <c r="AM282" i="31"/>
  <c r="AM284" i="31" s="1"/>
  <c r="AM232" i="1" s="1"/>
  <c r="AM273" i="31"/>
  <c r="AM274" i="31" s="1"/>
  <c r="AM276" i="31" s="1"/>
  <c r="AM279" i="31" s="1"/>
  <c r="AM231" i="1" s="1"/>
  <c r="G293" i="12"/>
  <c r="G305" i="12" s="1"/>
  <c r="G250" i="12"/>
  <c r="S124" i="7"/>
  <c r="AB132" i="5"/>
  <c r="S557" i="1"/>
  <c r="T156" i="31"/>
  <c r="T219" i="31"/>
  <c r="T87" i="7"/>
  <c r="T225" i="31"/>
  <c r="AJ87" i="7"/>
  <c r="AJ225" i="31"/>
  <c r="Z132" i="5"/>
  <c r="Q124" i="7"/>
  <c r="Q557" i="1"/>
  <c r="AX86" i="7"/>
  <c r="AX224" i="31"/>
  <c r="R282" i="31"/>
  <c r="R284" i="31" s="1"/>
  <c r="R232" i="1" s="1"/>
  <c r="R100" i="1"/>
  <c r="R126" i="7"/>
  <c r="R273" i="31"/>
  <c r="R274" i="31" s="1"/>
  <c r="R276" i="31" s="1"/>
  <c r="R279" i="31" s="1"/>
  <c r="R231" i="1" s="1"/>
  <c r="AT156" i="31"/>
  <c r="AT219" i="31"/>
  <c r="AT223" i="31"/>
  <c r="AT85" i="7"/>
  <c r="V86" i="7"/>
  <c r="V224" i="31"/>
  <c r="AP132" i="5"/>
  <c r="AG124" i="7"/>
  <c r="AG557" i="1"/>
  <c r="AE156" i="31"/>
  <c r="AE219" i="31"/>
  <c r="AL100" i="1"/>
  <c r="AL126" i="7"/>
  <c r="AL273" i="31"/>
  <c r="AL274" i="31" s="1"/>
  <c r="AL276" i="31" s="1"/>
  <c r="AL279" i="31" s="1"/>
  <c r="AL231" i="1" s="1"/>
  <c r="AL282" i="31"/>
  <c r="AL284" i="31" s="1"/>
  <c r="AL232" i="1" s="1"/>
  <c r="G249" i="12"/>
  <c r="G292" i="12"/>
  <c r="G304" i="12" s="1"/>
  <c r="G268" i="12"/>
  <c r="G263" i="12"/>
  <c r="S84" i="7"/>
  <c r="S222" i="31"/>
  <c r="Y86" i="7"/>
  <c r="Y224" i="31"/>
  <c r="Y156" i="31"/>
  <c r="Y219" i="31"/>
  <c r="L225" i="31"/>
  <c r="L87" i="7"/>
  <c r="AN84" i="7"/>
  <c r="AN222" i="31"/>
  <c r="AJ126" i="7"/>
  <c r="AJ100" i="1"/>
  <c r="AJ282" i="31"/>
  <c r="AJ284" i="31" s="1"/>
  <c r="AJ232" i="1" s="1"/>
  <c r="AJ273" i="31"/>
  <c r="AJ274" i="31" s="1"/>
  <c r="AJ276" i="31" s="1"/>
  <c r="AJ279" i="31" s="1"/>
  <c r="AJ231" i="1" s="1"/>
  <c r="AU84" i="7"/>
  <c r="AU222" i="31"/>
  <c r="Z124" i="7"/>
  <c r="AI132" i="5"/>
  <c r="Z557" i="1"/>
  <c r="AI156" i="31"/>
  <c r="AI219" i="31"/>
  <c r="AF87" i="7"/>
  <c r="AF225" i="31"/>
  <c r="AV87" i="7"/>
  <c r="AV225" i="31"/>
  <c r="BG132" i="5"/>
  <c r="AX124" i="7"/>
  <c r="AX557" i="1"/>
  <c r="R156" i="31"/>
  <c r="R219" i="31"/>
  <c r="AQ222" i="31"/>
  <c r="AQ84" i="7"/>
  <c r="AY132" i="5"/>
  <c r="AP124" i="7"/>
  <c r="AP557" i="1"/>
  <c r="M156" i="31"/>
  <c r="M219" i="31"/>
  <c r="AK156" i="31"/>
  <c r="AK219" i="31"/>
  <c r="AK86" i="7"/>
  <c r="AK224" i="31"/>
  <c r="X126" i="7"/>
  <c r="X100" i="1"/>
  <c r="X282" i="31"/>
  <c r="X284" i="31" s="1"/>
  <c r="X232" i="1" s="1"/>
  <c r="X273" i="31"/>
  <c r="X274" i="31" s="1"/>
  <c r="X276" i="31" s="1"/>
  <c r="X279" i="31" s="1"/>
  <c r="X231" i="1" s="1"/>
  <c r="W282" i="31"/>
  <c r="W284" i="31" s="1"/>
  <c r="W232" i="1" s="1"/>
  <c r="W126" i="7"/>
  <c r="W273" i="31"/>
  <c r="W274" i="31" s="1"/>
  <c r="W276" i="31" s="1"/>
  <c r="W279" i="31" s="1"/>
  <c r="W231" i="1" s="1"/>
  <c r="W100" i="1"/>
  <c r="E121" i="12"/>
  <c r="N11" i="5"/>
  <c r="E48" i="35" s="1"/>
  <c r="E102" i="12"/>
  <c r="E269" i="12"/>
  <c r="E274" i="12"/>
  <c r="E277" i="12" s="1"/>
  <c r="G112" i="31"/>
  <c r="G121" i="31" s="1"/>
  <c r="G123" i="31"/>
  <c r="G113" i="31"/>
  <c r="G97" i="31"/>
  <c r="G122" i="31"/>
  <c r="Q86" i="7"/>
  <c r="Q224" i="31"/>
  <c r="AU282" i="31"/>
  <c r="AU284" i="31" s="1"/>
  <c r="AU232" i="1" s="1"/>
  <c r="AU273" i="31"/>
  <c r="AU274" i="31" s="1"/>
  <c r="AU276" i="31" s="1"/>
  <c r="AU279" i="31" s="1"/>
  <c r="AU231" i="1" s="1"/>
  <c r="AU126" i="7"/>
  <c r="AU100" i="1"/>
  <c r="I158" i="31"/>
  <c r="K222" i="31"/>
  <c r="K84" i="7"/>
  <c r="I160" i="31"/>
  <c r="K224" i="31"/>
  <c r="K86" i="7"/>
  <c r="AD219" i="31"/>
  <c r="AD156" i="31"/>
  <c r="AD86" i="7"/>
  <c r="AD224" i="31"/>
  <c r="P282" i="31"/>
  <c r="P284" i="31" s="1"/>
  <c r="P232" i="1" s="1"/>
  <c r="P100" i="1"/>
  <c r="P126" i="7"/>
  <c r="P273" i="31"/>
  <c r="P274" i="31" s="1"/>
  <c r="P276" i="31" s="1"/>
  <c r="P279" i="31" s="1"/>
  <c r="P231" i="1" s="1"/>
  <c r="AG84" i="7"/>
  <c r="AG222" i="31"/>
  <c r="AR156" i="31"/>
  <c r="AR219" i="31"/>
  <c r="AR87" i="7"/>
  <c r="AR225" i="31"/>
  <c r="AS282" i="31"/>
  <c r="AS284" i="31" s="1"/>
  <c r="AS232" i="1" s="1"/>
  <c r="AS273" i="31"/>
  <c r="AS274" i="31" s="1"/>
  <c r="AS276" i="31" s="1"/>
  <c r="AS279" i="31" s="1"/>
  <c r="AS231" i="1" s="1"/>
  <c r="AS100" i="1"/>
  <c r="AS126" i="7"/>
  <c r="N282" i="31"/>
  <c r="N284" i="31" s="1"/>
  <c r="N232" i="1" s="1"/>
  <c r="N273" i="31"/>
  <c r="N274" i="31" s="1"/>
  <c r="N276" i="31" s="1"/>
  <c r="N279" i="31" s="1"/>
  <c r="N231" i="1" s="1"/>
  <c r="N126" i="7"/>
  <c r="N100" i="1"/>
  <c r="AB87" i="7"/>
  <c r="AB225" i="31"/>
  <c r="AB85" i="7"/>
  <c r="AB223" i="31"/>
  <c r="U124" i="7"/>
  <c r="AD132" i="5"/>
  <c r="U557" i="1"/>
  <c r="AM87" i="7"/>
  <c r="AM225" i="31"/>
  <c r="E870" i="1"/>
  <c r="E895" i="1"/>
  <c r="M233" i="1" l="1"/>
  <c r="M293" i="1" s="1"/>
  <c r="M295" i="1" s="1"/>
  <c r="AF233" i="1"/>
  <c r="AF293" i="1" s="1"/>
  <c r="AF295" i="1" s="1"/>
  <c r="AT233" i="1"/>
  <c r="AT293" i="1" s="1"/>
  <c r="AT295" i="1" s="1"/>
  <c r="V233" i="1"/>
  <c r="V293" i="1" s="1"/>
  <c r="V295" i="1" s="1"/>
  <c r="S233" i="1"/>
  <c r="S293" i="1" s="1"/>
  <c r="S295" i="1" s="1"/>
  <c r="U233" i="1"/>
  <c r="U293" i="1" s="1"/>
  <c r="U295" i="1" s="1"/>
  <c r="AC233" i="1"/>
  <c r="AC293" i="1" s="1"/>
  <c r="AC295" i="1" s="1"/>
  <c r="AV233" i="1"/>
  <c r="AV293" i="1" s="1"/>
  <c r="AV295" i="1" s="1"/>
  <c r="AH233" i="1"/>
  <c r="AH293" i="1" s="1"/>
  <c r="AH295" i="1" s="1"/>
  <c r="O116" i="31"/>
  <c r="P116" i="31" s="1"/>
  <c r="Q116" i="31" s="1"/>
  <c r="X233" i="1"/>
  <c r="X293" i="1" s="1"/>
  <c r="X295" i="1" s="1"/>
  <c r="P177" i="31"/>
  <c r="P790" i="1" s="1"/>
  <c r="W177" i="31"/>
  <c r="W1051" i="1" s="1"/>
  <c r="N233" i="1"/>
  <c r="N293" i="1" s="1"/>
  <c r="N295" i="1" s="1"/>
  <c r="AS233" i="1"/>
  <c r="AS293" i="1" s="1"/>
  <c r="AS295" i="1" s="1"/>
  <c r="AU233" i="1"/>
  <c r="AU293" i="1" s="1"/>
  <c r="AU295" i="1" s="1"/>
  <c r="AX233" i="1"/>
  <c r="AX293" i="1" s="1"/>
  <c r="AX295" i="1" s="1"/>
  <c r="K177" i="31"/>
  <c r="K1051" i="1" s="1"/>
  <c r="AM177" i="31"/>
  <c r="AM790" i="1" s="1"/>
  <c r="AP177" i="31"/>
  <c r="AP790" i="1" s="1"/>
  <c r="AL177" i="31"/>
  <c r="AL1051" i="1" s="1"/>
  <c r="AO177" i="31"/>
  <c r="AO1051" i="1" s="1"/>
  <c r="R177" i="31"/>
  <c r="R790" i="1" s="1"/>
  <c r="AN177" i="31"/>
  <c r="AN1051" i="1" s="1"/>
  <c r="AW177" i="31"/>
  <c r="AW790" i="1" s="1"/>
  <c r="P233" i="1"/>
  <c r="P293" i="1" s="1"/>
  <c r="P295" i="1" s="1"/>
  <c r="AM233" i="1"/>
  <c r="AM293" i="1" s="1"/>
  <c r="AM295" i="1" s="1"/>
  <c r="Q233" i="1"/>
  <c r="Q293" i="1" s="1"/>
  <c r="Q295" i="1" s="1"/>
  <c r="M177" i="31"/>
  <c r="M1051" i="1" s="1"/>
  <c r="AJ177" i="31"/>
  <c r="AJ790" i="1" s="1"/>
  <c r="AQ177" i="31"/>
  <c r="AQ1051" i="1" s="1"/>
  <c r="T177" i="31"/>
  <c r="T1051" i="1" s="1"/>
  <c r="AU177" i="31"/>
  <c r="AU1051" i="1" s="1"/>
  <c r="O177" i="31"/>
  <c r="O1051" i="1" s="1"/>
  <c r="L177" i="31"/>
  <c r="L1051" i="1" s="1"/>
  <c r="AE177" i="31"/>
  <c r="AE790" i="1" s="1"/>
  <c r="X177" i="31"/>
  <c r="X1051" i="1" s="1"/>
  <c r="AK177" i="31"/>
  <c r="AK1051" i="1" s="1"/>
  <c r="AA177" i="31"/>
  <c r="AA1051" i="1" s="1"/>
  <c r="AI177" i="31"/>
  <c r="AI790" i="1" s="1"/>
  <c r="AE233" i="1"/>
  <c r="AE293" i="1" s="1"/>
  <c r="AE295" i="1" s="1"/>
  <c r="AI233" i="1"/>
  <c r="AI293" i="1" s="1"/>
  <c r="AI295" i="1" s="1"/>
  <c r="AT177" i="31"/>
  <c r="AT790" i="1" s="1"/>
  <c r="AB177" i="31"/>
  <c r="AB790" i="1" s="1"/>
  <c r="Y177" i="31"/>
  <c r="Y1051" i="1" s="1"/>
  <c r="AG177" i="31"/>
  <c r="AG1051" i="1" s="1"/>
  <c r="V177" i="31"/>
  <c r="V1051" i="1" s="1"/>
  <c r="U177" i="31"/>
  <c r="U790" i="1" s="1"/>
  <c r="AF177" i="31"/>
  <c r="AF790" i="1" s="1"/>
  <c r="AS177" i="31"/>
  <c r="AS1051" i="1" s="1"/>
  <c r="AX177" i="31"/>
  <c r="AX1051" i="1" s="1"/>
  <c r="AD233" i="1"/>
  <c r="AD293" i="1" s="1"/>
  <c r="AD295" i="1" s="1"/>
  <c r="N177" i="31"/>
  <c r="N1051" i="1" s="1"/>
  <c r="AR177" i="31"/>
  <c r="AR790" i="1" s="1"/>
  <c r="S177" i="31"/>
  <c r="S790" i="1" s="1"/>
  <c r="AV177" i="31"/>
  <c r="AV790" i="1" s="1"/>
  <c r="Z177" i="31"/>
  <c r="Z1051" i="1" s="1"/>
  <c r="AC177" i="31"/>
  <c r="AC790" i="1" s="1"/>
  <c r="AH177" i="31"/>
  <c r="AH790" i="1" s="1"/>
  <c r="AD177" i="31"/>
  <c r="AD1051" i="1" s="1"/>
  <c r="Q177" i="31"/>
  <c r="Q1051" i="1" s="1"/>
  <c r="AK233" i="1"/>
  <c r="AK293" i="1" s="1"/>
  <c r="AK295" i="1" s="1"/>
  <c r="AB233" i="1"/>
  <c r="AB293" i="1" s="1"/>
  <c r="AB295" i="1" s="1"/>
  <c r="L233" i="1"/>
  <c r="L293" i="1" s="1"/>
  <c r="L295" i="1" s="1"/>
  <c r="L481" i="1" s="1"/>
  <c r="AK83" i="7"/>
  <c r="AK165" i="31"/>
  <c r="AX559" i="1"/>
  <c r="AX565" i="1" s="1"/>
  <c r="AX570" i="1"/>
  <c r="AR83" i="7"/>
  <c r="AR165" i="31"/>
  <c r="M83" i="7"/>
  <c r="M165" i="31"/>
  <c r="AI83" i="7"/>
  <c r="AI165" i="31"/>
  <c r="AJ233" i="1"/>
  <c r="AJ293" i="1" s="1"/>
  <c r="AJ295" i="1" s="1"/>
  <c r="AJ481" i="1" s="1"/>
  <c r="Y165" i="31"/>
  <c r="Y83" i="7"/>
  <c r="AL233" i="1"/>
  <c r="AL293" i="1" s="1"/>
  <c r="AL295" i="1" s="1"/>
  <c r="AL481" i="1" s="1"/>
  <c r="R233" i="1"/>
  <c r="R293" i="1" s="1"/>
  <c r="R295" i="1" s="1"/>
  <c r="R481" i="1" s="1"/>
  <c r="Q559" i="1"/>
  <c r="Q565" i="1" s="1"/>
  <c r="AW83" i="7"/>
  <c r="AW165" i="31"/>
  <c r="F101" i="1"/>
  <c r="AQ102" i="1" s="1"/>
  <c r="I282" i="31"/>
  <c r="I273" i="31"/>
  <c r="I100" i="1"/>
  <c r="I126" i="7"/>
  <c r="Y233" i="1"/>
  <c r="Y293" i="1" s="1"/>
  <c r="Y295" i="1" s="1"/>
  <c r="Y481" i="1" s="1"/>
  <c r="AL165" i="31"/>
  <c r="AL83" i="7"/>
  <c r="T559" i="1"/>
  <c r="T565" i="1" s="1"/>
  <c r="L83" i="7"/>
  <c r="L165" i="31"/>
  <c r="V83" i="7"/>
  <c r="V165" i="31"/>
  <c r="AX165" i="31"/>
  <c r="AX83" i="7"/>
  <c r="L327" i="1"/>
  <c r="L791" i="1"/>
  <c r="L182" i="31"/>
  <c r="L108" i="1"/>
  <c r="L509" i="1"/>
  <c r="AW791" i="1"/>
  <c r="AW327" i="1"/>
  <c r="AW182" i="31"/>
  <c r="AW108" i="1"/>
  <c r="AW509" i="1"/>
  <c r="AI182" i="31"/>
  <c r="AI108" i="1"/>
  <c r="AI509" i="1"/>
  <c r="AI791" i="1"/>
  <c r="AI327" i="1"/>
  <c r="AR791" i="1"/>
  <c r="AR108" i="1"/>
  <c r="AR509" i="1"/>
  <c r="AR182" i="31"/>
  <c r="AR327" i="1"/>
  <c r="AC327" i="1"/>
  <c r="AC182" i="31"/>
  <c r="AC108" i="1"/>
  <c r="AC509" i="1"/>
  <c r="AC791" i="1"/>
  <c r="Y182" i="31"/>
  <c r="Y509" i="1"/>
  <c r="Y108" i="1"/>
  <c r="Y327" i="1"/>
  <c r="Y791" i="1"/>
  <c r="AK182" i="31"/>
  <c r="AK509" i="1"/>
  <c r="AK108" i="1"/>
  <c r="AK791" i="1"/>
  <c r="AK327" i="1"/>
  <c r="P182" i="31"/>
  <c r="P108" i="1"/>
  <c r="P509" i="1"/>
  <c r="P327" i="1"/>
  <c r="P791" i="1"/>
  <c r="AJ182" i="31"/>
  <c r="AJ108" i="1"/>
  <c r="AJ509" i="1"/>
  <c r="AJ791" i="1"/>
  <c r="AJ327" i="1"/>
  <c r="AP509" i="1"/>
  <c r="AP182" i="31"/>
  <c r="AP108" i="1"/>
  <c r="AP791" i="1"/>
  <c r="AP327" i="1"/>
  <c r="AN182" i="31"/>
  <c r="AN108" i="1"/>
  <c r="AN327" i="1"/>
  <c r="AN509" i="1"/>
  <c r="AN791" i="1"/>
  <c r="AA233" i="1"/>
  <c r="AA293" i="1" s="1"/>
  <c r="AA295" i="1" s="1"/>
  <c r="AA481" i="1" s="1"/>
  <c r="AN165" i="31"/>
  <c r="AN83" i="7"/>
  <c r="M570" i="1"/>
  <c r="M559" i="1"/>
  <c r="M565" i="1" s="1"/>
  <c r="AB559" i="1"/>
  <c r="AB565" i="1" s="1"/>
  <c r="X165" i="31"/>
  <c r="X83" i="7"/>
  <c r="AO233" i="1"/>
  <c r="AO293" i="1" s="1"/>
  <c r="AO295" i="1" s="1"/>
  <c r="AO481" i="1" s="1"/>
  <c r="P559" i="1"/>
  <c r="P565" i="1" s="1"/>
  <c r="X559" i="1"/>
  <c r="X565" i="1" s="1"/>
  <c r="AP233" i="1"/>
  <c r="AP293" i="1" s="1"/>
  <c r="AP295" i="1" s="1"/>
  <c r="AP481" i="1" s="1"/>
  <c r="AH83" i="7"/>
  <c r="AH165" i="31"/>
  <c r="L570" i="1"/>
  <c r="L559" i="1"/>
  <c r="L565" i="1" s="1"/>
  <c r="U559" i="1"/>
  <c r="U565" i="1" s="1"/>
  <c r="R165" i="31"/>
  <c r="R83" i="7"/>
  <c r="Z559" i="1"/>
  <c r="Z565" i="1" s="1"/>
  <c r="AE165" i="31"/>
  <c r="AE83" i="7"/>
  <c r="T165" i="31"/>
  <c r="T83" i="7"/>
  <c r="U83" i="7"/>
  <c r="U165" i="31"/>
  <c r="N165" i="31"/>
  <c r="N83" i="7"/>
  <c r="I274" i="31"/>
  <c r="I276" i="31" s="1"/>
  <c r="K276" i="31"/>
  <c r="K279" i="31" s="1"/>
  <c r="T233" i="1"/>
  <c r="T293" i="1" s="1"/>
  <c r="T295" i="1" s="1"/>
  <c r="T481" i="1" s="1"/>
  <c r="AD559" i="1"/>
  <c r="AD565" i="1" s="1"/>
  <c r="AW570" i="1"/>
  <c r="AW559" i="1"/>
  <c r="AW565" i="1" s="1"/>
  <c r="I223" i="31"/>
  <c r="I85" i="7"/>
  <c r="AH559" i="1"/>
  <c r="AH565" i="1" s="1"/>
  <c r="AG233" i="1"/>
  <c r="AG293" i="1" s="1"/>
  <c r="AG295" i="1" s="1"/>
  <c r="AG481" i="1" s="1"/>
  <c r="AM559" i="1"/>
  <c r="AM565" i="1" s="1"/>
  <c r="AO559" i="1"/>
  <c r="AO565" i="1" s="1"/>
  <c r="AG83" i="7"/>
  <c r="AG165" i="31"/>
  <c r="O559" i="1"/>
  <c r="O565" i="1" s="1"/>
  <c r="K108" i="1"/>
  <c r="K182" i="31"/>
  <c r="K509" i="1"/>
  <c r="K791" i="1"/>
  <c r="F183" i="31"/>
  <c r="C21" i="5" s="1"/>
  <c r="K327" i="1"/>
  <c r="K181" i="31"/>
  <c r="U791" i="1"/>
  <c r="U327" i="1"/>
  <c r="U509" i="1"/>
  <c r="U182" i="31"/>
  <c r="U108" i="1"/>
  <c r="Z108" i="1"/>
  <c r="Z791" i="1"/>
  <c r="Z509" i="1"/>
  <c r="Z182" i="31"/>
  <c r="Z327" i="1"/>
  <c r="AL509" i="1"/>
  <c r="AL182" i="31"/>
  <c r="AL327" i="1"/>
  <c r="AL108" i="1"/>
  <c r="AL791" i="1"/>
  <c r="AB182" i="31"/>
  <c r="AB108" i="1"/>
  <c r="AB509" i="1"/>
  <c r="AB791" i="1"/>
  <c r="AB327" i="1"/>
  <c r="AD108" i="1"/>
  <c r="AD791" i="1"/>
  <c r="AD509" i="1"/>
  <c r="AD182" i="31"/>
  <c r="AD327" i="1"/>
  <c r="AE108" i="1"/>
  <c r="AE509" i="1"/>
  <c r="AE791" i="1"/>
  <c r="AE182" i="31"/>
  <c r="AE327" i="1"/>
  <c r="AF182" i="31"/>
  <c r="AF327" i="1"/>
  <c r="AF509" i="1"/>
  <c r="AF108" i="1"/>
  <c r="AF791" i="1"/>
  <c r="S791" i="1"/>
  <c r="S108" i="1"/>
  <c r="S182" i="31"/>
  <c r="S509" i="1"/>
  <c r="S327" i="1"/>
  <c r="AH108" i="1"/>
  <c r="AH509" i="1"/>
  <c r="AH182" i="31"/>
  <c r="AH327" i="1"/>
  <c r="AH791" i="1"/>
  <c r="AX108" i="1"/>
  <c r="AX182" i="31"/>
  <c r="AX509" i="1"/>
  <c r="AX327" i="1"/>
  <c r="AX791" i="1"/>
  <c r="AC559" i="1"/>
  <c r="AC565" i="1" s="1"/>
  <c r="AF559" i="1"/>
  <c r="AF565" i="1" s="1"/>
  <c r="AJ83" i="7"/>
  <c r="AJ165" i="31"/>
  <c r="AO165" i="31"/>
  <c r="AO83" i="7"/>
  <c r="AV165" i="31"/>
  <c r="AV83" i="7"/>
  <c r="O83" i="7"/>
  <c r="O165" i="31"/>
  <c r="K570" i="1"/>
  <c r="K559" i="1"/>
  <c r="K565" i="1" s="1"/>
  <c r="Y559" i="1"/>
  <c r="Y565" i="1" s="1"/>
  <c r="G226" i="31"/>
  <c r="G162" i="31"/>
  <c r="G88" i="7" s="1"/>
  <c r="AA83" i="7"/>
  <c r="AA165" i="31"/>
  <c r="AS165" i="31"/>
  <c r="AS83" i="7"/>
  <c r="AQ559" i="1"/>
  <c r="AQ570" i="1"/>
  <c r="C20" i="5"/>
  <c r="F113" i="12"/>
  <c r="AT559" i="1"/>
  <c r="AT565" i="1" s="1"/>
  <c r="AT570" i="1"/>
  <c r="AV559" i="1"/>
  <c r="AV565" i="1" s="1"/>
  <c r="AV570" i="1"/>
  <c r="AS559" i="1"/>
  <c r="AS565" i="1" s="1"/>
  <c r="AS570" i="1"/>
  <c r="AI559" i="1"/>
  <c r="AI565" i="1" s="1"/>
  <c r="I87" i="7"/>
  <c r="I225" i="31"/>
  <c r="AA559" i="1"/>
  <c r="AA565" i="1" s="1"/>
  <c r="AJ559" i="1"/>
  <c r="E764" i="1"/>
  <c r="E776" i="1" s="1"/>
  <c r="E765" i="1"/>
  <c r="E868" i="1" s="1"/>
  <c r="AN559" i="1"/>
  <c r="AN565" i="1" s="1"/>
  <c r="AQ791" i="1"/>
  <c r="AQ327" i="1"/>
  <c r="AQ509" i="1"/>
  <c r="AQ182" i="31"/>
  <c r="AQ108" i="1"/>
  <c r="AA327" i="1"/>
  <c r="AA509" i="1"/>
  <c r="AA108" i="1"/>
  <c r="AA791" i="1"/>
  <c r="AA182" i="31"/>
  <c r="AG108" i="1"/>
  <c r="AG509" i="1"/>
  <c r="AG182" i="31"/>
  <c r="AG791" i="1"/>
  <c r="AG327" i="1"/>
  <c r="M509" i="1"/>
  <c r="M327" i="1"/>
  <c r="M108" i="1"/>
  <c r="M182" i="31"/>
  <c r="M791" i="1"/>
  <c r="R182" i="31"/>
  <c r="R108" i="1"/>
  <c r="R509" i="1"/>
  <c r="R791" i="1"/>
  <c r="R327" i="1"/>
  <c r="AM182" i="31"/>
  <c r="AM108" i="1"/>
  <c r="AM509" i="1"/>
  <c r="AM791" i="1"/>
  <c r="AM327" i="1"/>
  <c r="AV509" i="1"/>
  <c r="AV108" i="1"/>
  <c r="AV182" i="31"/>
  <c r="AV791" i="1"/>
  <c r="AV327" i="1"/>
  <c r="AB83" i="7"/>
  <c r="AB165" i="31"/>
  <c r="AE559" i="1"/>
  <c r="AE565" i="1" s="1"/>
  <c r="AU570" i="1"/>
  <c r="AU559" i="1"/>
  <c r="AU565" i="1" s="1"/>
  <c r="AQ165" i="31"/>
  <c r="AQ83" i="7"/>
  <c r="R559" i="1"/>
  <c r="R565" i="1" s="1"/>
  <c r="N14" i="5"/>
  <c r="E51" i="35" s="1"/>
  <c r="E124" i="12"/>
  <c r="E105" i="12"/>
  <c r="AP83" i="7"/>
  <c r="AP165" i="31"/>
  <c r="AP559" i="1"/>
  <c r="AP565" i="1" s="1"/>
  <c r="AP570" i="1"/>
  <c r="AG559" i="1"/>
  <c r="AG565" i="1" s="1"/>
  <c r="AD165" i="31"/>
  <c r="AD83" i="7"/>
  <c r="I224" i="31"/>
  <c r="I86" i="7"/>
  <c r="I84" i="7"/>
  <c r="I222" i="31"/>
  <c r="W233" i="1"/>
  <c r="W293" i="1" s="1"/>
  <c r="W295" i="1" s="1"/>
  <c r="W481" i="1" s="1"/>
  <c r="AT83" i="7"/>
  <c r="AT165" i="31"/>
  <c r="S559" i="1"/>
  <c r="S565" i="1" s="1"/>
  <c r="AC83" i="7"/>
  <c r="AC165" i="31"/>
  <c r="AR233" i="1"/>
  <c r="AR293" i="1" s="1"/>
  <c r="AR295" i="1" s="1"/>
  <c r="AR481" i="1" s="1"/>
  <c r="I284" i="31"/>
  <c r="I232" i="1" s="1"/>
  <c r="K232" i="1"/>
  <c r="V559" i="1"/>
  <c r="V565" i="1" s="1"/>
  <c r="N559" i="1"/>
  <c r="N565" i="1" s="1"/>
  <c r="N570" i="1"/>
  <c r="AF83" i="7"/>
  <c r="AF165" i="31"/>
  <c r="AU165" i="31"/>
  <c r="AU83" i="7"/>
  <c r="S83" i="7"/>
  <c r="S165" i="31"/>
  <c r="W83" i="7"/>
  <c r="W165" i="31"/>
  <c r="AW233" i="1"/>
  <c r="AW293" i="1" s="1"/>
  <c r="AW295" i="1" s="1"/>
  <c r="AW481" i="1" s="1"/>
  <c r="AT791" i="1"/>
  <c r="AT327" i="1"/>
  <c r="AT182" i="31"/>
  <c r="AT108" i="1"/>
  <c r="AT509" i="1"/>
  <c r="W327" i="1"/>
  <c r="W791" i="1"/>
  <c r="W509" i="1"/>
  <c r="W108" i="1"/>
  <c r="W182" i="31"/>
  <c r="AO327" i="1"/>
  <c r="AO791" i="1"/>
  <c r="AO108" i="1"/>
  <c r="AO509" i="1"/>
  <c r="AO182" i="31"/>
  <c r="I156" i="31"/>
  <c r="K83" i="7"/>
  <c r="K165" i="31"/>
  <c r="T791" i="1"/>
  <c r="T509" i="1"/>
  <c r="T108" i="1"/>
  <c r="T182" i="31"/>
  <c r="T327" i="1"/>
  <c r="Q182" i="31"/>
  <c r="Q327" i="1"/>
  <c r="Q108" i="1"/>
  <c r="Q509" i="1"/>
  <c r="Q791" i="1"/>
  <c r="V182" i="31"/>
  <c r="V509" i="1"/>
  <c r="V108" i="1"/>
  <c r="V791" i="1"/>
  <c r="V327" i="1"/>
  <c r="AU509" i="1"/>
  <c r="AU182" i="31"/>
  <c r="AU108" i="1"/>
  <c r="AU791" i="1"/>
  <c r="AU327" i="1"/>
  <c r="AS108" i="1"/>
  <c r="AS791" i="1"/>
  <c r="AS182" i="31"/>
  <c r="AS509" i="1"/>
  <c r="AS327" i="1"/>
  <c r="O108" i="1"/>
  <c r="O182" i="31"/>
  <c r="O509" i="1"/>
  <c r="O327" i="1"/>
  <c r="O791" i="1"/>
  <c r="N108" i="1"/>
  <c r="N509" i="1"/>
  <c r="N791" i="1"/>
  <c r="N327" i="1"/>
  <c r="N182" i="31"/>
  <c r="X108" i="1"/>
  <c r="X182" i="31"/>
  <c r="X509" i="1"/>
  <c r="X327" i="1"/>
  <c r="X791" i="1"/>
  <c r="E893" i="1"/>
  <c r="E778" i="1"/>
  <c r="AN233" i="1"/>
  <c r="AN293" i="1" s="1"/>
  <c r="AN295" i="1" s="1"/>
  <c r="AN481" i="1" s="1"/>
  <c r="P83" i="7"/>
  <c r="P165" i="31"/>
  <c r="AM165" i="31"/>
  <c r="AM83" i="7"/>
  <c r="O233" i="1"/>
  <c r="O293" i="1" s="1"/>
  <c r="O295" i="1" s="1"/>
  <c r="O481" i="1" s="1"/>
  <c r="Q165" i="31"/>
  <c r="Q83" i="7"/>
  <c r="W559" i="1"/>
  <c r="W565" i="1" s="1"/>
  <c r="Z233" i="1"/>
  <c r="Z293" i="1" s="1"/>
  <c r="Z295" i="1" s="1"/>
  <c r="Z481" i="1" s="1"/>
  <c r="AL559" i="1"/>
  <c r="AK559" i="1"/>
  <c r="AK565" i="1" s="1"/>
  <c r="AR559" i="1"/>
  <c r="AR565" i="1" s="1"/>
  <c r="AR570" i="1"/>
  <c r="AQ233" i="1"/>
  <c r="AQ293" i="1" s="1"/>
  <c r="AQ295" i="1" s="1"/>
  <c r="AQ481" i="1" s="1"/>
  <c r="Z165" i="31"/>
  <c r="Z83" i="7"/>
  <c r="L297" i="1" l="1"/>
  <c r="AU591" i="1"/>
  <c r="AU481" i="1"/>
  <c r="AB728" i="1"/>
  <c r="AB738" i="1" s="1"/>
  <c r="AB748" i="1" s="1"/>
  <c r="AB860" i="1" s="1"/>
  <c r="AB864" i="1" s="1"/>
  <c r="AB481" i="1"/>
  <c r="AS481" i="1"/>
  <c r="AC297" i="1"/>
  <c r="AC481" i="1"/>
  <c r="AK481" i="1"/>
  <c r="N481" i="1"/>
  <c r="U591" i="1"/>
  <c r="U481" i="1"/>
  <c r="S481" i="1"/>
  <c r="AV481" i="1"/>
  <c r="AD591" i="1"/>
  <c r="AD481" i="1"/>
  <c r="Q313" i="1"/>
  <c r="Q481" i="1"/>
  <c r="V728" i="1"/>
  <c r="V738" i="1" s="1"/>
  <c r="V748" i="1" s="1"/>
  <c r="V860" i="1" s="1"/>
  <c r="V864" i="1" s="1"/>
  <c r="V481" i="1"/>
  <c r="AM1105" i="1"/>
  <c r="AM481" i="1"/>
  <c r="X313" i="1"/>
  <c r="X481" i="1"/>
  <c r="AT313" i="1"/>
  <c r="AT481" i="1"/>
  <c r="AI313" i="1"/>
  <c r="AI481" i="1"/>
  <c r="P481" i="1"/>
  <c r="AF313" i="1"/>
  <c r="AF481" i="1"/>
  <c r="AE313" i="1"/>
  <c r="AE481" i="1"/>
  <c r="AX297" i="1"/>
  <c r="AX481" i="1"/>
  <c r="AH591" i="1"/>
  <c r="AH481" i="1"/>
  <c r="M313" i="1"/>
  <c r="M481" i="1"/>
  <c r="AX1105" i="1"/>
  <c r="AH313" i="1"/>
  <c r="AH728" i="1"/>
  <c r="AH738" i="1" s="1"/>
  <c r="AH748" i="1" s="1"/>
  <c r="AH860" i="1" s="1"/>
  <c r="AH864" i="1" s="1"/>
  <c r="AX313" i="1"/>
  <c r="M591" i="1"/>
  <c r="M728" i="1"/>
  <c r="M738" i="1" s="1"/>
  <c r="M748" i="1" s="1"/>
  <c r="M860" i="1" s="1"/>
  <c r="M864" i="1" s="1"/>
  <c r="M297" i="1"/>
  <c r="AX728" i="1"/>
  <c r="AX738" i="1" s="1"/>
  <c r="AX748" i="1" s="1"/>
  <c r="AX860" i="1" s="1"/>
  <c r="AX864" i="1" s="1"/>
  <c r="AH297" i="1"/>
  <c r="AH1105" i="1"/>
  <c r="M1105" i="1"/>
  <c r="AX591" i="1"/>
  <c r="W790" i="1"/>
  <c r="S313" i="1"/>
  <c r="S728" i="1"/>
  <c r="S738" i="1" s="1"/>
  <c r="S748" i="1" s="1"/>
  <c r="S860" i="1" s="1"/>
  <c r="S864" i="1" s="1"/>
  <c r="AC1051" i="1"/>
  <c r="AI728" i="1"/>
  <c r="AI738" i="1" s="1"/>
  <c r="AI748" i="1" s="1"/>
  <c r="AI860" i="1" s="1"/>
  <c r="AI864" i="1" s="1"/>
  <c r="S297" i="1"/>
  <c r="S1105" i="1"/>
  <c r="S591" i="1"/>
  <c r="AF297" i="1"/>
  <c r="AF591" i="1"/>
  <c r="AG790" i="1"/>
  <c r="X790" i="1"/>
  <c r="AL790" i="1"/>
  <c r="M790" i="1"/>
  <c r="AK1105" i="1"/>
  <c r="AO790" i="1"/>
  <c r="AS790" i="1"/>
  <c r="AI1105" i="1"/>
  <c r="AF728" i="1"/>
  <c r="AF738" i="1" s="1"/>
  <c r="AF748" i="1" s="1"/>
  <c r="AF860" i="1" s="1"/>
  <c r="AF864" i="1" s="1"/>
  <c r="O790" i="1"/>
  <c r="AI591" i="1"/>
  <c r="AU790" i="1"/>
  <c r="AF1105" i="1"/>
  <c r="AK313" i="1"/>
  <c r="AI297" i="1"/>
  <c r="AA790" i="1"/>
  <c r="X591" i="1"/>
  <c r="AS591" i="1"/>
  <c r="AX790" i="1"/>
  <c r="V790" i="1"/>
  <c r="AS728" i="1"/>
  <c r="AS738" i="1" s="1"/>
  <c r="AS748" i="1" s="1"/>
  <c r="AS860" i="1" s="1"/>
  <c r="AS864" i="1" s="1"/>
  <c r="L790" i="1"/>
  <c r="AQ790" i="1"/>
  <c r="U728" i="1"/>
  <c r="U738" i="1" s="1"/>
  <c r="U748" i="1" s="1"/>
  <c r="U860" i="1" s="1"/>
  <c r="U864" i="1" s="1"/>
  <c r="N591" i="1"/>
  <c r="AM728" i="1"/>
  <c r="AM738" i="1" s="1"/>
  <c r="AM748" i="1" s="1"/>
  <c r="AM860" i="1" s="1"/>
  <c r="AM864" i="1" s="1"/>
  <c r="AM1051" i="1"/>
  <c r="X297" i="1"/>
  <c r="AB1105" i="1"/>
  <c r="AM591" i="1"/>
  <c r="AS313" i="1"/>
  <c r="AM297" i="1"/>
  <c r="AC313" i="1"/>
  <c r="AT728" i="1"/>
  <c r="AT738" i="1" s="1"/>
  <c r="AT748" i="1" s="1"/>
  <c r="AT860" i="1" s="1"/>
  <c r="AT864" i="1" s="1"/>
  <c r="X1105" i="1"/>
  <c r="AS1105" i="1"/>
  <c r="AB591" i="1"/>
  <c r="AV1051" i="1"/>
  <c r="AT297" i="1"/>
  <c r="AT1051" i="1"/>
  <c r="AS297" i="1"/>
  <c r="AB313" i="1"/>
  <c r="AM313" i="1"/>
  <c r="R1051" i="1"/>
  <c r="AC1105" i="1"/>
  <c r="AC591" i="1"/>
  <c r="AT591" i="1"/>
  <c r="X728" i="1"/>
  <c r="X738" i="1" s="1"/>
  <c r="X748" i="1" s="1"/>
  <c r="X860" i="1" s="1"/>
  <c r="X864" i="1" s="1"/>
  <c r="AB297" i="1"/>
  <c r="AC728" i="1"/>
  <c r="AC738" i="1" s="1"/>
  <c r="AC748" i="1" s="1"/>
  <c r="AC860" i="1" s="1"/>
  <c r="AC864" i="1" s="1"/>
  <c r="AT1105" i="1"/>
  <c r="AE1051" i="1"/>
  <c r="AD297" i="1"/>
  <c r="AU313" i="1"/>
  <c r="S1051" i="1"/>
  <c r="AH1051" i="1"/>
  <c r="AK297" i="1"/>
  <c r="AK728" i="1"/>
  <c r="AK738" i="1" s="1"/>
  <c r="AK748" i="1" s="1"/>
  <c r="AK860" i="1" s="1"/>
  <c r="AK864" i="1" s="1"/>
  <c r="N790" i="1"/>
  <c r="AK591" i="1"/>
  <c r="AW1051" i="1"/>
  <c r="U1051" i="1"/>
  <c r="Q728" i="1"/>
  <c r="Q738" i="1" s="1"/>
  <c r="Q748" i="1" s="1"/>
  <c r="Q860" i="1" s="1"/>
  <c r="Q864" i="1" s="1"/>
  <c r="V297" i="1"/>
  <c r="AV297" i="1"/>
  <c r="Q591" i="1"/>
  <c r="AD1105" i="1"/>
  <c r="L1105" i="1"/>
  <c r="Z560" i="1"/>
  <c r="Z566" i="1" s="1"/>
  <c r="X560" i="1"/>
  <c r="X566" i="1" s="1"/>
  <c r="AU728" i="1"/>
  <c r="AU738" i="1" s="1"/>
  <c r="AU748" i="1" s="1"/>
  <c r="AU860" i="1" s="1"/>
  <c r="AU864" i="1" s="1"/>
  <c r="V1105" i="1"/>
  <c r="V313" i="1"/>
  <c r="AV728" i="1"/>
  <c r="AV738" i="1" s="1"/>
  <c r="AV748" i="1" s="1"/>
  <c r="AV860" i="1" s="1"/>
  <c r="AV864" i="1" s="1"/>
  <c r="AV313" i="1"/>
  <c r="AN790" i="1"/>
  <c r="P1051" i="1"/>
  <c r="Q1105" i="1"/>
  <c r="L313" i="1"/>
  <c r="AB1051" i="1"/>
  <c r="AU1105" i="1"/>
  <c r="AU297" i="1"/>
  <c r="V591" i="1"/>
  <c r="AI1051" i="1"/>
  <c r="T790" i="1"/>
  <c r="AV1105" i="1"/>
  <c r="AV591" i="1"/>
  <c r="Q297" i="1"/>
  <c r="L591" i="1"/>
  <c r="AD313" i="1"/>
  <c r="AD790" i="1"/>
  <c r="L728" i="1"/>
  <c r="L738" i="1" s="1"/>
  <c r="L748" i="1" s="1"/>
  <c r="L860" i="1" s="1"/>
  <c r="L864" i="1" s="1"/>
  <c r="AD728" i="1"/>
  <c r="AD738" i="1" s="1"/>
  <c r="AD748" i="1" s="1"/>
  <c r="AD860" i="1" s="1"/>
  <c r="AD864" i="1" s="1"/>
  <c r="AF560" i="1"/>
  <c r="AF566" i="1" s="1"/>
  <c r="AE591" i="1"/>
  <c r="U1105" i="1"/>
  <c r="U297" i="1"/>
  <c r="U313" i="1"/>
  <c r="P728" i="1"/>
  <c r="P738" i="1" s="1"/>
  <c r="P748" i="1" s="1"/>
  <c r="P860" i="1" s="1"/>
  <c r="P864" i="1" s="1"/>
  <c r="N1105" i="1"/>
  <c r="M102" i="1"/>
  <c r="AS102" i="1"/>
  <c r="AN102" i="1"/>
  <c r="AL102" i="1"/>
  <c r="Y102" i="1"/>
  <c r="AA102" i="1"/>
  <c r="AC102" i="1"/>
  <c r="R560" i="1"/>
  <c r="R566" i="1" s="1"/>
  <c r="K560" i="1"/>
  <c r="AT102" i="1"/>
  <c r="W560" i="1"/>
  <c r="W566" i="1" s="1"/>
  <c r="I177" i="31"/>
  <c r="I790" i="1" s="1"/>
  <c r="AD560" i="1"/>
  <c r="AD566" i="1" s="1"/>
  <c r="AF1051" i="1"/>
  <c r="AE560" i="1"/>
  <c r="AE566" i="1" s="1"/>
  <c r="AE297" i="1"/>
  <c r="AA560" i="1"/>
  <c r="AA561" i="1" s="1"/>
  <c r="AI560" i="1"/>
  <c r="AI566" i="1" s="1"/>
  <c r="P591" i="1"/>
  <c r="K790" i="1"/>
  <c r="Q790" i="1"/>
  <c r="Z790" i="1"/>
  <c r="V102" i="1"/>
  <c r="AJ102" i="1"/>
  <c r="N313" i="1"/>
  <c r="N297" i="1"/>
  <c r="AK790" i="1"/>
  <c r="AJ1051" i="1"/>
  <c r="AE728" i="1"/>
  <c r="AE738" i="1" s="1"/>
  <c r="AE748" i="1" s="1"/>
  <c r="AE860" i="1" s="1"/>
  <c r="AE864" i="1" s="1"/>
  <c r="AE1105" i="1"/>
  <c r="AN560" i="1"/>
  <c r="AN566" i="1" s="1"/>
  <c r="AT560" i="1"/>
  <c r="AT566" i="1" s="1"/>
  <c r="Y560" i="1"/>
  <c r="Y566" i="1" s="1"/>
  <c r="M560" i="1"/>
  <c r="M566" i="1" s="1"/>
  <c r="AR102" i="1"/>
  <c r="AO102" i="1"/>
  <c r="N728" i="1"/>
  <c r="N738" i="1" s="1"/>
  <c r="N748" i="1" s="1"/>
  <c r="N860" i="1" s="1"/>
  <c r="N864" i="1" s="1"/>
  <c r="R116" i="31"/>
  <c r="S116" i="31" s="1"/>
  <c r="T116" i="31" s="1"/>
  <c r="AJ565" i="1"/>
  <c r="AJ560" i="1"/>
  <c r="AJ566" i="1" s="1"/>
  <c r="AL565" i="1"/>
  <c r="AL560" i="1"/>
  <c r="AL566" i="1" s="1"/>
  <c r="AQ565" i="1"/>
  <c r="AQ560" i="1"/>
  <c r="AV792" i="1"/>
  <c r="AV798" i="1"/>
  <c r="W798" i="1"/>
  <c r="R798" i="1"/>
  <c r="M792" i="1"/>
  <c r="M798" i="1"/>
  <c r="AH798" i="1"/>
  <c r="AF798" i="1"/>
  <c r="AW792" i="1"/>
  <c r="AW798" i="1"/>
  <c r="AQ792" i="1"/>
  <c r="AQ798" i="1"/>
  <c r="AS560" i="1"/>
  <c r="AS561" i="1" s="1"/>
  <c r="P1105" i="1"/>
  <c r="P297" i="1"/>
  <c r="AP1051" i="1"/>
  <c r="S798" i="1"/>
  <c r="AO560" i="1"/>
  <c r="AO566" i="1" s="1"/>
  <c r="AP792" i="1"/>
  <c r="AP798" i="1"/>
  <c r="AR1051" i="1"/>
  <c r="K102" i="1"/>
  <c r="AW102" i="1"/>
  <c r="AD102" i="1"/>
  <c r="N102" i="1"/>
  <c r="AV102" i="1"/>
  <c r="W102" i="1"/>
  <c r="AG102" i="1"/>
  <c r="AP102" i="1"/>
  <c r="U798" i="1"/>
  <c r="K792" i="1"/>
  <c r="K798" i="1"/>
  <c r="P798" i="1"/>
  <c r="AR792" i="1"/>
  <c r="AR798" i="1"/>
  <c r="AU792" i="1"/>
  <c r="AU798" i="1"/>
  <c r="AT792" i="1"/>
  <c r="AT798" i="1"/>
  <c r="AG798" i="1"/>
  <c r="P313" i="1"/>
  <c r="AB798" i="1"/>
  <c r="AL798" i="1"/>
  <c r="Z798" i="1"/>
  <c r="L560" i="1"/>
  <c r="L566" i="1" s="1"/>
  <c r="AB560" i="1"/>
  <c r="AB566" i="1" s="1"/>
  <c r="AJ798" i="1"/>
  <c r="AK798" i="1"/>
  <c r="Y798" i="1"/>
  <c r="S102" i="1"/>
  <c r="AK102" i="1"/>
  <c r="X102" i="1"/>
  <c r="AI798" i="1"/>
  <c r="L792" i="1"/>
  <c r="L798" i="1"/>
  <c r="N792" i="1"/>
  <c r="N798" i="1"/>
  <c r="Y790" i="1"/>
  <c r="T798" i="1"/>
  <c r="X798" i="1"/>
  <c r="O798" i="1"/>
  <c r="AS792" i="1"/>
  <c r="AS798" i="1"/>
  <c r="V798" i="1"/>
  <c r="Q798" i="1"/>
  <c r="AO798" i="1"/>
  <c r="AM798" i="1"/>
  <c r="AA798" i="1"/>
  <c r="AX792" i="1"/>
  <c r="AX798" i="1"/>
  <c r="AX800" i="1" s="1"/>
  <c r="AE798" i="1"/>
  <c r="AD798" i="1"/>
  <c r="U560" i="1"/>
  <c r="U561" i="1" s="1"/>
  <c r="AN798" i="1"/>
  <c r="AC798" i="1"/>
  <c r="AM102" i="1"/>
  <c r="Z102" i="1"/>
  <c r="P102" i="1"/>
  <c r="AH102" i="1"/>
  <c r="U102" i="1"/>
  <c r="AU102" i="1"/>
  <c r="O102" i="1"/>
  <c r="Q560" i="1"/>
  <c r="Q566" i="1" s="1"/>
  <c r="AN313" i="1"/>
  <c r="AN591" i="1"/>
  <c r="AN297" i="1"/>
  <c r="AN1105" i="1"/>
  <c r="AN728" i="1"/>
  <c r="AR560" i="1"/>
  <c r="Z297" i="1"/>
  <c r="Z591" i="1"/>
  <c r="Z313" i="1"/>
  <c r="Z728" i="1"/>
  <c r="Z1105" i="1"/>
  <c r="AW591" i="1"/>
  <c r="AW297" i="1"/>
  <c r="AW313" i="1"/>
  <c r="AW1105" i="1"/>
  <c r="AW728" i="1"/>
  <c r="N560" i="1"/>
  <c r="V560" i="1"/>
  <c r="AR728" i="1"/>
  <c r="AR1105" i="1"/>
  <c r="AR313" i="1"/>
  <c r="AR591" i="1"/>
  <c r="AR297" i="1"/>
  <c r="W728" i="1"/>
  <c r="W297" i="1"/>
  <c r="W313" i="1"/>
  <c r="W591" i="1"/>
  <c r="W1105" i="1"/>
  <c r="AU560" i="1"/>
  <c r="AV560" i="1"/>
  <c r="O560" i="1"/>
  <c r="AM560" i="1"/>
  <c r="AG591" i="1"/>
  <c r="AG297" i="1"/>
  <c r="AG313" i="1"/>
  <c r="AG728" i="1"/>
  <c r="AG1105" i="1"/>
  <c r="AP591" i="1"/>
  <c r="AP297" i="1"/>
  <c r="AP313" i="1"/>
  <c r="AP728" i="1"/>
  <c r="AP1105" i="1"/>
  <c r="AO591" i="1"/>
  <c r="AO1105" i="1"/>
  <c r="AO297" i="1"/>
  <c r="AO313" i="1"/>
  <c r="AO728" i="1"/>
  <c r="Y297" i="1"/>
  <c r="Y591" i="1"/>
  <c r="Y728" i="1"/>
  <c r="Y313" i="1"/>
  <c r="Y1105" i="1"/>
  <c r="AL297" i="1"/>
  <c r="AL313" i="1"/>
  <c r="AL591" i="1"/>
  <c r="AL1105" i="1"/>
  <c r="AL728" i="1"/>
  <c r="K377" i="1"/>
  <c r="K173" i="12"/>
  <c r="K71" i="12"/>
  <c r="K273" i="12"/>
  <c r="K168" i="1"/>
  <c r="K169" i="1" s="1"/>
  <c r="K949" i="1"/>
  <c r="K960" i="1" s="1"/>
  <c r="K1049" i="1"/>
  <c r="K1052" i="1" s="1"/>
  <c r="L181" i="31"/>
  <c r="K510" i="1"/>
  <c r="K511" i="1" s="1"/>
  <c r="K518" i="1" s="1"/>
  <c r="AW560" i="1"/>
  <c r="I279" i="31"/>
  <c r="I231" i="1" s="1"/>
  <c r="K231" i="1"/>
  <c r="K233" i="1" s="1"/>
  <c r="R102" i="1"/>
  <c r="AJ591" i="1"/>
  <c r="AJ313" i="1"/>
  <c r="AJ297" i="1"/>
  <c r="AJ1105" i="1"/>
  <c r="AJ728" i="1"/>
  <c r="AP560" i="1"/>
  <c r="T297" i="1"/>
  <c r="T313" i="1"/>
  <c r="T591" i="1"/>
  <c r="T1105" i="1"/>
  <c r="T728" i="1"/>
  <c r="AA728" i="1"/>
  <c r="AA1105" i="1"/>
  <c r="AA591" i="1"/>
  <c r="AA313" i="1"/>
  <c r="AA297" i="1"/>
  <c r="R297" i="1"/>
  <c r="R591" i="1"/>
  <c r="R313" i="1"/>
  <c r="R1105" i="1"/>
  <c r="R728" i="1"/>
  <c r="O591" i="1"/>
  <c r="O1105" i="1"/>
  <c r="O313" i="1"/>
  <c r="O297" i="1"/>
  <c r="O728" i="1"/>
  <c r="S560" i="1"/>
  <c r="AQ728" i="1"/>
  <c r="AQ297" i="1"/>
  <c r="AQ591" i="1"/>
  <c r="AQ1105" i="1"/>
  <c r="AQ313" i="1"/>
  <c r="AK560" i="1"/>
  <c r="I165" i="31"/>
  <c r="I83" i="7"/>
  <c r="AG560" i="1"/>
  <c r="AC560" i="1"/>
  <c r="AH560" i="1"/>
  <c r="P560" i="1"/>
  <c r="T560" i="1"/>
  <c r="AF102" i="1"/>
  <c r="AE102" i="1"/>
  <c r="AX102" i="1"/>
  <c r="AI102" i="1"/>
  <c r="T102" i="1"/>
  <c r="Q102" i="1"/>
  <c r="AB102" i="1"/>
  <c r="L102" i="1"/>
  <c r="AX560" i="1"/>
  <c r="X561" i="1" l="1"/>
  <c r="X567" i="1" s="1"/>
  <c r="I1051" i="1"/>
  <c r="AN561" i="1"/>
  <c r="AN567" i="1" s="1"/>
  <c r="R561" i="1"/>
  <c r="R562" i="1" s="1"/>
  <c r="R568" i="1" s="1"/>
  <c r="Y561" i="1"/>
  <c r="Y567" i="1" s="1"/>
  <c r="AF561" i="1"/>
  <c r="AF567" i="1" s="1"/>
  <c r="M561" i="1"/>
  <c r="M562" i="1" s="1"/>
  <c r="M568" i="1" s="1"/>
  <c r="Z561" i="1"/>
  <c r="Z567" i="1" s="1"/>
  <c r="AT561" i="1"/>
  <c r="AT567" i="1" s="1"/>
  <c r="AD561" i="1"/>
  <c r="AA566" i="1"/>
  <c r="AB561" i="1"/>
  <c r="AB567" i="1" s="1"/>
  <c r="AE561" i="1"/>
  <c r="AE562" i="1" s="1"/>
  <c r="AE568" i="1" s="1"/>
  <c r="W561" i="1"/>
  <c r="W562" i="1" s="1"/>
  <c r="AI561" i="1"/>
  <c r="AI562" i="1" s="1"/>
  <c r="AI568" i="1" s="1"/>
  <c r="AO561" i="1"/>
  <c r="AO567" i="1" s="1"/>
  <c r="L561" i="1"/>
  <c r="L562" i="1" s="1"/>
  <c r="L568" i="1" s="1"/>
  <c r="AE800" i="1"/>
  <c r="AE829" i="1" s="1"/>
  <c r="AE833" i="1" s="1"/>
  <c r="AE838" i="1" s="1"/>
  <c r="K566" i="1"/>
  <c r="K561" i="1"/>
  <c r="AQ800" i="1"/>
  <c r="AQ829" i="1" s="1"/>
  <c r="AQ833" i="1" s="1"/>
  <c r="AQ838" i="1" s="1"/>
  <c r="AJ561" i="1"/>
  <c r="AJ562" i="1" s="1"/>
  <c r="AO800" i="1"/>
  <c r="AO809" i="1" s="1"/>
  <c r="Q561" i="1"/>
  <c r="Q567" i="1" s="1"/>
  <c r="AW800" i="1"/>
  <c r="AW829" i="1" s="1"/>
  <c r="AW833" i="1" s="1"/>
  <c r="AW838" i="1" s="1"/>
  <c r="N800" i="1"/>
  <c r="AB800" i="1"/>
  <c r="M800" i="1"/>
  <c r="U116" i="31"/>
  <c r="V116" i="31" s="1"/>
  <c r="W116" i="31" s="1"/>
  <c r="AL561" i="1"/>
  <c r="AL567" i="1" s="1"/>
  <c r="AN800" i="1"/>
  <c r="AA800" i="1"/>
  <c r="V800" i="1"/>
  <c r="O800" i="1"/>
  <c r="T800" i="1"/>
  <c r="Y800" i="1"/>
  <c r="AJ800" i="1"/>
  <c r="AT800" i="1"/>
  <c r="AR800" i="1"/>
  <c r="K800" i="1"/>
  <c r="K799" i="1"/>
  <c r="AP800" i="1"/>
  <c r="S800" i="1"/>
  <c r="W800" i="1"/>
  <c r="AQ566" i="1"/>
  <c r="AQ561" i="1"/>
  <c r="AI800" i="1"/>
  <c r="AD800" i="1"/>
  <c r="AX809" i="1"/>
  <c r="AX815" i="1" s="1"/>
  <c r="AX829" i="1"/>
  <c r="AX833" i="1" s="1"/>
  <c r="AX838" i="1" s="1"/>
  <c r="L800" i="1"/>
  <c r="AL800" i="1"/>
  <c r="AG800" i="1"/>
  <c r="AF800" i="1"/>
  <c r="R800" i="1"/>
  <c r="U566" i="1"/>
  <c r="Z800" i="1"/>
  <c r="AH800" i="1"/>
  <c r="AV800" i="1"/>
  <c r="AC800" i="1"/>
  <c r="AM800" i="1"/>
  <c r="Q800" i="1"/>
  <c r="AS800" i="1"/>
  <c r="X800" i="1"/>
  <c r="AK800" i="1"/>
  <c r="AU800" i="1"/>
  <c r="P800" i="1"/>
  <c r="U800" i="1"/>
  <c r="AS566" i="1"/>
  <c r="AE873" i="1"/>
  <c r="AE898" i="1"/>
  <c r="AS898" i="1"/>
  <c r="AS873" i="1"/>
  <c r="X873" i="1"/>
  <c r="X898" i="1"/>
  <c r="AM898" i="1"/>
  <c r="AM873" i="1"/>
  <c r="V898" i="1"/>
  <c r="V873" i="1"/>
  <c r="AT898" i="1"/>
  <c r="AT873" i="1"/>
  <c r="L873" i="1"/>
  <c r="L898" i="1"/>
  <c r="S898" i="1"/>
  <c r="S873" i="1"/>
  <c r="M873" i="1"/>
  <c r="M898" i="1"/>
  <c r="U873" i="1"/>
  <c r="U898" i="1"/>
  <c r="AC873" i="1"/>
  <c r="AC898" i="1"/>
  <c r="AU873" i="1"/>
  <c r="AU898" i="1"/>
  <c r="AH873" i="1"/>
  <c r="AH898" i="1"/>
  <c r="AX873" i="1"/>
  <c r="AX898" i="1"/>
  <c r="AV873" i="1"/>
  <c r="AV898" i="1"/>
  <c r="Q873" i="1"/>
  <c r="Q898" i="1"/>
  <c r="P898" i="1"/>
  <c r="P873" i="1"/>
  <c r="AI898" i="1"/>
  <c r="AI873" i="1"/>
  <c r="AF898" i="1"/>
  <c r="AF873" i="1"/>
  <c r="AX566" i="1"/>
  <c r="AX561" i="1"/>
  <c r="N898" i="1"/>
  <c r="N873" i="1"/>
  <c r="P566" i="1"/>
  <c r="P561" i="1"/>
  <c r="AQ738" i="1"/>
  <c r="AQ748" i="1" s="1"/>
  <c r="AQ860" i="1" s="1"/>
  <c r="AQ864" i="1" s="1"/>
  <c r="O738" i="1"/>
  <c r="O748" i="1" s="1"/>
  <c r="O860" i="1" s="1"/>
  <c r="O864" i="1" s="1"/>
  <c r="AA738" i="1"/>
  <c r="AA748" i="1" s="1"/>
  <c r="AA860" i="1" s="1"/>
  <c r="AA864" i="1" s="1"/>
  <c r="AB873" i="1"/>
  <c r="AB898" i="1"/>
  <c r="Y738" i="1"/>
  <c r="Y748" i="1" s="1"/>
  <c r="Y860" i="1" s="1"/>
  <c r="Y864" i="1" s="1"/>
  <c r="N566" i="1"/>
  <c r="N561" i="1"/>
  <c r="AN738" i="1"/>
  <c r="AN748" i="1" s="1"/>
  <c r="AN860" i="1" s="1"/>
  <c r="AN864" i="1" s="1"/>
  <c r="S566" i="1"/>
  <c r="S561" i="1"/>
  <c r="AK873" i="1"/>
  <c r="AK898" i="1"/>
  <c r="AP566" i="1"/>
  <c r="AP561" i="1"/>
  <c r="AW566" i="1"/>
  <c r="AW561" i="1"/>
  <c r="O566" i="1"/>
  <c r="O561" i="1"/>
  <c r="AS567" i="1"/>
  <c r="AS562" i="1"/>
  <c r="AS568" i="1" s="1"/>
  <c r="AR738" i="1"/>
  <c r="AR748" i="1" s="1"/>
  <c r="AR860" i="1" s="1"/>
  <c r="AR864" i="1" s="1"/>
  <c r="AK566" i="1"/>
  <c r="AK561" i="1"/>
  <c r="R738" i="1"/>
  <c r="R748" i="1" s="1"/>
  <c r="R860" i="1" s="1"/>
  <c r="R864" i="1" s="1"/>
  <c r="AJ738" i="1"/>
  <c r="AJ748" i="1" s="1"/>
  <c r="AJ860" i="1" s="1"/>
  <c r="AJ864" i="1" s="1"/>
  <c r="I233" i="1"/>
  <c r="I293" i="1" s="1"/>
  <c r="K293" i="1"/>
  <c r="K295" i="1" s="1"/>
  <c r="L1049" i="1"/>
  <c r="L1052" i="1" s="1"/>
  <c r="L168" i="1"/>
  <c r="L169" i="1" s="1"/>
  <c r="L510" i="1"/>
  <c r="L511" i="1" s="1"/>
  <c r="L949" i="1"/>
  <c r="L960" i="1" s="1"/>
  <c r="L173" i="12"/>
  <c r="L71" i="12"/>
  <c r="L273" i="12"/>
  <c r="M181" i="31"/>
  <c r="L377" i="1"/>
  <c r="AO738" i="1"/>
  <c r="AO748" i="1" s="1"/>
  <c r="AO860" i="1" s="1"/>
  <c r="AO864" i="1" s="1"/>
  <c r="AD873" i="1"/>
  <c r="AD898" i="1"/>
  <c r="AG738" i="1"/>
  <c r="AG748" i="1" s="1"/>
  <c r="AG860" i="1" s="1"/>
  <c r="AG864" i="1" s="1"/>
  <c r="W738" i="1"/>
  <c r="W748" i="1" s="1"/>
  <c r="W860" i="1" s="1"/>
  <c r="W864" i="1" s="1"/>
  <c r="Z738" i="1"/>
  <c r="Z748" i="1" s="1"/>
  <c r="Z860" i="1" s="1"/>
  <c r="Z864" i="1" s="1"/>
  <c r="AR566" i="1"/>
  <c r="AR561" i="1"/>
  <c r="AH566" i="1"/>
  <c r="AH561" i="1"/>
  <c r="AG566" i="1"/>
  <c r="AG561" i="1"/>
  <c r="T566" i="1"/>
  <c r="T561" i="1"/>
  <c r="AC566" i="1"/>
  <c r="AC561" i="1"/>
  <c r="T738" i="1"/>
  <c r="T748" i="1" s="1"/>
  <c r="T860" i="1" s="1"/>
  <c r="T864" i="1" s="1"/>
  <c r="U567" i="1"/>
  <c r="U562" i="1"/>
  <c r="U568" i="1" s="1"/>
  <c r="AL738" i="1"/>
  <c r="AL748" i="1" s="1"/>
  <c r="AL860" i="1" s="1"/>
  <c r="AL864" i="1" s="1"/>
  <c r="AP738" i="1"/>
  <c r="AP748" i="1" s="1"/>
  <c r="AP860" i="1" s="1"/>
  <c r="AP864" i="1" s="1"/>
  <c r="AM566" i="1"/>
  <c r="AM561" i="1"/>
  <c r="AV566" i="1"/>
  <c r="AV561" i="1"/>
  <c r="AA567" i="1"/>
  <c r="AA562" i="1"/>
  <c r="AA568" i="1" s="1"/>
  <c r="AU566" i="1"/>
  <c r="AU561" i="1"/>
  <c r="V566" i="1"/>
  <c r="V561" i="1"/>
  <c r="AW738" i="1"/>
  <c r="AW748" i="1" s="1"/>
  <c r="AW860" i="1" s="1"/>
  <c r="AW864" i="1" s="1"/>
  <c r="K481" i="1" l="1"/>
  <c r="K485" i="1" s="1"/>
  <c r="K497" i="1" s="1"/>
  <c r="X562" i="1"/>
  <c r="X568" i="1" s="1"/>
  <c r="R567" i="1"/>
  <c r="AN562" i="1"/>
  <c r="AN563" i="1" s="1"/>
  <c r="AN569" i="1" s="1"/>
  <c r="AT562" i="1"/>
  <c r="AT568" i="1" s="1"/>
  <c r="AE567" i="1"/>
  <c r="AL562" i="1"/>
  <c r="AL568" i="1" s="1"/>
  <c r="Y562" i="1"/>
  <c r="Y568" i="1" s="1"/>
  <c r="AJ567" i="1"/>
  <c r="AF562" i="1"/>
  <c r="AF568" i="1" s="1"/>
  <c r="W567" i="1"/>
  <c r="L567" i="1"/>
  <c r="M567" i="1"/>
  <c r="AI567" i="1"/>
  <c r="Z562" i="1"/>
  <c r="Z568" i="1" s="1"/>
  <c r="AB562" i="1"/>
  <c r="AB563" i="1" s="1"/>
  <c r="AB569" i="1" s="1"/>
  <c r="AO562" i="1"/>
  <c r="AO568" i="1" s="1"/>
  <c r="AD567" i="1"/>
  <c r="AD562" i="1"/>
  <c r="AQ809" i="1"/>
  <c r="AQ815" i="1" s="1"/>
  <c r="AE809" i="1"/>
  <c r="AE815" i="1" s="1"/>
  <c r="AW809" i="1"/>
  <c r="AW815" i="1" s="1"/>
  <c r="AO829" i="1"/>
  <c r="K567" i="1"/>
  <c r="K562" i="1"/>
  <c r="Q562" i="1"/>
  <c r="Q568" i="1" s="1"/>
  <c r="AA563" i="1"/>
  <c r="AA569" i="1" s="1"/>
  <c r="AA570" i="1" s="1"/>
  <c r="AS563" i="1"/>
  <c r="AS569" i="1" s="1"/>
  <c r="AC829" i="1"/>
  <c r="AC833" i="1" s="1"/>
  <c r="AC838" i="1" s="1"/>
  <c r="AC809" i="1"/>
  <c r="AC815" i="1" s="1"/>
  <c r="AG809" i="1"/>
  <c r="AG815" i="1" s="1"/>
  <c r="AG829" i="1"/>
  <c r="AG833" i="1" s="1"/>
  <c r="AG838" i="1" s="1"/>
  <c r="T829" i="1"/>
  <c r="T833" i="1" s="1"/>
  <c r="T838" i="1" s="1"/>
  <c r="T809" i="1"/>
  <c r="T815" i="1" s="1"/>
  <c r="AN809" i="1"/>
  <c r="AN815" i="1" s="1"/>
  <c r="AN829" i="1"/>
  <c r="AN833" i="1" s="1"/>
  <c r="AN838" i="1" s="1"/>
  <c r="P809" i="1"/>
  <c r="P815" i="1" s="1"/>
  <c r="P829" i="1"/>
  <c r="P833" i="1" s="1"/>
  <c r="P838" i="1" s="1"/>
  <c r="AS809" i="1"/>
  <c r="AS815" i="1" s="1"/>
  <c r="AS829" i="1"/>
  <c r="AS833" i="1" s="1"/>
  <c r="AS838" i="1" s="1"/>
  <c r="M563" i="1"/>
  <c r="M569" i="1" s="1"/>
  <c r="AL809" i="1"/>
  <c r="AL815" i="1" s="1"/>
  <c r="AL829" i="1"/>
  <c r="AL833" i="1" s="1"/>
  <c r="AL838" i="1" s="1"/>
  <c r="AI829" i="1"/>
  <c r="AI833" i="1" s="1"/>
  <c r="AI838" i="1" s="1"/>
  <c r="AI809" i="1"/>
  <c r="AI815" i="1" s="1"/>
  <c r="AT829" i="1"/>
  <c r="AT833" i="1" s="1"/>
  <c r="AT838" i="1" s="1"/>
  <c r="AT809" i="1"/>
  <c r="AT815" i="1" s="1"/>
  <c r="O809" i="1"/>
  <c r="O815" i="1" s="1"/>
  <c r="O829" i="1"/>
  <c r="O833" i="1" s="1"/>
  <c r="O838" i="1" s="1"/>
  <c r="AI563" i="1"/>
  <c r="AI569" i="1" s="1"/>
  <c r="AB809" i="1"/>
  <c r="AB815" i="1" s="1"/>
  <c r="AB829" i="1"/>
  <c r="AB833" i="1" s="1"/>
  <c r="AB838" i="1" s="1"/>
  <c r="U809" i="1"/>
  <c r="U815" i="1" s="1"/>
  <c r="U829" i="1"/>
  <c r="U833" i="1" s="1"/>
  <c r="U838" i="1" s="1"/>
  <c r="U563" i="1"/>
  <c r="U569" i="1" s="1"/>
  <c r="AR809" i="1"/>
  <c r="AR815" i="1" s="1"/>
  <c r="AR829" i="1"/>
  <c r="AR833" i="1" s="1"/>
  <c r="AR838" i="1" s="1"/>
  <c r="W568" i="1"/>
  <c r="W563" i="1"/>
  <c r="W569" i="1" s="1"/>
  <c r="AU829" i="1"/>
  <c r="AU833" i="1" s="1"/>
  <c r="AU838" i="1" s="1"/>
  <c r="AU809" i="1"/>
  <c r="AU815" i="1" s="1"/>
  <c r="Q829" i="1"/>
  <c r="Q833" i="1" s="1"/>
  <c r="Q838" i="1" s="1"/>
  <c r="Q809" i="1"/>
  <c r="Q815" i="1" s="1"/>
  <c r="AD809" i="1"/>
  <c r="AD815" i="1" s="1"/>
  <c r="AD829" i="1"/>
  <c r="AD833" i="1" s="1"/>
  <c r="AD838" i="1" s="1"/>
  <c r="W809" i="1"/>
  <c r="W815" i="1" s="1"/>
  <c r="W829" i="1"/>
  <c r="W833" i="1" s="1"/>
  <c r="W838" i="1" s="1"/>
  <c r="K802" i="1"/>
  <c r="L799" i="1"/>
  <c r="K824" i="1"/>
  <c r="AJ809" i="1"/>
  <c r="AJ815" i="1" s="1"/>
  <c r="AJ829" i="1"/>
  <c r="AJ833" i="1" s="1"/>
  <c r="AJ838" i="1" s="1"/>
  <c r="V829" i="1"/>
  <c r="V833" i="1" s="1"/>
  <c r="V838" i="1" s="1"/>
  <c r="V809" i="1"/>
  <c r="V815" i="1" s="1"/>
  <c r="M829" i="1"/>
  <c r="M833" i="1" s="1"/>
  <c r="M838" i="1" s="1"/>
  <c r="M809" i="1"/>
  <c r="M815" i="1" s="1"/>
  <c r="N809" i="1"/>
  <c r="N815" i="1" s="1"/>
  <c r="N829" i="1"/>
  <c r="N833" i="1" s="1"/>
  <c r="N838" i="1" s="1"/>
  <c r="R563" i="1"/>
  <c r="R569" i="1" s="1"/>
  <c r="AE563" i="1"/>
  <c r="AE569" i="1" s="1"/>
  <c r="AJ568" i="1"/>
  <c r="AJ563" i="1"/>
  <c r="AJ569" i="1" s="1"/>
  <c r="X809" i="1"/>
  <c r="X815" i="1" s="1"/>
  <c r="X829" i="1"/>
  <c r="X833" i="1" s="1"/>
  <c r="X838" i="1" s="1"/>
  <c r="AH809" i="1"/>
  <c r="AH815" i="1" s="1"/>
  <c r="AH829" i="1"/>
  <c r="AH833" i="1" s="1"/>
  <c r="AH838" i="1" s="1"/>
  <c r="AF829" i="1"/>
  <c r="AF833" i="1" s="1"/>
  <c r="AF838" i="1" s="1"/>
  <c r="AF809" i="1"/>
  <c r="AF815" i="1" s="1"/>
  <c r="AQ567" i="1"/>
  <c r="AQ562" i="1"/>
  <c r="AQ568" i="1" s="1"/>
  <c r="AP809" i="1"/>
  <c r="AP815" i="1" s="1"/>
  <c r="AP829" i="1"/>
  <c r="AP833" i="1" s="1"/>
  <c r="AP838" i="1" s="1"/>
  <c r="X116" i="31"/>
  <c r="AK809" i="1"/>
  <c r="AK815" i="1" s="1"/>
  <c r="AK829" i="1"/>
  <c r="AK833" i="1" s="1"/>
  <c r="AK838" i="1" s="1"/>
  <c r="AM809" i="1"/>
  <c r="AM815" i="1" s="1"/>
  <c r="AM829" i="1"/>
  <c r="AM833" i="1" s="1"/>
  <c r="AM838" i="1" s="1"/>
  <c r="AV829" i="1"/>
  <c r="AV833" i="1" s="1"/>
  <c r="AV838" i="1" s="1"/>
  <c r="AV809" i="1"/>
  <c r="AV815" i="1" s="1"/>
  <c r="Z829" i="1"/>
  <c r="Z833" i="1" s="1"/>
  <c r="Z838" i="1" s="1"/>
  <c r="Z809" i="1"/>
  <c r="Z815" i="1" s="1"/>
  <c r="R809" i="1"/>
  <c r="R815" i="1" s="1"/>
  <c r="R829" i="1"/>
  <c r="R833" i="1" s="1"/>
  <c r="R838" i="1" s="1"/>
  <c r="L809" i="1"/>
  <c r="L815" i="1" s="1"/>
  <c r="L829" i="1"/>
  <c r="L833" i="1" s="1"/>
  <c r="L838" i="1" s="1"/>
  <c r="S809" i="1"/>
  <c r="S815" i="1" s="1"/>
  <c r="S829" i="1"/>
  <c r="S833" i="1" s="1"/>
  <c r="S838" i="1" s="1"/>
  <c r="K809" i="1"/>
  <c r="K815" i="1" s="1"/>
  <c r="K829" i="1"/>
  <c r="K833" i="1" s="1"/>
  <c r="Y809" i="1"/>
  <c r="Y815" i="1" s="1"/>
  <c r="Y829" i="1"/>
  <c r="Y833" i="1" s="1"/>
  <c r="Y838" i="1" s="1"/>
  <c r="AA809" i="1"/>
  <c r="AA815" i="1" s="1"/>
  <c r="AA829" i="1"/>
  <c r="AA833" i="1" s="1"/>
  <c r="AA838" i="1" s="1"/>
  <c r="L563" i="1"/>
  <c r="L569" i="1" s="1"/>
  <c r="AW898" i="1"/>
  <c r="AW873" i="1"/>
  <c r="AP873" i="1"/>
  <c r="AP898" i="1"/>
  <c r="Y873" i="1"/>
  <c r="Y898" i="1"/>
  <c r="AQ898" i="1"/>
  <c r="AQ873" i="1"/>
  <c r="AC567" i="1"/>
  <c r="AC562" i="1"/>
  <c r="AC568" i="1" s="1"/>
  <c r="AG567" i="1"/>
  <c r="AG562" i="1"/>
  <c r="AG568" i="1" s="1"/>
  <c r="Z873" i="1"/>
  <c r="Z898" i="1"/>
  <c r="AG873" i="1"/>
  <c r="AG898" i="1"/>
  <c r="R898" i="1"/>
  <c r="R873" i="1"/>
  <c r="O567" i="1"/>
  <c r="O562" i="1"/>
  <c r="AP567" i="1"/>
  <c r="AP562" i="1"/>
  <c r="AP568" i="1" s="1"/>
  <c r="AN873" i="1"/>
  <c r="AN898" i="1"/>
  <c r="AX567" i="1"/>
  <c r="AX562" i="1"/>
  <c r="AX568" i="1" s="1"/>
  <c r="AJ898" i="1"/>
  <c r="AJ873" i="1"/>
  <c r="AR898" i="1"/>
  <c r="AR873" i="1"/>
  <c r="O873" i="1"/>
  <c r="O898" i="1"/>
  <c r="T567" i="1"/>
  <c r="T562" i="1"/>
  <c r="T568" i="1" s="1"/>
  <c r="AH567" i="1"/>
  <c r="AH562" i="1"/>
  <c r="AH568" i="1" s="1"/>
  <c r="AR567" i="1"/>
  <c r="AR562" i="1"/>
  <c r="AR568" i="1" s="1"/>
  <c r="W898" i="1"/>
  <c r="W873" i="1"/>
  <c r="AO898" i="1"/>
  <c r="AO873" i="1"/>
  <c r="M168" i="1"/>
  <c r="M169" i="1" s="1"/>
  <c r="M949" i="1"/>
  <c r="M960" i="1" s="1"/>
  <c r="M510" i="1"/>
  <c r="M511" i="1" s="1"/>
  <c r="M173" i="12"/>
  <c r="M71" i="12"/>
  <c r="M273" i="12"/>
  <c r="M1049" i="1"/>
  <c r="M1052" i="1" s="1"/>
  <c r="M377" i="1"/>
  <c r="N181" i="31"/>
  <c r="K591" i="1"/>
  <c r="K297" i="1"/>
  <c r="K313" i="1"/>
  <c r="I295" i="1"/>
  <c r="I481" i="1" s="1"/>
  <c r="K728" i="1"/>
  <c r="K1105" i="1"/>
  <c r="AK567" i="1"/>
  <c r="AK562" i="1"/>
  <c r="AW567" i="1"/>
  <c r="AW562" i="1"/>
  <c r="AW568" i="1" s="1"/>
  <c r="S567" i="1"/>
  <c r="S562" i="1"/>
  <c r="S568" i="1" s="1"/>
  <c r="AA873" i="1"/>
  <c r="AA898" i="1"/>
  <c r="V567" i="1"/>
  <c r="V562" i="1"/>
  <c r="V568" i="1" s="1"/>
  <c r="AM567" i="1"/>
  <c r="AM562" i="1"/>
  <c r="AL873" i="1"/>
  <c r="AL898" i="1"/>
  <c r="T898" i="1"/>
  <c r="T873" i="1"/>
  <c r="AU567" i="1"/>
  <c r="AU562" i="1"/>
  <c r="AU568" i="1" s="1"/>
  <c r="AV567" i="1"/>
  <c r="AV562" i="1"/>
  <c r="AV568" i="1" s="1"/>
  <c r="N567" i="1"/>
  <c r="N562" i="1"/>
  <c r="N568" i="1" s="1"/>
  <c r="P567" i="1"/>
  <c r="P562" i="1"/>
  <c r="P568" i="1" s="1"/>
  <c r="X563" i="1" l="1"/>
  <c r="X569" i="1" s="1"/>
  <c r="X570" i="1" s="1"/>
  <c r="AN568" i="1"/>
  <c r="AN570" i="1" s="1"/>
  <c r="R570" i="1"/>
  <c r="AT563" i="1"/>
  <c r="AT569" i="1" s="1"/>
  <c r="AE570" i="1"/>
  <c r="AL563" i="1"/>
  <c r="AL569" i="1" s="1"/>
  <c r="AL570" i="1" s="1"/>
  <c r="Z563" i="1"/>
  <c r="Z569" i="1" s="1"/>
  <c r="Z570" i="1" s="1"/>
  <c r="Y563" i="1"/>
  <c r="Y569" i="1" s="1"/>
  <c r="Y570" i="1" s="1"/>
  <c r="AF563" i="1"/>
  <c r="AF569" i="1" s="1"/>
  <c r="AF570" i="1" s="1"/>
  <c r="AI570" i="1"/>
  <c r="AB568" i="1"/>
  <c r="AB570" i="1" s="1"/>
  <c r="AO563" i="1"/>
  <c r="AO569" i="1" s="1"/>
  <c r="AO570" i="1" s="1"/>
  <c r="AD568" i="1"/>
  <c r="AD563" i="1"/>
  <c r="AD569" i="1" s="1"/>
  <c r="Q563" i="1"/>
  <c r="Q569" i="1" s="1"/>
  <c r="Q570" i="1" s="1"/>
  <c r="W570" i="1"/>
  <c r="AJ570" i="1"/>
  <c r="K568" i="1"/>
  <c r="K563" i="1"/>
  <c r="K569" i="1" s="1"/>
  <c r="AR563" i="1"/>
  <c r="AR569" i="1" s="1"/>
  <c r="AM568" i="1"/>
  <c r="AM563" i="1"/>
  <c r="AM569" i="1" s="1"/>
  <c r="O568" i="1"/>
  <c r="O563" i="1"/>
  <c r="O569" i="1" s="1"/>
  <c r="P563" i="1"/>
  <c r="P569" i="1" s="1"/>
  <c r="P570" i="1" s="1"/>
  <c r="T563" i="1"/>
  <c r="T569" i="1" s="1"/>
  <c r="T570" i="1" s="1"/>
  <c r="N563" i="1"/>
  <c r="N569" i="1" s="1"/>
  <c r="AP563" i="1"/>
  <c r="AP569" i="1" s="1"/>
  <c r="K838" i="1"/>
  <c r="AH563" i="1"/>
  <c r="AH569" i="1" s="1"/>
  <c r="AH570" i="1" s="1"/>
  <c r="M799" i="1"/>
  <c r="L802" i="1"/>
  <c r="L824" i="1"/>
  <c r="S563" i="1"/>
  <c r="S569" i="1" s="1"/>
  <c r="S570" i="1" s="1"/>
  <c r="AU563" i="1"/>
  <c r="AU569" i="1" s="1"/>
  <c r="AW563" i="1"/>
  <c r="AW569" i="1" s="1"/>
  <c r="AG563" i="1"/>
  <c r="AG569" i="1" s="1"/>
  <c r="AG570" i="1" s="1"/>
  <c r="AC563" i="1"/>
  <c r="AC569" i="1" s="1"/>
  <c r="AC570" i="1" s="1"/>
  <c r="Y116" i="31"/>
  <c r="Z116" i="31" s="1"/>
  <c r="AA116" i="31" s="1"/>
  <c r="AB116" i="31" s="1"/>
  <c r="AK568" i="1"/>
  <c r="AK563" i="1"/>
  <c r="AK569" i="1" s="1"/>
  <c r="AV563" i="1"/>
  <c r="AV569" i="1" s="1"/>
  <c r="AQ563" i="1"/>
  <c r="AQ569" i="1" s="1"/>
  <c r="K813" i="1"/>
  <c r="K825" i="1"/>
  <c r="U570" i="1"/>
  <c r="AX563" i="1"/>
  <c r="AX569" i="1" s="1"/>
  <c r="V563" i="1"/>
  <c r="V569" i="1" s="1"/>
  <c r="V570" i="1" s="1"/>
  <c r="K738" i="1"/>
  <c r="I738" i="1" s="1"/>
  <c r="I728" i="1"/>
  <c r="I591" i="1"/>
  <c r="I313" i="1"/>
  <c r="I1105" i="1"/>
  <c r="I297" i="1"/>
  <c r="N273" i="12"/>
  <c r="N71" i="12"/>
  <c r="N949" i="1"/>
  <c r="N960" i="1" s="1"/>
  <c r="N377" i="1"/>
  <c r="N173" i="12"/>
  <c r="N1049" i="1"/>
  <c r="N1052" i="1" s="1"/>
  <c r="N168" i="1"/>
  <c r="N169" i="1" s="1"/>
  <c r="N510" i="1"/>
  <c r="N511" i="1" s="1"/>
  <c r="O181" i="31"/>
  <c r="AD570" i="1" l="1"/>
  <c r="AK570" i="1"/>
  <c r="AM570" i="1"/>
  <c r="M824" i="1"/>
  <c r="N799" i="1"/>
  <c r="M802" i="1"/>
  <c r="AC116" i="31"/>
  <c r="AD116" i="31" s="1"/>
  <c r="AE116" i="31" s="1"/>
  <c r="AF116" i="31" s="1"/>
  <c r="AG116" i="31" s="1"/>
  <c r="L813" i="1"/>
  <c r="L825" i="1"/>
  <c r="O570" i="1"/>
  <c r="O173" i="12"/>
  <c r="O377" i="1"/>
  <c r="O510" i="1"/>
  <c r="O511" i="1" s="1"/>
  <c r="O273" i="12"/>
  <c r="O71" i="12"/>
  <c r="O949" i="1"/>
  <c r="O960" i="1" s="1"/>
  <c r="O1049" i="1"/>
  <c r="O1052" i="1" s="1"/>
  <c r="O168" i="1"/>
  <c r="O169" i="1" s="1"/>
  <c r="P181" i="31"/>
  <c r="K748" i="1"/>
  <c r="I570" i="1" l="1"/>
  <c r="F570" i="1"/>
  <c r="F1171" i="1" s="1"/>
  <c r="M825" i="1"/>
  <c r="M813" i="1"/>
  <c r="AH116" i="31"/>
  <c r="AI116" i="31" s="1"/>
  <c r="AJ116" i="31" s="1"/>
  <c r="AK116" i="31" s="1"/>
  <c r="AL116" i="31" s="1"/>
  <c r="AM116" i="31" s="1"/>
  <c r="AN116" i="31" s="1"/>
  <c r="AO116" i="31" s="1"/>
  <c r="AP116" i="31" s="1"/>
  <c r="AQ116" i="31" s="1"/>
  <c r="AR116" i="31" s="1"/>
  <c r="AS116" i="31" s="1"/>
  <c r="AT116" i="31" s="1"/>
  <c r="AU116" i="31" s="1"/>
  <c r="AV116" i="31" s="1"/>
  <c r="AW116" i="31" s="1"/>
  <c r="AX116" i="31" s="1"/>
  <c r="F116" i="31" s="1"/>
  <c r="F118" i="31" s="1"/>
  <c r="F120" i="31" s="1"/>
  <c r="N824" i="1"/>
  <c r="N802" i="1"/>
  <c r="O799" i="1"/>
  <c r="P377" i="1"/>
  <c r="P949" i="1"/>
  <c r="P960" i="1" s="1"/>
  <c r="P273" i="12"/>
  <c r="P173" i="12"/>
  <c r="P71" i="12"/>
  <c r="P510" i="1"/>
  <c r="P511" i="1" s="1"/>
  <c r="P1049" i="1"/>
  <c r="P1052" i="1" s="1"/>
  <c r="P168" i="1"/>
  <c r="P169" i="1" s="1"/>
  <c r="Q181" i="31"/>
  <c r="I748" i="1"/>
  <c r="I860" i="1" s="1"/>
  <c r="K860" i="1"/>
  <c r="K864" i="1" s="1"/>
  <c r="R122" i="31" l="1"/>
  <c r="R123" i="31" s="1"/>
  <c r="AB122" i="31"/>
  <c r="AB123" i="31" s="1"/>
  <c r="X122" i="31"/>
  <c r="X123" i="31" s="1"/>
  <c r="AS122" i="31"/>
  <c r="AS123" i="31" s="1"/>
  <c r="C22" i="5"/>
  <c r="AM122" i="31"/>
  <c r="AM123" i="31" s="1"/>
  <c r="AQ122" i="31"/>
  <c r="AQ123" i="31" s="1"/>
  <c r="T122" i="31"/>
  <c r="T123" i="31" s="1"/>
  <c r="V122" i="31"/>
  <c r="V123" i="31" s="1"/>
  <c r="AI122" i="31"/>
  <c r="AI123" i="31" s="1"/>
  <c r="AW122" i="31"/>
  <c r="AW123" i="31" s="1"/>
  <c r="Q122" i="31"/>
  <c r="Q123" i="31" s="1"/>
  <c r="AO122" i="31"/>
  <c r="AO123" i="31" s="1"/>
  <c r="N122" i="31"/>
  <c r="N123" i="31" s="1"/>
  <c r="AN122" i="31"/>
  <c r="AN123" i="31" s="1"/>
  <c r="AC122" i="31"/>
  <c r="AC123" i="31" s="1"/>
  <c r="AD122" i="31"/>
  <c r="AD123" i="31" s="1"/>
  <c r="AK122" i="31"/>
  <c r="AK123" i="31" s="1"/>
  <c r="AT122" i="31"/>
  <c r="AT123" i="31" s="1"/>
  <c r="O122" i="31"/>
  <c r="O123" i="31" s="1"/>
  <c r="P122" i="31"/>
  <c r="P123" i="31" s="1"/>
  <c r="Y122" i="31"/>
  <c r="Y123" i="31" s="1"/>
  <c r="AL122" i="31"/>
  <c r="AL123" i="31" s="1"/>
  <c r="AE122" i="31"/>
  <c r="AE123" i="31" s="1"/>
  <c r="AG122" i="31"/>
  <c r="AG123" i="31" s="1"/>
  <c r="AX122" i="31"/>
  <c r="AX123" i="31" s="1"/>
  <c r="Z122" i="31"/>
  <c r="Z123" i="31" s="1"/>
  <c r="AU122" i="31"/>
  <c r="AU123" i="31" s="1"/>
  <c r="M122" i="31"/>
  <c r="M123" i="31" s="1"/>
  <c r="W122" i="31"/>
  <c r="W123" i="31" s="1"/>
  <c r="AP122" i="31"/>
  <c r="AP123" i="31" s="1"/>
  <c r="U122" i="31"/>
  <c r="U123" i="31" s="1"/>
  <c r="AJ122" i="31"/>
  <c r="AJ123" i="31" s="1"/>
  <c r="AA122" i="31"/>
  <c r="AA123" i="31" s="1"/>
  <c r="S122" i="31"/>
  <c r="S123" i="31" s="1"/>
  <c r="K122" i="31"/>
  <c r="L122" i="31"/>
  <c r="L123" i="31" s="1"/>
  <c r="AH122" i="31"/>
  <c r="AH123" i="31" s="1"/>
  <c r="AV122" i="31"/>
  <c r="AV123" i="31" s="1"/>
  <c r="AR122" i="31"/>
  <c r="AR123" i="31" s="1"/>
  <c r="AF122" i="31"/>
  <c r="AF123" i="31" s="1"/>
  <c r="O824" i="1"/>
  <c r="P799" i="1"/>
  <c r="N813" i="1"/>
  <c r="N825" i="1"/>
  <c r="K873" i="1"/>
  <c r="I864" i="1"/>
  <c r="K898" i="1"/>
  <c r="Q377" i="1"/>
  <c r="Q71" i="12"/>
  <c r="Q273" i="12"/>
  <c r="Q510" i="1"/>
  <c r="Q511" i="1" s="1"/>
  <c r="Q173" i="12"/>
  <c r="Q1049" i="1"/>
  <c r="Q1052" i="1" s="1"/>
  <c r="Q949" i="1"/>
  <c r="Q960" i="1" s="1"/>
  <c r="Q168" i="1"/>
  <c r="Q169" i="1" s="1"/>
  <c r="R181" i="31"/>
  <c r="AP226" i="31" l="1"/>
  <c r="AP227" i="31" s="1"/>
  <c r="AP162" i="31"/>
  <c r="AN162" i="31"/>
  <c r="AN226" i="31"/>
  <c r="AN227" i="31" s="1"/>
  <c r="AW226" i="31"/>
  <c r="AW227" i="31" s="1"/>
  <c r="AW162" i="31"/>
  <c r="AA162" i="31"/>
  <c r="AA226" i="31"/>
  <c r="AA227" i="31" s="1"/>
  <c r="W162" i="31"/>
  <c r="W226" i="31"/>
  <c r="W227" i="31" s="1"/>
  <c r="AX162" i="31"/>
  <c r="AX226" i="31"/>
  <c r="AX227" i="31" s="1"/>
  <c r="Y162" i="31"/>
  <c r="Y226" i="31"/>
  <c r="Y227" i="31" s="1"/>
  <c r="AK162" i="31"/>
  <c r="AK226" i="31"/>
  <c r="AK227" i="31" s="1"/>
  <c r="N162" i="31"/>
  <c r="N226" i="31"/>
  <c r="AI226" i="31"/>
  <c r="AI227" i="31" s="1"/>
  <c r="AI162" i="31"/>
  <c r="AM162" i="31"/>
  <c r="AM226" i="31"/>
  <c r="AM227" i="31" s="1"/>
  <c r="AB162" i="31"/>
  <c r="AB226" i="31"/>
  <c r="AB227" i="31" s="1"/>
  <c r="S162" i="31"/>
  <c r="S226" i="31"/>
  <c r="S227" i="31" s="1"/>
  <c r="AL162" i="31"/>
  <c r="AL226" i="31"/>
  <c r="AL227" i="31" s="1"/>
  <c r="X162" i="31"/>
  <c r="X226" i="31"/>
  <c r="X227" i="31" s="1"/>
  <c r="Q799" i="1"/>
  <c r="P824" i="1"/>
  <c r="AF162" i="31"/>
  <c r="AF226" i="31"/>
  <c r="AF227" i="31" s="1"/>
  <c r="L162" i="31"/>
  <c r="L226" i="31"/>
  <c r="AJ162" i="31"/>
  <c r="AJ226" i="31"/>
  <c r="AJ227" i="31" s="1"/>
  <c r="M162" i="31"/>
  <c r="M226" i="31"/>
  <c r="AG162" i="31"/>
  <c r="AG226" i="31"/>
  <c r="AG227" i="31" s="1"/>
  <c r="P162" i="31"/>
  <c r="P226" i="31"/>
  <c r="P227" i="31" s="1"/>
  <c r="AD162" i="31"/>
  <c r="AD226" i="31"/>
  <c r="AD227" i="31" s="1"/>
  <c r="AO162" i="31"/>
  <c r="AO226" i="31"/>
  <c r="AO227" i="31" s="1"/>
  <c r="V162" i="31"/>
  <c r="V226" i="31"/>
  <c r="V227" i="31" s="1"/>
  <c r="R162" i="31"/>
  <c r="R226" i="31"/>
  <c r="R227" i="31" s="1"/>
  <c r="AV162" i="31"/>
  <c r="AV226" i="31"/>
  <c r="AV227" i="31" s="1"/>
  <c r="Z162" i="31"/>
  <c r="Z226" i="31"/>
  <c r="Z227" i="31" s="1"/>
  <c r="AT226" i="31"/>
  <c r="AT227" i="31" s="1"/>
  <c r="AT162" i="31"/>
  <c r="AQ162" i="31"/>
  <c r="AQ226" i="31"/>
  <c r="AQ227" i="31" s="1"/>
  <c r="AH226" i="31"/>
  <c r="AH227" i="31" s="1"/>
  <c r="AH162" i="31"/>
  <c r="AR162" i="31"/>
  <c r="AR226" i="31"/>
  <c r="AR227" i="31" s="1"/>
  <c r="I122" i="31"/>
  <c r="K123" i="31"/>
  <c r="U162" i="31"/>
  <c r="U226" i="31"/>
  <c r="U227" i="31" s="1"/>
  <c r="AU162" i="31"/>
  <c r="AU226" i="31"/>
  <c r="AU227" i="31" s="1"/>
  <c r="AE162" i="31"/>
  <c r="AE226" i="31"/>
  <c r="AE227" i="31" s="1"/>
  <c r="O162" i="31"/>
  <c r="O226" i="31"/>
  <c r="AC162" i="31"/>
  <c r="AC226" i="31"/>
  <c r="AC227" i="31" s="1"/>
  <c r="Q162" i="31"/>
  <c r="Q226" i="31"/>
  <c r="Q227" i="31" s="1"/>
  <c r="T226" i="31"/>
  <c r="T227" i="31" s="1"/>
  <c r="T162" i="31"/>
  <c r="AS162" i="31"/>
  <c r="AS226" i="31"/>
  <c r="AS227" i="31" s="1"/>
  <c r="R273" i="12"/>
  <c r="R71" i="12"/>
  <c r="R377" i="1"/>
  <c r="R173" i="12"/>
  <c r="R168" i="1"/>
  <c r="R169" i="1" s="1"/>
  <c r="R1049" i="1"/>
  <c r="R1052" i="1" s="1"/>
  <c r="R949" i="1"/>
  <c r="R960" i="1" s="1"/>
  <c r="R510" i="1"/>
  <c r="R511" i="1" s="1"/>
  <c r="S181" i="31"/>
  <c r="I898" i="1"/>
  <c r="I873" i="1"/>
  <c r="R88" i="7" l="1"/>
  <c r="R163" i="31"/>
  <c r="P88" i="7"/>
  <c r="P163" i="31"/>
  <c r="L88" i="7"/>
  <c r="L163" i="31"/>
  <c r="AS88" i="7"/>
  <c r="AS163" i="31"/>
  <c r="Q88" i="7"/>
  <c r="Q163" i="31"/>
  <c r="O88" i="7"/>
  <c r="O163" i="31"/>
  <c r="AU88" i="7"/>
  <c r="AU163" i="31"/>
  <c r="AH88" i="7"/>
  <c r="AH163" i="31"/>
  <c r="AT88" i="7"/>
  <c r="AT163" i="31"/>
  <c r="Q824" i="1"/>
  <c r="R799" i="1"/>
  <c r="AL88" i="7"/>
  <c r="AL163" i="31"/>
  <c r="AB88" i="7"/>
  <c r="AB163" i="31"/>
  <c r="AK88" i="7"/>
  <c r="AK163" i="31"/>
  <c r="AX88" i="7"/>
  <c r="AX163" i="31"/>
  <c r="AA88" i="7"/>
  <c r="AA163" i="31"/>
  <c r="AN88" i="7"/>
  <c r="AN163" i="31"/>
  <c r="O227" i="31"/>
  <c r="T88" i="7"/>
  <c r="T163" i="31"/>
  <c r="AV88" i="7"/>
  <c r="AV163" i="31"/>
  <c r="V88" i="7"/>
  <c r="V163" i="31"/>
  <c r="AD88" i="7"/>
  <c r="AD163" i="31"/>
  <c r="AG88" i="7"/>
  <c r="AG163" i="31"/>
  <c r="AJ88" i="7"/>
  <c r="AJ163" i="31"/>
  <c r="AF88" i="7"/>
  <c r="AF163" i="31"/>
  <c r="N227" i="31"/>
  <c r="AW88" i="7"/>
  <c r="AW163" i="31"/>
  <c r="AP88" i="7"/>
  <c r="AP163" i="31"/>
  <c r="K226" i="31"/>
  <c r="K162" i="31"/>
  <c r="I123" i="31"/>
  <c r="AQ88" i="7"/>
  <c r="AQ163" i="31"/>
  <c r="Z88" i="7"/>
  <c r="Z163" i="31"/>
  <c r="AO88" i="7"/>
  <c r="AO163" i="31"/>
  <c r="M88" i="7"/>
  <c r="M163" i="31"/>
  <c r="AI88" i="7"/>
  <c r="AI163" i="31"/>
  <c r="AC88" i="7"/>
  <c r="AC163" i="31"/>
  <c r="AE88" i="7"/>
  <c r="AE163" i="31"/>
  <c r="U88" i="7"/>
  <c r="U163" i="31"/>
  <c r="AR88" i="7"/>
  <c r="AR163" i="31"/>
  <c r="M227" i="31"/>
  <c r="L227" i="31"/>
  <c r="X88" i="7"/>
  <c r="X163" i="31"/>
  <c r="S88" i="7"/>
  <c r="S163" i="31"/>
  <c r="AM88" i="7"/>
  <c r="AM163" i="31"/>
  <c r="N88" i="7"/>
  <c r="N163" i="31"/>
  <c r="Y88" i="7"/>
  <c r="Y163" i="31"/>
  <c r="W88" i="7"/>
  <c r="W163" i="31"/>
  <c r="S949" i="1"/>
  <c r="S960" i="1" s="1"/>
  <c r="S273" i="12"/>
  <c r="S173" i="12"/>
  <c r="S71" i="12"/>
  <c r="S377" i="1"/>
  <c r="S168" i="1"/>
  <c r="S169" i="1" s="1"/>
  <c r="S1049" i="1"/>
  <c r="S1052" i="1" s="1"/>
  <c r="S510" i="1"/>
  <c r="S511" i="1" s="1"/>
  <c r="T181" i="31"/>
  <c r="W166" i="31" l="1"/>
  <c r="W167" i="31" s="1"/>
  <c r="W90" i="7" s="1"/>
  <c r="W89" i="7"/>
  <c r="S89" i="7"/>
  <c r="S166" i="31"/>
  <c r="S167" i="31" s="1"/>
  <c r="S90" i="7" s="1"/>
  <c r="AE166" i="31"/>
  <c r="AE167" i="31" s="1"/>
  <c r="AE90" i="7" s="1"/>
  <c r="AE89" i="7"/>
  <c r="AQ89" i="7"/>
  <c r="AQ166" i="31"/>
  <c r="AQ167" i="31" s="1"/>
  <c r="AQ90" i="7" s="1"/>
  <c r="O166" i="31"/>
  <c r="O167" i="31" s="1"/>
  <c r="O90" i="7" s="1"/>
  <c r="O89" i="7"/>
  <c r="AP89" i="7"/>
  <c r="AP166" i="31"/>
  <c r="AP167" i="31" s="1"/>
  <c r="AP90" i="7" s="1"/>
  <c r="AJ89" i="7"/>
  <c r="AJ166" i="31"/>
  <c r="AJ167" i="31" s="1"/>
  <c r="AJ90" i="7" s="1"/>
  <c r="AD166" i="31"/>
  <c r="AD167" i="31" s="1"/>
  <c r="AD90" i="7" s="1"/>
  <c r="AD89" i="7"/>
  <c r="AV166" i="31"/>
  <c r="AV167" i="31" s="1"/>
  <c r="AV90" i="7" s="1"/>
  <c r="AV89" i="7"/>
  <c r="AA89" i="7"/>
  <c r="AA166" i="31"/>
  <c r="AA167" i="31" s="1"/>
  <c r="AA90" i="7" s="1"/>
  <c r="AK89" i="7"/>
  <c r="AK166" i="31"/>
  <c r="AK167" i="31" s="1"/>
  <c r="AK90" i="7" s="1"/>
  <c r="AL166" i="31"/>
  <c r="AL167" i="31" s="1"/>
  <c r="AL90" i="7" s="1"/>
  <c r="AL89" i="7"/>
  <c r="N166" i="31"/>
  <c r="N167" i="31" s="1"/>
  <c r="N90" i="7" s="1"/>
  <c r="N89" i="7"/>
  <c r="AI166" i="31"/>
  <c r="AI167" i="31" s="1"/>
  <c r="AI90" i="7" s="1"/>
  <c r="AI89" i="7"/>
  <c r="K227" i="31"/>
  <c r="P166" i="31"/>
  <c r="P167" i="31" s="1"/>
  <c r="P90" i="7" s="1"/>
  <c r="P89" i="7"/>
  <c r="Y89" i="7"/>
  <c r="Y166" i="31"/>
  <c r="Y167" i="31" s="1"/>
  <c r="Y90" i="7" s="1"/>
  <c r="AM89" i="7"/>
  <c r="AM166" i="31"/>
  <c r="AM167" i="31" s="1"/>
  <c r="AM90" i="7" s="1"/>
  <c r="X89" i="7"/>
  <c r="X166" i="31"/>
  <c r="X167" i="31" s="1"/>
  <c r="X90" i="7" s="1"/>
  <c r="U166" i="31"/>
  <c r="U167" i="31" s="1"/>
  <c r="U90" i="7" s="1"/>
  <c r="U89" i="7"/>
  <c r="AC89" i="7"/>
  <c r="AC166" i="31"/>
  <c r="AC167" i="31" s="1"/>
  <c r="AC90" i="7" s="1"/>
  <c r="M166" i="31"/>
  <c r="M167" i="31" s="1"/>
  <c r="M90" i="7" s="1"/>
  <c r="M89" i="7"/>
  <c r="Z89" i="7"/>
  <c r="Z166" i="31"/>
  <c r="Z167" i="31" s="1"/>
  <c r="Z90" i="7" s="1"/>
  <c r="I226" i="31"/>
  <c r="I162" i="31"/>
  <c r="I88" i="7" s="1"/>
  <c r="AT166" i="31"/>
  <c r="AT167" i="31" s="1"/>
  <c r="AT90" i="7" s="1"/>
  <c r="AT89" i="7"/>
  <c r="AU89" i="7"/>
  <c r="AU166" i="31"/>
  <c r="AU167" i="31" s="1"/>
  <c r="AU90" i="7" s="1"/>
  <c r="Q89" i="7"/>
  <c r="Q166" i="31"/>
  <c r="Q167" i="31" s="1"/>
  <c r="Q90" i="7" s="1"/>
  <c r="L89" i="7"/>
  <c r="L166" i="31"/>
  <c r="L167" i="31" s="1"/>
  <c r="L90" i="7" s="1"/>
  <c r="R166" i="31"/>
  <c r="R167" i="31" s="1"/>
  <c r="R90" i="7" s="1"/>
  <c r="R89" i="7"/>
  <c r="AR166" i="31"/>
  <c r="AR167" i="31" s="1"/>
  <c r="AR90" i="7" s="1"/>
  <c r="AR89" i="7"/>
  <c r="AO166" i="31"/>
  <c r="AO167" i="31" s="1"/>
  <c r="AO90" i="7" s="1"/>
  <c r="AO89" i="7"/>
  <c r="AH166" i="31"/>
  <c r="AH167" i="31" s="1"/>
  <c r="AH90" i="7" s="1"/>
  <c r="AH89" i="7"/>
  <c r="AS89" i="7"/>
  <c r="AS166" i="31"/>
  <c r="AS167" i="31" s="1"/>
  <c r="AS90" i="7" s="1"/>
  <c r="K88" i="7"/>
  <c r="K163" i="31"/>
  <c r="L173" i="31" s="1"/>
  <c r="AW89" i="7"/>
  <c r="AW166" i="31"/>
  <c r="AW167" i="31" s="1"/>
  <c r="AW90" i="7" s="1"/>
  <c r="AF166" i="31"/>
  <c r="AF167" i="31" s="1"/>
  <c r="AF90" i="7" s="1"/>
  <c r="AF89" i="7"/>
  <c r="AG89" i="7"/>
  <c r="AG166" i="31"/>
  <c r="AG167" i="31" s="1"/>
  <c r="AG90" i="7" s="1"/>
  <c r="V166" i="31"/>
  <c r="V167" i="31" s="1"/>
  <c r="V90" i="7" s="1"/>
  <c r="V89" i="7"/>
  <c r="T166" i="31"/>
  <c r="T167" i="31" s="1"/>
  <c r="T90" i="7" s="1"/>
  <c r="T89" i="7"/>
  <c r="AN89" i="7"/>
  <c r="AN166" i="31"/>
  <c r="AN167" i="31" s="1"/>
  <c r="AN90" i="7" s="1"/>
  <c r="AX89" i="7"/>
  <c r="AX166" i="31"/>
  <c r="AX167" i="31" s="1"/>
  <c r="AX90" i="7" s="1"/>
  <c r="AB166" i="31"/>
  <c r="AB167" i="31" s="1"/>
  <c r="AB90" i="7" s="1"/>
  <c r="AB89" i="7"/>
  <c r="R824" i="1"/>
  <c r="S799" i="1"/>
  <c r="T71" i="12"/>
  <c r="T377" i="1"/>
  <c r="T273" i="12"/>
  <c r="T173" i="12"/>
  <c r="T1049" i="1"/>
  <c r="T1052" i="1" s="1"/>
  <c r="T510" i="1"/>
  <c r="T511" i="1" s="1"/>
  <c r="T949" i="1"/>
  <c r="T960" i="1" s="1"/>
  <c r="T168" i="1"/>
  <c r="T169" i="1" s="1"/>
  <c r="U181" i="31"/>
  <c r="T173" i="31" l="1"/>
  <c r="T601" i="1" s="1"/>
  <c r="AX173" i="31"/>
  <c r="AX191" i="31" s="1"/>
  <c r="Q173" i="31"/>
  <c r="Q579" i="1" s="1"/>
  <c r="Q580" i="1" s="1" a="1"/>
  <c r="Q580" i="1" s="1"/>
  <c r="Q634" i="1" s="1"/>
  <c r="AL173" i="31"/>
  <c r="AL579" i="1" s="1"/>
  <c r="AL580" i="1" s="1" a="1"/>
  <c r="AL580" i="1" s="1"/>
  <c r="AL634" i="1" s="1"/>
  <c r="AU173" i="31"/>
  <c r="AU579" i="1" s="1"/>
  <c r="AU580" i="1" s="1" a="1"/>
  <c r="AU580" i="1" s="1"/>
  <c r="AU634" i="1" s="1"/>
  <c r="R173" i="31"/>
  <c r="R191" i="31" s="1"/>
  <c r="AK173" i="31"/>
  <c r="AK579" i="1" s="1"/>
  <c r="AK580" i="1" s="1" a="1"/>
  <c r="AK580" i="1" s="1"/>
  <c r="AK634" i="1" s="1"/>
  <c r="AC173" i="31"/>
  <c r="AC618" i="1" s="1"/>
  <c r="AS91" i="7"/>
  <c r="AO91" i="7"/>
  <c r="Q91" i="7"/>
  <c r="AC91" i="7"/>
  <c r="X91" i="7"/>
  <c r="Y91" i="7"/>
  <c r="AB91" i="7"/>
  <c r="AN91" i="7"/>
  <c r="V91" i="7"/>
  <c r="U173" i="31"/>
  <c r="U618" i="1" s="1"/>
  <c r="Z91" i="7"/>
  <c r="AF173" i="31"/>
  <c r="AF618" i="1" s="1"/>
  <c r="M173" i="31"/>
  <c r="M579" i="1" s="1"/>
  <c r="M580" i="1" s="1" a="1"/>
  <c r="M580" i="1" s="1"/>
  <c r="M634" i="1" s="1"/>
  <c r="AS173" i="31"/>
  <c r="AS601" i="1" s="1"/>
  <c r="AO173" i="31"/>
  <c r="AO618" i="1" s="1"/>
  <c r="K173" i="31"/>
  <c r="K601" i="1" s="1"/>
  <c r="AA91" i="7"/>
  <c r="AH173" i="31"/>
  <c r="AH601" i="1" s="1"/>
  <c r="AE173" i="31"/>
  <c r="AE579" i="1" s="1"/>
  <c r="AE580" i="1" s="1" a="1"/>
  <c r="AE580" i="1" s="1"/>
  <c r="AE634" i="1" s="1"/>
  <c r="W173" i="31"/>
  <c r="W601" i="1" s="1"/>
  <c r="AT173" i="31"/>
  <c r="AT601" i="1" s="1"/>
  <c r="AG173" i="31"/>
  <c r="AG601" i="1" s="1"/>
  <c r="AN173" i="31"/>
  <c r="AN191" i="31" s="1"/>
  <c r="AD173" i="31"/>
  <c r="AD601" i="1" s="1"/>
  <c r="AP173" i="31"/>
  <c r="AP601" i="1" s="1"/>
  <c r="AM173" i="31"/>
  <c r="AM191" i="31" s="1"/>
  <c r="AV173" i="31"/>
  <c r="AV618" i="1" s="1"/>
  <c r="AV619" i="1" s="1"/>
  <c r="AR91" i="7"/>
  <c r="L91" i="7"/>
  <c r="AU91" i="7"/>
  <c r="U91" i="7"/>
  <c r="W91" i="7"/>
  <c r="P173" i="31"/>
  <c r="P579" i="1" s="1"/>
  <c r="P580" i="1" s="1" a="1"/>
  <c r="P580" i="1" s="1"/>
  <c r="P634" i="1" s="1"/>
  <c r="AJ173" i="31"/>
  <c r="AJ618" i="1" s="1"/>
  <c r="O173" i="31"/>
  <c r="O601" i="1" s="1"/>
  <c r="AA173" i="31"/>
  <c r="AA579" i="1" s="1"/>
  <c r="AA580" i="1" s="1" a="1"/>
  <c r="AA580" i="1" s="1"/>
  <c r="AA634" i="1" s="1"/>
  <c r="AW173" i="31"/>
  <c r="AW618" i="1" s="1"/>
  <c r="AW619" i="1" s="1"/>
  <c r="S173" i="31"/>
  <c r="S191" i="31" s="1"/>
  <c r="AL91" i="7"/>
  <c r="AP91" i="7"/>
  <c r="AX91" i="7"/>
  <c r="T91" i="7"/>
  <c r="AR173" i="31"/>
  <c r="AR191" i="31" s="1"/>
  <c r="X173" i="31"/>
  <c r="X579" i="1" s="1"/>
  <c r="X580" i="1" s="1" a="1"/>
  <c r="X580" i="1" s="1"/>
  <c r="X634" i="1" s="1"/>
  <c r="AQ173" i="31"/>
  <c r="AQ618" i="1" s="1"/>
  <c r="AB173" i="31"/>
  <c r="AB618" i="1" s="1"/>
  <c r="AI173" i="31"/>
  <c r="AI579" i="1" s="1"/>
  <c r="AI580" i="1" s="1" a="1"/>
  <c r="AI580" i="1" s="1"/>
  <c r="AI634" i="1" s="1"/>
  <c r="Z173" i="31"/>
  <c r="Z601" i="1" s="1"/>
  <c r="V173" i="31"/>
  <c r="V191" i="31" s="1"/>
  <c r="N173" i="31"/>
  <c r="N191" i="31" s="1"/>
  <c r="Y173" i="31"/>
  <c r="Y579" i="1" s="1"/>
  <c r="Y580" i="1" s="1" a="1"/>
  <c r="Y580" i="1" s="1"/>
  <c r="Y634" i="1" s="1"/>
  <c r="AG91" i="7"/>
  <c r="AW91" i="7"/>
  <c r="I163" i="31"/>
  <c r="K89" i="7"/>
  <c r="K166" i="31"/>
  <c r="K167" i="31" s="1"/>
  <c r="R91" i="7"/>
  <c r="AT91" i="7"/>
  <c r="M91" i="7"/>
  <c r="P91" i="7"/>
  <c r="AI91" i="7"/>
  <c r="AQ91" i="7"/>
  <c r="S91" i="7"/>
  <c r="L601" i="1"/>
  <c r="L191" i="31"/>
  <c r="L618" i="1"/>
  <c r="L579" i="1"/>
  <c r="L580" i="1" s="1" a="1"/>
  <c r="L580" i="1" s="1"/>
  <c r="L634" i="1" s="1"/>
  <c r="I227" i="31"/>
  <c r="AM91" i="7"/>
  <c r="AK91" i="7"/>
  <c r="AV91" i="7"/>
  <c r="AJ91" i="7"/>
  <c r="T799" i="1"/>
  <c r="S824" i="1"/>
  <c r="AF91" i="7"/>
  <c r="AH91" i="7"/>
  <c r="N91" i="7"/>
  <c r="AD91" i="7"/>
  <c r="O91" i="7"/>
  <c r="AE91" i="7"/>
  <c r="U1049" i="1"/>
  <c r="U1052" i="1" s="1"/>
  <c r="U168" i="1"/>
  <c r="U169" i="1" s="1"/>
  <c r="U949" i="1"/>
  <c r="U960" i="1" s="1"/>
  <c r="U273" i="12"/>
  <c r="U377" i="1"/>
  <c r="U510" i="1"/>
  <c r="U511" i="1" s="1"/>
  <c r="U71" i="12"/>
  <c r="U173" i="12"/>
  <c r="V181" i="31"/>
  <c r="T618" i="1" l="1"/>
  <c r="R579" i="1"/>
  <c r="R580" i="1" s="1" a="1"/>
  <c r="R580" i="1" s="1"/>
  <c r="R634" i="1" s="1"/>
  <c r="T579" i="1"/>
  <c r="T580" i="1" s="1" a="1"/>
  <c r="T580" i="1" s="1"/>
  <c r="T634" i="1" s="1"/>
  <c r="AX579" i="1"/>
  <c r="AX580" i="1" s="1" a="1"/>
  <c r="AX580" i="1" s="1"/>
  <c r="AX634" i="1" s="1"/>
  <c r="T191" i="31"/>
  <c r="Q601" i="1"/>
  <c r="AX601" i="1"/>
  <c r="AX618" i="1"/>
  <c r="AX619" i="1" s="1"/>
  <c r="R618" i="1"/>
  <c r="Q618" i="1"/>
  <c r="U601" i="1"/>
  <c r="AK618" i="1"/>
  <c r="AM601" i="1"/>
  <c r="S601" i="1"/>
  <c r="AS618" i="1"/>
  <c r="AS619" i="1" s="1"/>
  <c r="AJ191" i="31"/>
  <c r="AU191" i="31"/>
  <c r="Z618" i="1"/>
  <c r="AL618" i="1"/>
  <c r="AC191" i="31"/>
  <c r="Q191" i="31"/>
  <c r="AL601" i="1"/>
  <c r="AG618" i="1"/>
  <c r="AH579" i="1"/>
  <c r="AH580" i="1" s="1" a="1"/>
  <c r="AH580" i="1" s="1"/>
  <c r="AH634" i="1" s="1"/>
  <c r="AS191" i="31"/>
  <c r="U579" i="1"/>
  <c r="U580" i="1" s="1" a="1"/>
  <c r="U580" i="1" s="1"/>
  <c r="U634" i="1" s="1"/>
  <c r="AH191" i="31"/>
  <c r="N579" i="1"/>
  <c r="N580" i="1" s="1" a="1"/>
  <c r="N580" i="1" s="1"/>
  <c r="N634" i="1" s="1"/>
  <c r="AJ601" i="1"/>
  <c r="AD618" i="1"/>
  <c r="AC579" i="1"/>
  <c r="AC580" i="1" s="1" a="1"/>
  <c r="AC580" i="1" s="1"/>
  <c r="AC634" i="1" s="1"/>
  <c r="AU601" i="1"/>
  <c r="AT579" i="1"/>
  <c r="AT580" i="1" s="1" a="1"/>
  <c r="AT580" i="1" s="1"/>
  <c r="AT634" i="1" s="1"/>
  <c r="X618" i="1"/>
  <c r="M601" i="1"/>
  <c r="AC601" i="1"/>
  <c r="AL191" i="31"/>
  <c r="AP191" i="31"/>
  <c r="W579" i="1"/>
  <c r="W580" i="1" s="1" a="1"/>
  <c r="W580" i="1" s="1"/>
  <c r="W634" i="1" s="1"/>
  <c r="K618" i="1"/>
  <c r="K611" i="1" s="1"/>
  <c r="AA191" i="31"/>
  <c r="AF579" i="1"/>
  <c r="AF580" i="1" s="1" a="1"/>
  <c r="AF580" i="1" s="1"/>
  <c r="AF634" i="1" s="1"/>
  <c r="AU618" i="1"/>
  <c r="AU619" i="1" s="1"/>
  <c r="AK191" i="31"/>
  <c r="AM579" i="1"/>
  <c r="AM580" i="1" s="1" a="1"/>
  <c r="AM580" i="1" s="1"/>
  <c r="AM634" i="1" s="1"/>
  <c r="AG579" i="1"/>
  <c r="AG580" i="1" s="1" a="1"/>
  <c r="AG580" i="1" s="1"/>
  <c r="AG634" i="1" s="1"/>
  <c r="N618" i="1"/>
  <c r="S618" i="1"/>
  <c r="AS579" i="1"/>
  <c r="AS580" i="1" s="1" a="1"/>
  <c r="AS580" i="1" s="1"/>
  <c r="AS634" i="1" s="1"/>
  <c r="U191" i="31"/>
  <c r="AK601" i="1"/>
  <c r="R601" i="1"/>
  <c r="AM618" i="1"/>
  <c r="AG191" i="31"/>
  <c r="AH618" i="1"/>
  <c r="AW191" i="31"/>
  <c r="P618" i="1"/>
  <c r="AQ191" i="31"/>
  <c r="AV579" i="1"/>
  <c r="AV580" i="1" s="1" a="1"/>
  <c r="AV580" i="1" s="1"/>
  <c r="AV634" i="1" s="1"/>
  <c r="AE191" i="31"/>
  <c r="AO601" i="1"/>
  <c r="AN579" i="1"/>
  <c r="AN580" i="1" s="1" a="1"/>
  <c r="AN580" i="1" s="1"/>
  <c r="AN634" i="1" s="1"/>
  <c r="AD579" i="1"/>
  <c r="AD580" i="1" s="1" a="1"/>
  <c r="AD580" i="1" s="1"/>
  <c r="AD634" i="1" s="1"/>
  <c r="W191" i="31"/>
  <c r="X191" i="31"/>
  <c r="K579" i="1"/>
  <c r="K580" i="1" s="1" a="1"/>
  <c r="K580" i="1" s="1"/>
  <c r="K634" i="1" s="1"/>
  <c r="AA618" i="1"/>
  <c r="AF601" i="1"/>
  <c r="Z579" i="1"/>
  <c r="Z580" i="1" s="1" a="1"/>
  <c r="Z580" i="1" s="1"/>
  <c r="Z634" i="1" s="1"/>
  <c r="AD191" i="31"/>
  <c r="W618" i="1"/>
  <c r="X601" i="1"/>
  <c r="K174" i="31"/>
  <c r="L174" i="31" s="1"/>
  <c r="AA601" i="1"/>
  <c r="AF191" i="31"/>
  <c r="Z191" i="31"/>
  <c r="K191" i="31"/>
  <c r="K192" i="31" s="1"/>
  <c r="K948" i="1" s="1"/>
  <c r="K959" i="1" s="1"/>
  <c r="AP579" i="1"/>
  <c r="AP580" i="1" s="1" a="1"/>
  <c r="AP580" i="1" s="1"/>
  <c r="AP634" i="1" s="1"/>
  <c r="AT191" i="31"/>
  <c r="AW579" i="1"/>
  <c r="AW580" i="1" s="1" a="1"/>
  <c r="AW580" i="1" s="1"/>
  <c r="AW634" i="1" s="1"/>
  <c r="M191" i="31"/>
  <c r="P601" i="1"/>
  <c r="AQ579" i="1"/>
  <c r="AQ580" i="1" s="1" a="1"/>
  <c r="AQ580" i="1" s="1"/>
  <c r="AQ634" i="1" s="1"/>
  <c r="V579" i="1"/>
  <c r="V580" i="1" s="1" a="1"/>
  <c r="V580" i="1" s="1"/>
  <c r="V634" i="1" s="1"/>
  <c r="V618" i="1"/>
  <c r="AP618" i="1"/>
  <c r="AT618" i="1"/>
  <c r="AT619" i="1" s="1"/>
  <c r="AW601" i="1"/>
  <c r="M618" i="1"/>
  <c r="P191" i="31"/>
  <c r="AQ601" i="1"/>
  <c r="V601" i="1"/>
  <c r="AI191" i="31"/>
  <c r="O579" i="1"/>
  <c r="O580" i="1" s="1" a="1"/>
  <c r="O580" i="1" s="1"/>
  <c r="O634" i="1" s="1"/>
  <c r="Y618" i="1"/>
  <c r="AB579" i="1"/>
  <c r="AB580" i="1" s="1" a="1"/>
  <c r="AB580" i="1" s="1"/>
  <c r="AB634" i="1" s="1"/>
  <c r="AB601" i="1"/>
  <c r="AR618" i="1"/>
  <c r="AR619" i="1" s="1"/>
  <c r="AV601" i="1"/>
  <c r="AN618" i="1"/>
  <c r="AI601" i="1"/>
  <c r="AO579" i="1"/>
  <c r="AO580" i="1" s="1" a="1"/>
  <c r="AO580" i="1" s="1"/>
  <c r="AO634" i="1" s="1"/>
  <c r="O191" i="31"/>
  <c r="Y601" i="1"/>
  <c r="AR579" i="1"/>
  <c r="AR580" i="1" s="1" a="1"/>
  <c r="AR580" i="1" s="1"/>
  <c r="AR634" i="1" s="1"/>
  <c r="AV191" i="31"/>
  <c r="AN601" i="1"/>
  <c r="AE618" i="1"/>
  <c r="N601" i="1"/>
  <c r="AI618" i="1"/>
  <c r="I173" i="31"/>
  <c r="I579" i="1" s="1"/>
  <c r="S579" i="1"/>
  <c r="S580" i="1" s="1" a="1"/>
  <c r="S580" i="1" s="1"/>
  <c r="S634" i="1" s="1"/>
  <c r="AO191" i="31"/>
  <c r="O618" i="1"/>
  <c r="AJ579" i="1"/>
  <c r="AJ580" i="1" s="1" a="1"/>
  <c r="AJ580" i="1" s="1"/>
  <c r="AJ634" i="1" s="1"/>
  <c r="Y191" i="31"/>
  <c r="AB191" i="31"/>
  <c r="AR601" i="1"/>
  <c r="AE601" i="1"/>
  <c r="I89" i="7"/>
  <c r="I166" i="31"/>
  <c r="T824" i="1"/>
  <c r="U799" i="1"/>
  <c r="I167" i="31"/>
  <c r="I90" i="7" s="1"/>
  <c r="K90" i="7"/>
  <c r="K91" i="7" s="1"/>
  <c r="F91" i="7" s="1"/>
  <c r="F151" i="7" s="1"/>
  <c r="F153" i="7" s="1"/>
  <c r="K9" i="34" s="1"/>
  <c r="F96" i="35" s="1"/>
  <c r="J96" i="35" s="1"/>
  <c r="I96" i="35" s="1"/>
  <c r="V173" i="12"/>
  <c r="V273" i="12"/>
  <c r="V71" i="12"/>
  <c r="V377" i="1"/>
  <c r="V949" i="1"/>
  <c r="V960" i="1" s="1"/>
  <c r="V510" i="1"/>
  <c r="V511" i="1" s="1"/>
  <c r="V168" i="1"/>
  <c r="V169" i="1" s="1"/>
  <c r="V1049" i="1"/>
  <c r="V1052" i="1" s="1"/>
  <c r="W181" i="31"/>
  <c r="K199" i="31" l="1"/>
  <c r="K200" i="31" s="1"/>
  <c r="K248" i="1" s="1"/>
  <c r="K163" i="1"/>
  <c r="K164" i="1" s="1"/>
  <c r="K172" i="1" s="1"/>
  <c r="K70" i="12"/>
  <c r="K207" i="31"/>
  <c r="K208" i="31" s="1"/>
  <c r="K182" i="12" s="1"/>
  <c r="K172" i="12"/>
  <c r="L192" i="31"/>
  <c r="L211" i="31" s="1"/>
  <c r="L212" i="31" s="1"/>
  <c r="L282" i="12" s="1"/>
  <c r="K272" i="12"/>
  <c r="K211" i="31"/>
  <c r="K212" i="31" s="1"/>
  <c r="K282" i="12" s="1"/>
  <c r="K947" i="1"/>
  <c r="K958" i="1" s="1"/>
  <c r="I618" i="1"/>
  <c r="I601" i="1"/>
  <c r="I191" i="31"/>
  <c r="L172" i="12"/>
  <c r="L199" i="31"/>
  <c r="L70" i="12"/>
  <c r="L163" i="1"/>
  <c r="L164" i="1" s="1"/>
  <c r="L172" i="1" s="1"/>
  <c r="L485" i="1" s="1"/>
  <c r="L497" i="1" s="1"/>
  <c r="L207" i="31"/>
  <c r="L208" i="31" s="1"/>
  <c r="L182" i="12" s="1"/>
  <c r="L947" i="1"/>
  <c r="L958" i="1" s="1"/>
  <c r="M174" i="31"/>
  <c r="K628" i="1"/>
  <c r="K635" i="1" s="1"/>
  <c r="K651" i="1" s="1"/>
  <c r="K617" i="1"/>
  <c r="U824" i="1"/>
  <c r="V799" i="1"/>
  <c r="W377" i="1"/>
  <c r="W71" i="12"/>
  <c r="W173" i="12"/>
  <c r="W273" i="12"/>
  <c r="W949" i="1"/>
  <c r="W960" i="1" s="1"/>
  <c r="W510" i="1"/>
  <c r="W511" i="1" s="1"/>
  <c r="W1049" i="1"/>
  <c r="W1052" i="1" s="1"/>
  <c r="W168" i="1"/>
  <c r="W169" i="1" s="1"/>
  <c r="X181" i="31"/>
  <c r="K652" i="1" l="1"/>
  <c r="T121" i="5"/>
  <c r="T124" i="5" s="1"/>
  <c r="K1117" i="1"/>
  <c r="K1122" i="1" s="1"/>
  <c r="K230" i="31"/>
  <c r="K232" i="31" s="1"/>
  <c r="K199" i="1" s="1"/>
  <c r="L200" i="31"/>
  <c r="L1117" i="1" s="1"/>
  <c r="L1122" i="1" s="1"/>
  <c r="L14" i="7" s="1"/>
  <c r="L28" i="7" s="1"/>
  <c r="K80" i="12"/>
  <c r="K196" i="1"/>
  <c r="K197" i="1" s="1"/>
  <c r="L272" i="12"/>
  <c r="M192" i="31"/>
  <c r="N192" i="31" s="1"/>
  <c r="L948" i="1"/>
  <c r="L959" i="1" s="1"/>
  <c r="K727" i="1"/>
  <c r="K747" i="1" s="1"/>
  <c r="K312" i="1"/>
  <c r="K1103" i="1"/>
  <c r="K474" i="1"/>
  <c r="K478" i="1" s="1"/>
  <c r="K496" i="1" s="1"/>
  <c r="K619" i="1"/>
  <c r="L312" i="1"/>
  <c r="L727" i="1"/>
  <c r="L747" i="1" s="1"/>
  <c r="L768" i="1" s="1"/>
  <c r="L772" i="1" s="1"/>
  <c r="L474" i="1"/>
  <c r="L478" i="1" s="1"/>
  <c r="L496" i="1" s="1"/>
  <c r="L1103" i="1"/>
  <c r="F252" i="1"/>
  <c r="K254" i="1" s="1"/>
  <c r="W799" i="1"/>
  <c r="V824" i="1"/>
  <c r="M70" i="12"/>
  <c r="M199" i="31"/>
  <c r="M947" i="1"/>
  <c r="M958" i="1" s="1"/>
  <c r="N174" i="31"/>
  <c r="M163" i="1"/>
  <c r="M164" i="1" s="1"/>
  <c r="M172" i="1" s="1"/>
  <c r="M485" i="1" s="1"/>
  <c r="M497" i="1" s="1"/>
  <c r="M207" i="31"/>
  <c r="M208" i="31" s="1"/>
  <c r="M182" i="12" s="1"/>
  <c r="M172" i="12"/>
  <c r="X273" i="12"/>
  <c r="X71" i="12"/>
  <c r="X173" i="12"/>
  <c r="X377" i="1"/>
  <c r="X168" i="1"/>
  <c r="X169" i="1" s="1"/>
  <c r="X1049" i="1"/>
  <c r="X1052" i="1" s="1"/>
  <c r="X949" i="1"/>
  <c r="X960" i="1" s="1"/>
  <c r="X510" i="1"/>
  <c r="X511" i="1" s="1"/>
  <c r="Y181" i="31"/>
  <c r="M200" i="31" l="1"/>
  <c r="M230" i="31" s="1"/>
  <c r="K235" i="31"/>
  <c r="K20" i="12" s="1"/>
  <c r="K85" i="12" s="1"/>
  <c r="K240" i="31"/>
  <c r="K469" i="1" s="1"/>
  <c r="K200" i="1"/>
  <c r="M211" i="31"/>
  <c r="M212" i="31" s="1"/>
  <c r="M282" i="12" s="1"/>
  <c r="K241" i="31"/>
  <c r="K250" i="31" s="1"/>
  <c r="K242" i="31"/>
  <c r="K251" i="31" s="1"/>
  <c r="L196" i="1"/>
  <c r="L197" i="1" s="1"/>
  <c r="L80" i="12"/>
  <c r="K239" i="31"/>
  <c r="K24" i="12" s="1"/>
  <c r="K89" i="12" s="1"/>
  <c r="K238" i="31"/>
  <c r="K307" i="1" s="1"/>
  <c r="K243" i="31"/>
  <c r="K28" i="12" s="1"/>
  <c r="K93" i="12" s="1"/>
  <c r="K234" i="31"/>
  <c r="L248" i="1"/>
  <c r="L254" i="1" s="1"/>
  <c r="L230" i="31"/>
  <c r="L239" i="31" s="1"/>
  <c r="M948" i="1"/>
  <c r="M959" i="1" s="1"/>
  <c r="M272" i="12"/>
  <c r="W824" i="1"/>
  <c r="X799" i="1"/>
  <c r="K1120" i="1"/>
  <c r="M474" i="1"/>
  <c r="M478" i="1" s="1"/>
  <c r="M496" i="1" s="1"/>
  <c r="M312" i="1"/>
  <c r="M1103" i="1"/>
  <c r="M727" i="1"/>
  <c r="M747" i="1" s="1"/>
  <c r="M768" i="1" s="1"/>
  <c r="M772" i="1" s="1"/>
  <c r="L1120" i="1"/>
  <c r="N211" i="31"/>
  <c r="N212" i="31" s="1"/>
  <c r="N282" i="12" s="1"/>
  <c r="O192" i="31"/>
  <c r="N948" i="1"/>
  <c r="N959" i="1" s="1"/>
  <c r="N272" i="12"/>
  <c r="N70" i="12"/>
  <c r="N163" i="1"/>
  <c r="N164" i="1" s="1"/>
  <c r="N172" i="1" s="1"/>
  <c r="N485" i="1" s="1"/>
  <c r="N497" i="1" s="1"/>
  <c r="N172" i="12"/>
  <c r="N947" i="1"/>
  <c r="N958" i="1" s="1"/>
  <c r="N199" i="31"/>
  <c r="N207" i="31"/>
  <c r="N208" i="31" s="1"/>
  <c r="N182" i="12" s="1"/>
  <c r="O174" i="31"/>
  <c r="L777" i="1"/>
  <c r="L897" i="1"/>
  <c r="K768" i="1"/>
  <c r="K772" i="1" s="1"/>
  <c r="K14" i="7"/>
  <c r="Y377" i="1"/>
  <c r="Y71" i="12"/>
  <c r="Y273" i="12"/>
  <c r="Y173" i="12"/>
  <c r="Y949" i="1"/>
  <c r="Y960" i="1" s="1"/>
  <c r="Y1049" i="1"/>
  <c r="Y1052" i="1" s="1"/>
  <c r="Y168" i="1"/>
  <c r="Y169" i="1" s="1"/>
  <c r="Y510" i="1"/>
  <c r="Y511" i="1" s="1"/>
  <c r="Z181" i="31"/>
  <c r="K19" i="12" l="1"/>
  <c r="K84" i="12" s="1"/>
  <c r="K177" i="1"/>
  <c r="M196" i="1"/>
  <c r="M197" i="1" s="1"/>
  <c r="M248" i="1"/>
  <c r="M254" i="1" s="1"/>
  <c r="M80" i="12"/>
  <c r="M1117" i="1"/>
  <c r="M1122" i="1" s="1"/>
  <c r="M14" i="7" s="1"/>
  <c r="M28" i="7" s="1"/>
  <c r="N200" i="31"/>
  <c r="N1117" i="1" s="1"/>
  <c r="N1122" i="1" s="1"/>
  <c r="K724" i="1"/>
  <c r="K734" i="1" s="1"/>
  <c r="K744" i="1" s="1"/>
  <c r="K968" i="1"/>
  <c r="K588" i="1"/>
  <c r="K25" i="12"/>
  <c r="K90" i="12" s="1"/>
  <c r="K309" i="1"/>
  <c r="K249" i="31"/>
  <c r="K967" i="1"/>
  <c r="K589" i="1"/>
  <c r="K310" i="1"/>
  <c r="K145" i="1"/>
  <c r="L243" i="31"/>
  <c r="L28" i="12" s="1"/>
  <c r="L93" i="12" s="1"/>
  <c r="K970" i="1"/>
  <c r="K488" i="1"/>
  <c r="L240" i="31"/>
  <c r="L249" i="31" s="1"/>
  <c r="K104" i="1"/>
  <c r="K125" i="1" s="1"/>
  <c r="K27" i="12"/>
  <c r="K92" i="12" s="1"/>
  <c r="L238" i="31"/>
  <c r="L596" i="1" s="1"/>
  <c r="K26" i="12"/>
  <c r="K91" i="12" s="1"/>
  <c r="K127" i="7" s="1"/>
  <c r="K128" i="7" s="1"/>
  <c r="K489" i="1"/>
  <c r="K969" i="1"/>
  <c r="K725" i="1"/>
  <c r="K735" i="1" s="1"/>
  <c r="K745" i="1" s="1"/>
  <c r="K468" i="1"/>
  <c r="K23" i="12"/>
  <c r="K88" i="12" s="1"/>
  <c r="L242" i="31"/>
  <c r="L145" i="1" s="1"/>
  <c r="L241" i="31"/>
  <c r="L250" i="31" s="1"/>
  <c r="K722" i="1"/>
  <c r="K732" i="1" s="1"/>
  <c r="K742" i="1" s="1"/>
  <c r="K596" i="1"/>
  <c r="K333" i="1"/>
  <c r="L234" i="31"/>
  <c r="L232" i="31"/>
  <c r="L199" i="1" s="1"/>
  <c r="L200" i="1" s="1"/>
  <c r="K966" i="1"/>
  <c r="K723" i="1"/>
  <c r="K733" i="1" s="1"/>
  <c r="L235" i="31"/>
  <c r="L20" i="12" s="1"/>
  <c r="L85" i="12" s="1"/>
  <c r="K236" i="31"/>
  <c r="K597" i="1"/>
  <c r="K308" i="1"/>
  <c r="K28" i="7"/>
  <c r="K897" i="1"/>
  <c r="K777" i="1"/>
  <c r="N312" i="1"/>
  <c r="N727" i="1"/>
  <c r="N747" i="1" s="1"/>
  <c r="N474" i="1"/>
  <c r="N478" i="1" s="1"/>
  <c r="N496" i="1" s="1"/>
  <c r="N1103" i="1"/>
  <c r="L12" i="7"/>
  <c r="L26" i="7" s="1"/>
  <c r="M777" i="1"/>
  <c r="M897" i="1"/>
  <c r="M240" i="31"/>
  <c r="M238" i="31"/>
  <c r="M235" i="31"/>
  <c r="M20" i="12" s="1"/>
  <c r="M239" i="31"/>
  <c r="M232" i="31"/>
  <c r="M199" i="1" s="1"/>
  <c r="M241" i="31"/>
  <c r="M234" i="31"/>
  <c r="M242" i="31"/>
  <c r="M243" i="31"/>
  <c r="O207" i="31"/>
  <c r="O208" i="31" s="1"/>
  <c r="O182" i="12" s="1"/>
  <c r="O172" i="12"/>
  <c r="O70" i="12"/>
  <c r="O163" i="1"/>
  <c r="O164" i="1" s="1"/>
  <c r="O947" i="1"/>
  <c r="O958" i="1" s="1"/>
  <c r="O199" i="31"/>
  <c r="P174" i="31"/>
  <c r="O272" i="12"/>
  <c r="O211" i="31"/>
  <c r="O212" i="31" s="1"/>
  <c r="O282" i="12" s="1"/>
  <c r="P192" i="31"/>
  <c r="O948" i="1"/>
  <c r="O959" i="1" s="1"/>
  <c r="L597" i="1"/>
  <c r="L723" i="1"/>
  <c r="L967" i="1"/>
  <c r="L308" i="1"/>
  <c r="L24" i="12"/>
  <c r="L89" i="12" s="1"/>
  <c r="L333" i="1"/>
  <c r="L468" i="1"/>
  <c r="K12" i="7"/>
  <c r="Y799" i="1"/>
  <c r="X824" i="1"/>
  <c r="Z173" i="12"/>
  <c r="Z71" i="12"/>
  <c r="Z273" i="12"/>
  <c r="Z377" i="1"/>
  <c r="Z168" i="1"/>
  <c r="Z169" i="1" s="1"/>
  <c r="Z1049" i="1"/>
  <c r="Z1052" i="1" s="1"/>
  <c r="Z949" i="1"/>
  <c r="Z960" i="1" s="1"/>
  <c r="Z510" i="1"/>
  <c r="Z511" i="1" s="1"/>
  <c r="AA181" i="31"/>
  <c r="K428" i="1" l="1"/>
  <c r="K434" i="1" s="1"/>
  <c r="K692" i="1" s="1"/>
  <c r="K303" i="1"/>
  <c r="K245" i="31"/>
  <c r="K1151" i="1" s="1"/>
  <c r="K178" i="1"/>
  <c r="N80" i="12"/>
  <c r="O200" i="31"/>
  <c r="O230" i="31" s="1"/>
  <c r="M200" i="1"/>
  <c r="N196" i="1"/>
  <c r="N197" i="1" s="1"/>
  <c r="M85" i="12"/>
  <c r="M1120" i="1"/>
  <c r="M12" i="7" s="1"/>
  <c r="M26" i="7" s="1"/>
  <c r="N230" i="31"/>
  <c r="N238" i="31" s="1"/>
  <c r="N248" i="1"/>
  <c r="N254" i="1" s="1"/>
  <c r="K116" i="1"/>
  <c r="L104" i="1"/>
  <c r="L116" i="1" s="1"/>
  <c r="L251" i="31"/>
  <c r="L488" i="1"/>
  <c r="L725" i="1"/>
  <c r="L735" i="1" s="1"/>
  <c r="L745" i="1" s="1"/>
  <c r="L588" i="1"/>
  <c r="L469" i="1"/>
  <c r="L25" i="12"/>
  <c r="L90" i="12" s="1"/>
  <c r="L724" i="1"/>
  <c r="L734" i="1" s="1"/>
  <c r="L744" i="1" s="1"/>
  <c r="L968" i="1"/>
  <c r="K217" i="1"/>
  <c r="L309" i="1"/>
  <c r="L966" i="1"/>
  <c r="L589" i="1"/>
  <c r="L177" i="1"/>
  <c r="L23" i="12"/>
  <c r="L88" i="12" s="1"/>
  <c r="L722" i="1"/>
  <c r="L732" i="1" s="1"/>
  <c r="L742" i="1" s="1"/>
  <c r="L307" i="1"/>
  <c r="L26" i="12"/>
  <c r="L91" i="12" s="1"/>
  <c r="L127" i="7" s="1"/>
  <c r="L128" i="7" s="1"/>
  <c r="L310" i="1"/>
  <c r="L970" i="1"/>
  <c r="L27" i="12"/>
  <c r="L92" i="12" s="1"/>
  <c r="K598" i="1"/>
  <c r="K599" i="1" s="1"/>
  <c r="L236" i="31"/>
  <c r="K248" i="31"/>
  <c r="K252" i="31" s="1"/>
  <c r="K41" i="12" s="1"/>
  <c r="L969" i="1"/>
  <c r="L19" i="12"/>
  <c r="L84" i="12" s="1"/>
  <c r="K21" i="12"/>
  <c r="K86" i="12" s="1"/>
  <c r="K298" i="1"/>
  <c r="L489" i="1"/>
  <c r="L598" i="1"/>
  <c r="K894" i="1"/>
  <c r="K779" i="1"/>
  <c r="K870" i="1"/>
  <c r="K895" i="1"/>
  <c r="P272" i="12"/>
  <c r="P948" i="1"/>
  <c r="P959" i="1" s="1"/>
  <c r="Q192" i="31"/>
  <c r="P211" i="31"/>
  <c r="P212" i="31" s="1"/>
  <c r="P282" i="12" s="1"/>
  <c r="K135" i="1"/>
  <c r="M970" i="1"/>
  <c r="M251" i="31"/>
  <c r="M27" i="12"/>
  <c r="M92" i="12" s="1"/>
  <c r="M104" i="1"/>
  <c r="M145" i="1"/>
  <c r="M468" i="1"/>
  <c r="M723" i="1"/>
  <c r="M733" i="1" s="1"/>
  <c r="M743" i="1" s="1"/>
  <c r="M967" i="1"/>
  <c r="M24" i="12"/>
  <c r="M89" i="12" s="1"/>
  <c r="M597" i="1"/>
  <c r="M333" i="1"/>
  <c r="M308" i="1"/>
  <c r="N1120" i="1"/>
  <c r="K743" i="1"/>
  <c r="M177" i="1"/>
  <c r="M236" i="31"/>
  <c r="M19" i="12"/>
  <c r="M84" i="12" s="1"/>
  <c r="L733" i="1"/>
  <c r="L743" i="1" s="1"/>
  <c r="N14" i="7"/>
  <c r="O172" i="1"/>
  <c r="O485" i="1" s="1"/>
  <c r="O497" i="1" s="1"/>
  <c r="M589" i="1"/>
  <c r="M310" i="1"/>
  <c r="M489" i="1"/>
  <c r="M969" i="1"/>
  <c r="M250" i="31"/>
  <c r="M26" i="12"/>
  <c r="M91" i="12" s="1"/>
  <c r="M127" i="7" s="1"/>
  <c r="M128" i="7" s="1"/>
  <c r="M725" i="1"/>
  <c r="M596" i="1"/>
  <c r="M722" i="1"/>
  <c r="M23" i="12"/>
  <c r="M88" i="12" s="1"/>
  <c r="M966" i="1"/>
  <c r="M488" i="1"/>
  <c r="M307" i="1"/>
  <c r="N768" i="1"/>
  <c r="N772" i="1" s="1"/>
  <c r="Y824" i="1"/>
  <c r="Z799" i="1"/>
  <c r="K26" i="7"/>
  <c r="P70" i="12"/>
  <c r="Q174" i="31"/>
  <c r="P163" i="1"/>
  <c r="P164" i="1" s="1"/>
  <c r="P172" i="1" s="1"/>
  <c r="P485" i="1" s="1"/>
  <c r="P497" i="1" s="1"/>
  <c r="P947" i="1"/>
  <c r="P958" i="1" s="1"/>
  <c r="P207" i="31"/>
  <c r="P208" i="31" s="1"/>
  <c r="P182" i="12" s="1"/>
  <c r="P199" i="31"/>
  <c r="P172" i="12"/>
  <c r="M28" i="12"/>
  <c r="M93" i="12" s="1"/>
  <c r="M249" i="31"/>
  <c r="M968" i="1"/>
  <c r="M469" i="1"/>
  <c r="M309" i="1"/>
  <c r="M724" i="1"/>
  <c r="M588" i="1"/>
  <c r="M25" i="12"/>
  <c r="M90" i="12" s="1"/>
  <c r="K758" i="1"/>
  <c r="K892" i="1"/>
  <c r="AA1049" i="1"/>
  <c r="AA1052" i="1" s="1"/>
  <c r="AA71" i="12"/>
  <c r="AA273" i="12"/>
  <c r="AA173" i="12"/>
  <c r="AA377" i="1"/>
  <c r="AA168" i="1"/>
  <c r="AA169" i="1" s="1"/>
  <c r="AA949" i="1"/>
  <c r="AA960" i="1" s="1"/>
  <c r="AA510" i="1"/>
  <c r="AA511" i="1" s="1"/>
  <c r="AB181" i="31"/>
  <c r="K435" i="1" l="1"/>
  <c r="K697" i="1" s="1"/>
  <c r="L428" i="1"/>
  <c r="L434" i="1" s="1"/>
  <c r="L692" i="1" s="1"/>
  <c r="L303" i="1"/>
  <c r="M428" i="1"/>
  <c r="M435" i="1" s="1"/>
  <c r="M303" i="1"/>
  <c r="L298" i="1"/>
  <c r="K30" i="12"/>
  <c r="K95" i="12" s="1"/>
  <c r="K33" i="12"/>
  <c r="K130" i="12" s="1"/>
  <c r="K65" i="12"/>
  <c r="K67" i="12" s="1"/>
  <c r="K72" i="12" s="1"/>
  <c r="K155" i="1"/>
  <c r="K185" i="1"/>
  <c r="K212" i="1" s="1"/>
  <c r="K214" i="1" s="1"/>
  <c r="O80" i="12"/>
  <c r="O248" i="1"/>
  <c r="O254" i="1" s="1"/>
  <c r="O196" i="1"/>
  <c r="O197" i="1" s="1"/>
  <c r="O1117" i="1"/>
  <c r="O1122" i="1" s="1"/>
  <c r="O14" i="7" s="1"/>
  <c r="O28" i="7" s="1"/>
  <c r="P200" i="31"/>
  <c r="P80" i="12" s="1"/>
  <c r="N235" i="31"/>
  <c r="N20" i="12" s="1"/>
  <c r="N85" i="12" s="1"/>
  <c r="N234" i="31"/>
  <c r="N242" i="31"/>
  <c r="N970" i="1" s="1"/>
  <c r="N241" i="31"/>
  <c r="N26" i="12" s="1"/>
  <c r="N91" i="12" s="1"/>
  <c r="N127" i="7" s="1"/>
  <c r="N128" i="7" s="1"/>
  <c r="N240" i="31"/>
  <c r="N469" i="1" s="1"/>
  <c r="N243" i="31"/>
  <c r="N28" i="12" s="1"/>
  <c r="N93" i="12" s="1"/>
  <c r="N232" i="31"/>
  <c r="N199" i="1" s="1"/>
  <c r="N200" i="1" s="1"/>
  <c r="N239" i="31"/>
  <c r="N24" i="12" s="1"/>
  <c r="N89" i="12" s="1"/>
  <c r="L245" i="31"/>
  <c r="L33" i="12" s="1"/>
  <c r="L130" i="12" s="1"/>
  <c r="L248" i="31"/>
  <c r="L252" i="31" s="1"/>
  <c r="L41" i="12" s="1"/>
  <c r="L138" i="12" s="1"/>
  <c r="L193" i="12" s="1"/>
  <c r="L217" i="1"/>
  <c r="L178" i="1"/>
  <c r="L185" i="1" s="1"/>
  <c r="L212" i="1" s="1"/>
  <c r="L214" i="1" s="1"/>
  <c r="L429" i="1" s="1"/>
  <c r="L21" i="12"/>
  <c r="L86" i="12" s="1"/>
  <c r="L599" i="1"/>
  <c r="M598" i="1"/>
  <c r="L778" i="1"/>
  <c r="L893" i="1"/>
  <c r="L870" i="1"/>
  <c r="L895" i="1"/>
  <c r="M116" i="1"/>
  <c r="M734" i="1"/>
  <c r="M744" i="1" s="1"/>
  <c r="Q207" i="31"/>
  <c r="Q208" i="31" s="1"/>
  <c r="Q182" i="12" s="1"/>
  <c r="Q172" i="12"/>
  <c r="R174" i="31"/>
  <c r="Q199" i="31"/>
  <c r="Q70" i="12"/>
  <c r="Q163" i="1"/>
  <c r="Q164" i="1" s="1"/>
  <c r="Q172" i="1" s="1"/>
  <c r="Q485" i="1" s="1"/>
  <c r="Q497" i="1" s="1"/>
  <c r="Q947" i="1"/>
  <c r="Q958" i="1" s="1"/>
  <c r="N777" i="1"/>
  <c r="N897" i="1"/>
  <c r="M732" i="1"/>
  <c r="M742" i="1" s="1"/>
  <c r="N28" i="7"/>
  <c r="M778" i="1"/>
  <c r="M893" i="1"/>
  <c r="O232" i="31"/>
  <c r="O199" i="1" s="1"/>
  <c r="O239" i="31"/>
  <c r="O235" i="31"/>
  <c r="O20" i="12" s="1"/>
  <c r="O234" i="31"/>
  <c r="O240" i="31"/>
  <c r="O238" i="31"/>
  <c r="O241" i="31"/>
  <c r="O242" i="31"/>
  <c r="O243" i="31"/>
  <c r="M434" i="1"/>
  <c r="L892" i="1"/>
  <c r="L758" i="1"/>
  <c r="M298" i="1"/>
  <c r="M248" i="31"/>
  <c r="M252" i="31" s="1"/>
  <c r="M41" i="12" s="1"/>
  <c r="M138" i="12" s="1"/>
  <c r="M178" i="1"/>
  <c r="M185" i="1" s="1"/>
  <c r="M212" i="1" s="1"/>
  <c r="M214" i="1" s="1"/>
  <c r="M245" i="31"/>
  <c r="M21" i="12"/>
  <c r="M86" i="12" s="1"/>
  <c r="M217" i="1"/>
  <c r="N12" i="7"/>
  <c r="Q272" i="12"/>
  <c r="Q948" i="1"/>
  <c r="Q959" i="1" s="1"/>
  <c r="Q211" i="31"/>
  <c r="Q212" i="31" s="1"/>
  <c r="Q282" i="12" s="1"/>
  <c r="R192" i="31"/>
  <c r="L894" i="1"/>
  <c r="L779" i="1"/>
  <c r="P312" i="1"/>
  <c r="P1103" i="1"/>
  <c r="P474" i="1"/>
  <c r="P478" i="1" s="1"/>
  <c r="P496" i="1" s="1"/>
  <c r="P727" i="1"/>
  <c r="P747" i="1" s="1"/>
  <c r="P768" i="1" s="1"/>
  <c r="P772" i="1" s="1"/>
  <c r="K765" i="1"/>
  <c r="K764" i="1"/>
  <c r="Z824" i="1"/>
  <c r="AA799" i="1"/>
  <c r="M735" i="1"/>
  <c r="M745" i="1" s="1"/>
  <c r="O474" i="1"/>
  <c r="O478" i="1" s="1"/>
  <c r="O1103" i="1"/>
  <c r="O727" i="1"/>
  <c r="O747" i="1" s="1"/>
  <c r="O312" i="1"/>
  <c r="N488" i="1"/>
  <c r="N722" i="1"/>
  <c r="N596" i="1"/>
  <c r="N307" i="1"/>
  <c r="N23" i="12"/>
  <c r="N88" i="12" s="1"/>
  <c r="N966" i="1"/>
  <c r="K138" i="12"/>
  <c r="K893" i="1"/>
  <c r="K778" i="1"/>
  <c r="K150" i="1"/>
  <c r="K146" i="1"/>
  <c r="AB273" i="12"/>
  <c r="AB71" i="12"/>
  <c r="AB173" i="12"/>
  <c r="AB377" i="1"/>
  <c r="AB1049" i="1"/>
  <c r="AB1052" i="1" s="1"/>
  <c r="AB949" i="1"/>
  <c r="AB960" i="1" s="1"/>
  <c r="AB510" i="1"/>
  <c r="AB511" i="1" s="1"/>
  <c r="AB168" i="1"/>
  <c r="AB169" i="1" s="1"/>
  <c r="AC181" i="31"/>
  <c r="L435" i="1" l="1"/>
  <c r="L697" i="1" s="1"/>
  <c r="K218" i="1"/>
  <c r="K219" i="1" s="1"/>
  <c r="K502" i="1" s="1"/>
  <c r="K504" i="1" s="1"/>
  <c r="K429" i="1"/>
  <c r="K1104" i="1"/>
  <c r="K1121" i="1" s="1"/>
  <c r="K304" i="1"/>
  <c r="K222" i="1"/>
  <c r="K438" i="1" s="1"/>
  <c r="K441" i="1" s="1"/>
  <c r="O200" i="1"/>
  <c r="O85" i="12"/>
  <c r="P196" i="1"/>
  <c r="P197" i="1" s="1"/>
  <c r="P230" i="31"/>
  <c r="P240" i="31" s="1"/>
  <c r="P1117" i="1"/>
  <c r="P1122" i="1" s="1"/>
  <c r="P14" i="7" s="1"/>
  <c r="P248" i="1"/>
  <c r="P254" i="1" s="1"/>
  <c r="Q200" i="31"/>
  <c r="Q248" i="1" s="1"/>
  <c r="Q254" i="1" s="1"/>
  <c r="N27" i="12"/>
  <c r="N92" i="12" s="1"/>
  <c r="N145" i="1"/>
  <c r="N236" i="31"/>
  <c r="N303" i="1" s="1"/>
  <c r="N177" i="1"/>
  <c r="N249" i="31"/>
  <c r="N588" i="1"/>
  <c r="N19" i="12"/>
  <c r="N84" i="12" s="1"/>
  <c r="N333" i="1"/>
  <c r="N489" i="1"/>
  <c r="N25" i="12"/>
  <c r="N90" i="12" s="1"/>
  <c r="N250" i="31"/>
  <c r="N725" i="1"/>
  <c r="N735" i="1" s="1"/>
  <c r="N745" i="1" s="1"/>
  <c r="N104" i="1"/>
  <c r="N116" i="1" s="1"/>
  <c r="N251" i="31"/>
  <c r="N969" i="1"/>
  <c r="N589" i="1"/>
  <c r="N723" i="1"/>
  <c r="N733" i="1" s="1"/>
  <c r="N743" i="1" s="1"/>
  <c r="N778" i="1" s="1"/>
  <c r="N310" i="1"/>
  <c r="N968" i="1"/>
  <c r="N309" i="1"/>
  <c r="N724" i="1"/>
  <c r="N734" i="1" s="1"/>
  <c r="N744" i="1" s="1"/>
  <c r="N894" i="1" s="1"/>
  <c r="N308" i="1"/>
  <c r="N468" i="1"/>
  <c r="N967" i="1"/>
  <c r="N597" i="1"/>
  <c r="N598" i="1" s="1"/>
  <c r="L65" i="12"/>
  <c r="L67" i="12" s="1"/>
  <c r="L72" i="12" s="1"/>
  <c r="L1151" i="1"/>
  <c r="L30" i="12"/>
  <c r="L95" i="12" s="1"/>
  <c r="L155" i="1"/>
  <c r="L225" i="12"/>
  <c r="L238" i="12" s="1"/>
  <c r="L293" i="12" s="1"/>
  <c r="L222" i="1"/>
  <c r="L438" i="1" s="1"/>
  <c r="L441" i="1" s="1"/>
  <c r="L706" i="1" s="1"/>
  <c r="L304" i="1"/>
  <c r="L1104" i="1"/>
  <c r="L1121" i="1" s="1"/>
  <c r="L218" i="1"/>
  <c r="L219" i="1" s="1"/>
  <c r="L502" i="1" s="1"/>
  <c r="L504" i="1" s="1"/>
  <c r="M599" i="1"/>
  <c r="K225" i="12"/>
  <c r="K238" i="12" s="1"/>
  <c r="K193" i="12"/>
  <c r="M895" i="1"/>
  <c r="M870" i="1"/>
  <c r="AA824" i="1"/>
  <c r="AB799" i="1"/>
  <c r="M225" i="12"/>
  <c r="M238" i="12" s="1"/>
  <c r="M293" i="12" s="1"/>
  <c r="M193" i="12"/>
  <c r="L765" i="1"/>
  <c r="L868" i="1" s="1"/>
  <c r="L764" i="1"/>
  <c r="L776" i="1" s="1"/>
  <c r="O250" i="31"/>
  <c r="O969" i="1"/>
  <c r="O725" i="1"/>
  <c r="O735" i="1" s="1"/>
  <c r="O745" i="1" s="1"/>
  <c r="O589" i="1"/>
  <c r="O310" i="1"/>
  <c r="O26" i="12"/>
  <c r="O91" i="12" s="1"/>
  <c r="O489" i="1"/>
  <c r="M758" i="1"/>
  <c r="M892" i="1"/>
  <c r="O768" i="1"/>
  <c r="O772" i="1" s="1"/>
  <c r="K776" i="1"/>
  <c r="N26" i="7"/>
  <c r="O966" i="1"/>
  <c r="O23" i="12"/>
  <c r="O88" i="12" s="1"/>
  <c r="O596" i="1"/>
  <c r="O722" i="1"/>
  <c r="O307" i="1"/>
  <c r="O488" i="1"/>
  <c r="O308" i="1"/>
  <c r="O468" i="1"/>
  <c r="O597" i="1"/>
  <c r="O24" i="12"/>
  <c r="O89" i="12" s="1"/>
  <c r="O723" i="1"/>
  <c r="O733" i="1" s="1"/>
  <c r="O743" i="1" s="1"/>
  <c r="O333" i="1"/>
  <c r="O967" i="1"/>
  <c r="R70" i="12"/>
  <c r="R947" i="1"/>
  <c r="R958" i="1" s="1"/>
  <c r="R172" i="12"/>
  <c r="R163" i="1"/>
  <c r="R164" i="1" s="1"/>
  <c r="R172" i="1" s="1"/>
  <c r="R485" i="1" s="1"/>
  <c r="R497" i="1" s="1"/>
  <c r="R199" i="31"/>
  <c r="S174" i="31"/>
  <c r="R207" i="31"/>
  <c r="R208" i="31" s="1"/>
  <c r="R182" i="12" s="1"/>
  <c r="N732" i="1"/>
  <c r="N742" i="1" s="1"/>
  <c r="O1120" i="1"/>
  <c r="K868" i="1"/>
  <c r="P777" i="1"/>
  <c r="P897" i="1"/>
  <c r="R948" i="1"/>
  <c r="R959" i="1" s="1"/>
  <c r="R272" i="12"/>
  <c r="R211" i="31"/>
  <c r="R212" i="31" s="1"/>
  <c r="R282" i="12" s="1"/>
  <c r="S192" i="31"/>
  <c r="M1151" i="1"/>
  <c r="M30" i="12"/>
  <c r="M95" i="12" s="1"/>
  <c r="M155" i="1"/>
  <c r="M65" i="12"/>
  <c r="M33" i="12"/>
  <c r="M130" i="12" s="1"/>
  <c r="M697" i="1"/>
  <c r="O28" i="12"/>
  <c r="O93" i="12" s="1"/>
  <c r="O469" i="1"/>
  <c r="O588" i="1"/>
  <c r="O249" i="31"/>
  <c r="O25" i="12"/>
  <c r="O90" i="12" s="1"/>
  <c r="O309" i="1"/>
  <c r="O968" i="1"/>
  <c r="O724" i="1"/>
  <c r="K217" i="12"/>
  <c r="K230" i="12" s="1"/>
  <c r="K185" i="12"/>
  <c r="K167" i="12"/>
  <c r="K169" i="12" s="1"/>
  <c r="K174" i="12" s="1"/>
  <c r="Q474" i="1"/>
  <c r="Q478" i="1" s="1"/>
  <c r="Q496" i="1" s="1"/>
  <c r="Q727" i="1"/>
  <c r="Q747" i="1" s="1"/>
  <c r="Q768" i="1" s="1"/>
  <c r="Q772" i="1" s="1"/>
  <c r="Q1103" i="1"/>
  <c r="Q312" i="1"/>
  <c r="M894" i="1"/>
  <c r="M779" i="1"/>
  <c r="O496" i="1"/>
  <c r="L185" i="12"/>
  <c r="L217" i="12"/>
  <c r="L230" i="12" s="1"/>
  <c r="L167" i="12"/>
  <c r="M222" i="1"/>
  <c r="M438" i="1" s="1"/>
  <c r="M441" i="1" s="1"/>
  <c r="M445" i="1" s="1"/>
  <c r="M429" i="1"/>
  <c r="M1104" i="1"/>
  <c r="M304" i="1"/>
  <c r="M218" i="1"/>
  <c r="M219" i="1" s="1"/>
  <c r="M692" i="1"/>
  <c r="O970" i="1"/>
  <c r="O27" i="12"/>
  <c r="O92" i="12" s="1"/>
  <c r="O251" i="31"/>
  <c r="O104" i="1"/>
  <c r="O145" i="1"/>
  <c r="O236" i="31"/>
  <c r="O19" i="12"/>
  <c r="O84" i="12" s="1"/>
  <c r="O177" i="1"/>
  <c r="AC168" i="1"/>
  <c r="AC169" i="1" s="1"/>
  <c r="AC510" i="1"/>
  <c r="AC511" i="1" s="1"/>
  <c r="AC1049" i="1"/>
  <c r="AC1052" i="1" s="1"/>
  <c r="AC71" i="12"/>
  <c r="AC949" i="1"/>
  <c r="AC960" i="1" s="1"/>
  <c r="AD181" i="31"/>
  <c r="AC377" i="1"/>
  <c r="AC173" i="12"/>
  <c r="AC273" i="12"/>
  <c r="O428" i="1" l="1"/>
  <c r="O435" i="1" s="1"/>
  <c r="O303" i="1"/>
  <c r="N178" i="1"/>
  <c r="N185" i="1" s="1"/>
  <c r="N212" i="1" s="1"/>
  <c r="N214" i="1" s="1"/>
  <c r="N428" i="1"/>
  <c r="K703" i="1"/>
  <c r="K305" i="1"/>
  <c r="K430" i="1" s="1"/>
  <c r="K532" i="1"/>
  <c r="K223" i="1"/>
  <c r="K439" i="1" s="1"/>
  <c r="K442" i="1" s="1"/>
  <c r="P241" i="31"/>
  <c r="P725" i="1" s="1"/>
  <c r="P735" i="1" s="1"/>
  <c r="P235" i="31"/>
  <c r="P20" i="12" s="1"/>
  <c r="P85" i="12" s="1"/>
  <c r="P243" i="31"/>
  <c r="P28" i="12" s="1"/>
  <c r="P93" i="12" s="1"/>
  <c r="Q230" i="31"/>
  <c r="Q240" i="31" s="1"/>
  <c r="R200" i="31"/>
  <c r="R80" i="12" s="1"/>
  <c r="P1120" i="1"/>
  <c r="P12" i="7" s="1"/>
  <c r="P26" i="7" s="1"/>
  <c r="Q1117" i="1"/>
  <c r="Q1122" i="1" s="1"/>
  <c r="Q14" i="7" s="1"/>
  <c r="Q28" i="7" s="1"/>
  <c r="P242" i="31"/>
  <c r="P145" i="1" s="1"/>
  <c r="P239" i="31"/>
  <c r="P333" i="1" s="1"/>
  <c r="Q80" i="12"/>
  <c r="P238" i="31"/>
  <c r="P966" i="1" s="1"/>
  <c r="P234" i="31"/>
  <c r="P232" i="31"/>
  <c r="P199" i="1" s="1"/>
  <c r="P200" i="1" s="1"/>
  <c r="Q196" i="1"/>
  <c r="Q197" i="1" s="1"/>
  <c r="N248" i="31"/>
  <c r="N252" i="31" s="1"/>
  <c r="N41" i="12" s="1"/>
  <c r="N298" i="1"/>
  <c r="N21" i="12"/>
  <c r="N86" i="12" s="1"/>
  <c r="N217" i="1"/>
  <c r="N245" i="31"/>
  <c r="N30" i="12" s="1"/>
  <c r="N95" i="12" s="1"/>
  <c r="N779" i="1"/>
  <c r="N893" i="1"/>
  <c r="M67" i="12"/>
  <c r="M72" i="12" s="1"/>
  <c r="L223" i="1"/>
  <c r="L439" i="1" s="1"/>
  <c r="L442" i="1" s="1"/>
  <c r="L446" i="1" s="1"/>
  <c r="L1042" i="1"/>
  <c r="L445" i="1"/>
  <c r="L532" i="1"/>
  <c r="L703" i="1"/>
  <c r="L305" i="1"/>
  <c r="L430" i="1" s="1"/>
  <c r="N599" i="1"/>
  <c r="M223" i="1"/>
  <c r="M439" i="1" s="1"/>
  <c r="M442" i="1" s="1"/>
  <c r="M446" i="1" s="1"/>
  <c r="M502" i="1"/>
  <c r="M504" i="1" s="1"/>
  <c r="M305" i="1"/>
  <c r="M532" i="1"/>
  <c r="M703" i="1"/>
  <c r="N758" i="1"/>
  <c r="N892" i="1"/>
  <c r="O21" i="12"/>
  <c r="O86" i="12" s="1"/>
  <c r="O245" i="31"/>
  <c r="O217" i="1"/>
  <c r="O248" i="31"/>
  <c r="O252" i="31" s="1"/>
  <c r="O41" i="12" s="1"/>
  <c r="O138" i="12" s="1"/>
  <c r="O298" i="1"/>
  <c r="O178" i="1"/>
  <c r="O185" i="1" s="1"/>
  <c r="O212" i="1" s="1"/>
  <c r="O214" i="1" s="1"/>
  <c r="M1042" i="1"/>
  <c r="M706" i="1"/>
  <c r="Q777" i="1"/>
  <c r="Q897" i="1"/>
  <c r="O12" i="7"/>
  <c r="S207" i="31"/>
  <c r="S208" i="31" s="1"/>
  <c r="S182" i="12" s="1"/>
  <c r="T174" i="31"/>
  <c r="S163" i="1"/>
  <c r="S164" i="1" s="1"/>
  <c r="S172" i="1" s="1"/>
  <c r="S485" i="1" s="1"/>
  <c r="S497" i="1" s="1"/>
  <c r="S947" i="1"/>
  <c r="S958" i="1" s="1"/>
  <c r="S70" i="12"/>
  <c r="S172" i="12"/>
  <c r="S199" i="31"/>
  <c r="O732" i="1"/>
  <c r="O742" i="1" s="1"/>
  <c r="O127" i="7"/>
  <c r="O128" i="7" s="1"/>
  <c r="L169" i="12"/>
  <c r="L174" i="12" s="1"/>
  <c r="P28" i="7"/>
  <c r="K267" i="12"/>
  <c r="K269" i="12" s="1"/>
  <c r="K285" i="12"/>
  <c r="O734" i="1"/>
  <c r="S211" i="31"/>
  <c r="S212" i="31" s="1"/>
  <c r="S282" i="12" s="1"/>
  <c r="S272" i="12"/>
  <c r="S948" i="1"/>
  <c r="S959" i="1" s="1"/>
  <c r="T192" i="31"/>
  <c r="O598" i="1"/>
  <c r="O777" i="1"/>
  <c r="O897" i="1"/>
  <c r="M765" i="1"/>
  <c r="M764" i="1"/>
  <c r="M776" i="1" s="1"/>
  <c r="K13" i="7"/>
  <c r="AC799" i="1"/>
  <c r="AB824" i="1"/>
  <c r="K293" i="12"/>
  <c r="P724" i="1"/>
  <c r="P734" i="1" s="1"/>
  <c r="P744" i="1" s="1"/>
  <c r="P25" i="12"/>
  <c r="P90" i="12" s="1"/>
  <c r="P309" i="1"/>
  <c r="P249" i="31"/>
  <c r="P588" i="1"/>
  <c r="P968" i="1"/>
  <c r="P469" i="1"/>
  <c r="O778" i="1"/>
  <c r="O893" i="1"/>
  <c r="K706" i="1"/>
  <c r="K1042" i="1"/>
  <c r="K445" i="1"/>
  <c r="N870" i="1"/>
  <c r="N895" i="1"/>
  <c r="O434" i="1"/>
  <c r="O116" i="1"/>
  <c r="M1121" i="1"/>
  <c r="L267" i="12"/>
  <c r="L285" i="12"/>
  <c r="M185" i="12"/>
  <c r="M217" i="12"/>
  <c r="M230" i="12" s="1"/>
  <c r="M167" i="12"/>
  <c r="L13" i="7"/>
  <c r="L27" i="7" s="1"/>
  <c r="R1103" i="1"/>
  <c r="R312" i="1"/>
  <c r="R727" i="1"/>
  <c r="R747" i="1" s="1"/>
  <c r="R768" i="1" s="1"/>
  <c r="R772" i="1" s="1"/>
  <c r="R474" i="1"/>
  <c r="R478" i="1" s="1"/>
  <c r="R496" i="1" s="1"/>
  <c r="O895" i="1"/>
  <c r="O870" i="1"/>
  <c r="AD1049" i="1"/>
  <c r="AD1052" i="1" s="1"/>
  <c r="AD168" i="1"/>
  <c r="AD169" i="1" s="1"/>
  <c r="AD949" i="1"/>
  <c r="AD960" i="1" s="1"/>
  <c r="AD377" i="1"/>
  <c r="AD173" i="12"/>
  <c r="AD510" i="1"/>
  <c r="AD511" i="1" s="1"/>
  <c r="AD273" i="12"/>
  <c r="AD71" i="12"/>
  <c r="AE181" i="31"/>
  <c r="N434" i="1" l="1"/>
  <c r="N692" i="1" s="1"/>
  <c r="N435" i="1"/>
  <c r="N697" i="1" s="1"/>
  <c r="P310" i="1"/>
  <c r="R1117" i="1"/>
  <c r="R1122" i="1" s="1"/>
  <c r="R14" i="7" s="1"/>
  <c r="R28" i="7" s="1"/>
  <c r="P967" i="1"/>
  <c r="R230" i="31"/>
  <c r="R232" i="31" s="1"/>
  <c r="R199" i="1" s="1"/>
  <c r="R196" i="1"/>
  <c r="R197" i="1" s="1"/>
  <c r="R248" i="1"/>
  <c r="R254" i="1" s="1"/>
  <c r="Q232" i="31"/>
  <c r="Q199" i="1" s="1"/>
  <c r="Q200" i="1" s="1"/>
  <c r="Q243" i="31"/>
  <c r="Q28" i="12" s="1"/>
  <c r="Q93" i="12" s="1"/>
  <c r="Q238" i="31"/>
  <c r="Q488" i="1" s="1"/>
  <c r="Q242" i="31"/>
  <c r="Q251" i="31" s="1"/>
  <c r="Q235" i="31"/>
  <c r="Q20" i="12" s="1"/>
  <c r="Q85" i="12" s="1"/>
  <c r="Q241" i="31"/>
  <c r="Q250" i="31" s="1"/>
  <c r="P597" i="1"/>
  <c r="P24" i="12"/>
  <c r="P89" i="12" s="1"/>
  <c r="P26" i="12"/>
  <c r="P91" i="12" s="1"/>
  <c r="P127" i="7" s="1"/>
  <c r="P128" i="7" s="1"/>
  <c r="P489" i="1"/>
  <c r="Q239" i="31"/>
  <c r="Q468" i="1" s="1"/>
  <c r="Q234" i="31"/>
  <c r="S200" i="31"/>
  <c r="S230" i="31" s="1"/>
  <c r="P468" i="1"/>
  <c r="P308" i="1"/>
  <c r="P969" i="1"/>
  <c r="P250" i="31"/>
  <c r="P589" i="1"/>
  <c r="P722" i="1"/>
  <c r="P732" i="1" s="1"/>
  <c r="P742" i="1" s="1"/>
  <c r="P723" i="1"/>
  <c r="P733" i="1" s="1"/>
  <c r="P743" i="1" s="1"/>
  <c r="P893" i="1" s="1"/>
  <c r="P488" i="1"/>
  <c r="P307" i="1"/>
  <c r="P596" i="1"/>
  <c r="P970" i="1"/>
  <c r="P23" i="12"/>
  <c r="P88" i="12" s="1"/>
  <c r="P27" i="12"/>
  <c r="P92" i="12" s="1"/>
  <c r="P104" i="1"/>
  <c r="P116" i="1" s="1"/>
  <c r="P251" i="31"/>
  <c r="Q1120" i="1"/>
  <c r="Q12" i="7" s="1"/>
  <c r="Q26" i="7" s="1"/>
  <c r="P19" i="12"/>
  <c r="P84" i="12" s="1"/>
  <c r="P236" i="31"/>
  <c r="P303" i="1" s="1"/>
  <c r="P177" i="1"/>
  <c r="N155" i="1"/>
  <c r="N65" i="12"/>
  <c r="N67" i="12" s="1"/>
  <c r="N72" i="12" s="1"/>
  <c r="N33" i="12"/>
  <c r="N130" i="12" s="1"/>
  <c r="N1151" i="1"/>
  <c r="L853" i="1"/>
  <c r="L857" i="1" s="1"/>
  <c r="L891" i="1" s="1"/>
  <c r="L707" i="1"/>
  <c r="M169" i="12"/>
  <c r="M174" i="12" s="1"/>
  <c r="L1004" i="1"/>
  <c r="M707" i="1"/>
  <c r="M853" i="1"/>
  <c r="M857" i="1" s="1"/>
  <c r="M867" i="1" s="1"/>
  <c r="M1004" i="1"/>
  <c r="O758" i="1"/>
  <c r="O892" i="1"/>
  <c r="O692" i="1"/>
  <c r="T211" i="31"/>
  <c r="T212" i="31" s="1"/>
  <c r="T282" i="12" s="1"/>
  <c r="T948" i="1"/>
  <c r="T959" i="1" s="1"/>
  <c r="T272" i="12"/>
  <c r="U192" i="31"/>
  <c r="Q25" i="12"/>
  <c r="Q90" i="12" s="1"/>
  <c r="Q968" i="1"/>
  <c r="Q249" i="31"/>
  <c r="Q469" i="1"/>
  <c r="Q588" i="1"/>
  <c r="Q309" i="1"/>
  <c r="Q724" i="1"/>
  <c r="Q734" i="1" s="1"/>
  <c r="Q744" i="1" s="1"/>
  <c r="N764" i="1"/>
  <c r="N765" i="1"/>
  <c r="N868" i="1" s="1"/>
  <c r="M430" i="1"/>
  <c r="R897" i="1"/>
  <c r="R777" i="1"/>
  <c r="P745" i="1"/>
  <c r="K707" i="1"/>
  <c r="K1004" i="1"/>
  <c r="K853" i="1"/>
  <c r="K857" i="1" s="1"/>
  <c r="K446" i="1"/>
  <c r="O218" i="1"/>
  <c r="O219" i="1" s="1"/>
  <c r="O222" i="1"/>
  <c r="O438" i="1" s="1"/>
  <c r="O441" i="1" s="1"/>
  <c r="O304" i="1"/>
  <c r="O429" i="1"/>
  <c r="O1104" i="1"/>
  <c r="O30" i="12"/>
  <c r="O95" i="12" s="1"/>
  <c r="O65" i="12"/>
  <c r="O33" i="12"/>
  <c r="O155" i="1"/>
  <c r="O1151" i="1"/>
  <c r="M13" i="7"/>
  <c r="M27" i="7" s="1"/>
  <c r="P894" i="1"/>
  <c r="P779" i="1"/>
  <c r="K27" i="7"/>
  <c r="N138" i="12"/>
  <c r="M868" i="1"/>
  <c r="L269" i="12"/>
  <c r="L274" i="12" s="1"/>
  <c r="K274" i="12"/>
  <c r="S312" i="1"/>
  <c r="S727" i="1"/>
  <c r="S747" i="1" s="1"/>
  <c r="S474" i="1"/>
  <c r="S478" i="1" s="1"/>
  <c r="S496" i="1" s="1"/>
  <c r="S1103" i="1"/>
  <c r="O26" i="7"/>
  <c r="M285" i="12"/>
  <c r="M267" i="12"/>
  <c r="O697" i="1"/>
  <c r="AD799" i="1"/>
  <c r="AC824" i="1"/>
  <c r="O599" i="1"/>
  <c r="O744" i="1"/>
  <c r="N429" i="1"/>
  <c r="N1104" i="1"/>
  <c r="N304" i="1"/>
  <c r="N218" i="1"/>
  <c r="N219" i="1" s="1"/>
  <c r="N222" i="1"/>
  <c r="N223" i="1" s="1"/>
  <c r="T70" i="12"/>
  <c r="T207" i="31"/>
  <c r="T208" i="31" s="1"/>
  <c r="T182" i="12" s="1"/>
  <c r="T172" i="12"/>
  <c r="T163" i="1"/>
  <c r="T164" i="1" s="1"/>
  <c r="T172" i="1" s="1"/>
  <c r="T485" i="1" s="1"/>
  <c r="T497" i="1" s="1"/>
  <c r="T947" i="1"/>
  <c r="T958" i="1" s="1"/>
  <c r="U174" i="31"/>
  <c r="T199" i="31"/>
  <c r="O225" i="12"/>
  <c r="O238" i="12" s="1"/>
  <c r="O293" i="12" s="1"/>
  <c r="O193" i="12"/>
  <c r="AE168" i="1"/>
  <c r="AE169" i="1" s="1"/>
  <c r="AE949" i="1"/>
  <c r="AE960" i="1" s="1"/>
  <c r="AE1049" i="1"/>
  <c r="AE1052" i="1" s="1"/>
  <c r="AE377" i="1"/>
  <c r="AF181" i="31"/>
  <c r="AE71" i="12"/>
  <c r="AE173" i="12"/>
  <c r="AE510" i="1"/>
  <c r="AE511" i="1" s="1"/>
  <c r="AE273" i="12"/>
  <c r="P178" i="1" l="1"/>
  <c r="P185" i="1" s="1"/>
  <c r="P212" i="1" s="1"/>
  <c r="P214" i="1" s="1"/>
  <c r="P428" i="1"/>
  <c r="P435" i="1" s="1"/>
  <c r="P697" i="1" s="1"/>
  <c r="P598" i="1"/>
  <c r="P599" i="1" s="1"/>
  <c r="R240" i="31"/>
  <c r="R588" i="1" s="1"/>
  <c r="R239" i="31"/>
  <c r="R597" i="1" s="1"/>
  <c r="R1120" i="1"/>
  <c r="R12" i="7" s="1"/>
  <c r="R235" i="31"/>
  <c r="R20" i="12" s="1"/>
  <c r="R85" i="12" s="1"/>
  <c r="Q969" i="1"/>
  <c r="R242" i="31"/>
  <c r="R145" i="1" s="1"/>
  <c r="R243" i="31"/>
  <c r="R28" i="12" s="1"/>
  <c r="R93" i="12" s="1"/>
  <c r="R238" i="31"/>
  <c r="R488" i="1" s="1"/>
  <c r="R200" i="1"/>
  <c r="R241" i="31"/>
  <c r="R310" i="1" s="1"/>
  <c r="R234" i="31"/>
  <c r="R19" i="12" s="1"/>
  <c r="R84" i="12" s="1"/>
  <c r="Q26" i="12"/>
  <c r="Q91" i="12" s="1"/>
  <c r="Q127" i="7" s="1"/>
  <c r="Q128" i="7" s="1"/>
  <c r="Q596" i="1"/>
  <c r="Q310" i="1"/>
  <c r="Q489" i="1"/>
  <c r="Q27" i="12"/>
  <c r="Q92" i="12" s="1"/>
  <c r="Q307" i="1"/>
  <c r="Q333" i="1"/>
  <c r="Q589" i="1"/>
  <c r="Q966" i="1"/>
  <c r="Q23" i="12"/>
  <c r="Q88" i="12" s="1"/>
  <c r="Q967" i="1"/>
  <c r="Q722" i="1"/>
  <c r="Q732" i="1" s="1"/>
  <c r="Q742" i="1" s="1"/>
  <c r="Q597" i="1"/>
  <c r="Q725" i="1"/>
  <c r="Q735" i="1" s="1"/>
  <c r="Q745" i="1" s="1"/>
  <c r="Q870" i="1" s="1"/>
  <c r="Q970" i="1"/>
  <c r="Q145" i="1"/>
  <c r="Q104" i="1"/>
  <c r="Q116" i="1" s="1"/>
  <c r="Q19" i="12"/>
  <c r="Q84" i="12" s="1"/>
  <c r="Q723" i="1"/>
  <c r="Q733" i="1" s="1"/>
  <c r="Q743" i="1" s="1"/>
  <c r="Q778" i="1" s="1"/>
  <c r="Q308" i="1"/>
  <c r="Q24" i="12"/>
  <c r="Q89" i="12" s="1"/>
  <c r="T200" i="31"/>
  <c r="T248" i="1" s="1"/>
  <c r="T254" i="1" s="1"/>
  <c r="S248" i="1"/>
  <c r="S254" i="1" s="1"/>
  <c r="S1117" i="1"/>
  <c r="S1122" i="1" s="1"/>
  <c r="S14" i="7" s="1"/>
  <c r="S196" i="1"/>
  <c r="S197" i="1" s="1"/>
  <c r="S80" i="12"/>
  <c r="Q236" i="31"/>
  <c r="Q303" i="1" s="1"/>
  <c r="Q177" i="1"/>
  <c r="P778" i="1"/>
  <c r="P21" i="12"/>
  <c r="P86" i="12" s="1"/>
  <c r="P245" i="31"/>
  <c r="P65" i="12" s="1"/>
  <c r="P248" i="31"/>
  <c r="P252" i="31" s="1"/>
  <c r="P41" i="12" s="1"/>
  <c r="P138" i="12" s="1"/>
  <c r="P193" i="12" s="1"/>
  <c r="P217" i="1"/>
  <c r="P298" i="1"/>
  <c r="O67" i="12"/>
  <c r="O72" i="12" s="1"/>
  <c r="L867" i="1"/>
  <c r="M891" i="1"/>
  <c r="O223" i="1"/>
  <c r="O439" i="1" s="1"/>
  <c r="O442" i="1" s="1"/>
  <c r="O446" i="1" s="1"/>
  <c r="M269" i="12"/>
  <c r="M274" i="12" s="1"/>
  <c r="N439" i="1"/>
  <c r="N442" i="1" s="1"/>
  <c r="P892" i="1"/>
  <c r="P758" i="1"/>
  <c r="T727" i="1"/>
  <c r="T747" i="1" s="1"/>
  <c r="T768" i="1" s="1"/>
  <c r="T772" i="1" s="1"/>
  <c r="T1103" i="1"/>
  <c r="T312" i="1"/>
  <c r="T474" i="1"/>
  <c r="T478" i="1" s="1"/>
  <c r="T496" i="1" s="1"/>
  <c r="O779" i="1"/>
  <c r="O894" i="1"/>
  <c r="K867" i="1"/>
  <c r="K891" i="1"/>
  <c r="O502" i="1"/>
  <c r="O504" i="1" s="1"/>
  <c r="O305" i="1"/>
  <c r="O703" i="1"/>
  <c r="O532" i="1"/>
  <c r="N1121" i="1"/>
  <c r="AD824" i="1"/>
  <c r="AE799" i="1"/>
  <c r="S242" i="31"/>
  <c r="S234" i="31"/>
  <c r="S241" i="31"/>
  <c r="S243" i="31"/>
  <c r="S28" i="12" s="1"/>
  <c r="S232" i="31"/>
  <c r="S199" i="1" s="1"/>
  <c r="S239" i="31"/>
  <c r="S235" i="31"/>
  <c r="S20" i="12" s="1"/>
  <c r="S238" i="31"/>
  <c r="S240" i="31"/>
  <c r="O1121" i="1"/>
  <c r="O706" i="1"/>
  <c r="O1042" i="1"/>
  <c r="Q894" i="1"/>
  <c r="Q779" i="1"/>
  <c r="V192" i="31"/>
  <c r="U211" i="31"/>
  <c r="U212" i="31" s="1"/>
  <c r="U282" i="12" s="1"/>
  <c r="U272" i="12"/>
  <c r="U948" i="1"/>
  <c r="U959" i="1" s="1"/>
  <c r="O445" i="1"/>
  <c r="U207" i="31"/>
  <c r="U208" i="31" s="1"/>
  <c r="U182" i="12" s="1"/>
  <c r="U163" i="1"/>
  <c r="U164" i="1" s="1"/>
  <c r="U172" i="1" s="1"/>
  <c r="U485" i="1" s="1"/>
  <c r="U497" i="1" s="1"/>
  <c r="U172" i="12"/>
  <c r="V174" i="31"/>
  <c r="U70" i="12"/>
  <c r="U947" i="1"/>
  <c r="U958" i="1" s="1"/>
  <c r="U199" i="31"/>
  <c r="N438" i="1"/>
  <c r="N441" i="1" s="1"/>
  <c r="O130" i="12"/>
  <c r="P895" i="1"/>
  <c r="P870" i="1"/>
  <c r="O765" i="1"/>
  <c r="O764" i="1"/>
  <c r="O776" i="1" s="1"/>
  <c r="N703" i="1"/>
  <c r="N532" i="1"/>
  <c r="N305" i="1"/>
  <c r="N502" i="1"/>
  <c r="N504" i="1" s="1"/>
  <c r="S768" i="1"/>
  <c r="S772" i="1" s="1"/>
  <c r="N193" i="12"/>
  <c r="N225" i="12"/>
  <c r="N238" i="12" s="1"/>
  <c r="N167" i="12"/>
  <c r="N169" i="12" s="1"/>
  <c r="N174" i="12" s="1"/>
  <c r="N185" i="12"/>
  <c r="N217" i="12"/>
  <c r="N230" i="12" s="1"/>
  <c r="N776" i="1"/>
  <c r="AF273" i="12"/>
  <c r="AF173" i="12"/>
  <c r="AF377" i="1"/>
  <c r="AF168" i="1"/>
  <c r="AF169" i="1" s="1"/>
  <c r="AF71" i="12"/>
  <c r="AF949" i="1"/>
  <c r="AF960" i="1" s="1"/>
  <c r="AF510" i="1"/>
  <c r="AF511" i="1" s="1"/>
  <c r="AF1049" i="1"/>
  <c r="AF1052" i="1" s="1"/>
  <c r="AG181" i="31"/>
  <c r="P434" i="1" l="1"/>
  <c r="P692" i="1" s="1"/>
  <c r="Q21" i="12"/>
  <c r="Q86" i="12" s="1"/>
  <c r="Q428" i="1"/>
  <c r="R589" i="1"/>
  <c r="R967" i="1"/>
  <c r="R468" i="1"/>
  <c r="R723" i="1"/>
  <c r="R733" i="1" s="1"/>
  <c r="R743" i="1" s="1"/>
  <c r="R778" i="1" s="1"/>
  <c r="R333" i="1"/>
  <c r="R251" i="31"/>
  <c r="R104" i="1"/>
  <c r="R116" i="1" s="1"/>
  <c r="R970" i="1"/>
  <c r="R27" i="12"/>
  <c r="R92" i="12" s="1"/>
  <c r="R308" i="1"/>
  <c r="R24" i="12"/>
  <c r="R89" i="12" s="1"/>
  <c r="R725" i="1"/>
  <c r="R735" i="1" s="1"/>
  <c r="R745" i="1" s="1"/>
  <c r="R469" i="1"/>
  <c r="R596" i="1"/>
  <c r="R598" i="1" s="1"/>
  <c r="R249" i="31"/>
  <c r="R25" i="12"/>
  <c r="R90" i="12" s="1"/>
  <c r="R309" i="1"/>
  <c r="R724" i="1"/>
  <c r="R734" i="1" s="1"/>
  <c r="R744" i="1" s="1"/>
  <c r="R968" i="1"/>
  <c r="R722" i="1"/>
  <c r="R732" i="1" s="1"/>
  <c r="R742" i="1" s="1"/>
  <c r="R23" i="12"/>
  <c r="R88" i="12" s="1"/>
  <c r="R969" i="1"/>
  <c r="R489" i="1"/>
  <c r="R26" i="12"/>
  <c r="R91" i="12" s="1"/>
  <c r="R127" i="7" s="1"/>
  <c r="R128" i="7" s="1"/>
  <c r="R250" i="31"/>
  <c r="R307" i="1"/>
  <c r="R177" i="1"/>
  <c r="R966" i="1"/>
  <c r="R236" i="31"/>
  <c r="R303" i="1" s="1"/>
  <c r="S200" i="1"/>
  <c r="S1120" i="1"/>
  <c r="S12" i="7" s="1"/>
  <c r="S26" i="7" s="1"/>
  <c r="Q598" i="1"/>
  <c r="Q599" i="1" s="1"/>
  <c r="Q895" i="1"/>
  <c r="P30" i="12"/>
  <c r="P95" i="12" s="1"/>
  <c r="P1151" i="1"/>
  <c r="P155" i="1"/>
  <c r="P33" i="12"/>
  <c r="P130" i="12" s="1"/>
  <c r="P217" i="12" s="1"/>
  <c r="P230" i="12" s="1"/>
  <c r="Q893" i="1"/>
  <c r="S93" i="12"/>
  <c r="Q245" i="31"/>
  <c r="Q155" i="1" s="1"/>
  <c r="Q298" i="1"/>
  <c r="T196" i="1"/>
  <c r="T197" i="1" s="1"/>
  <c r="Q248" i="31"/>
  <c r="Q252" i="31" s="1"/>
  <c r="Q41" i="12" s="1"/>
  <c r="U200" i="31"/>
  <c r="U196" i="1" s="1"/>
  <c r="U197" i="1" s="1"/>
  <c r="T80" i="12"/>
  <c r="T1117" i="1"/>
  <c r="T1122" i="1" s="1"/>
  <c r="T14" i="7" s="1"/>
  <c r="T28" i="7" s="1"/>
  <c r="T230" i="31"/>
  <c r="T239" i="31" s="1"/>
  <c r="Q217" i="1"/>
  <c r="S85" i="12"/>
  <c r="Q178" i="1"/>
  <c r="Q185" i="1" s="1"/>
  <c r="Q212" i="1" s="1"/>
  <c r="Q214" i="1" s="1"/>
  <c r="Q218" i="1" s="1"/>
  <c r="O1004" i="1"/>
  <c r="P225" i="12"/>
  <c r="P238" i="12" s="1"/>
  <c r="P293" i="12" s="1"/>
  <c r="P67" i="12"/>
  <c r="P72" i="12" s="1"/>
  <c r="O853" i="1"/>
  <c r="O857" i="1" s="1"/>
  <c r="O867" i="1" s="1"/>
  <c r="O707" i="1"/>
  <c r="S28" i="7"/>
  <c r="N706" i="1"/>
  <c r="N1042" i="1"/>
  <c r="N445" i="1"/>
  <c r="U1103" i="1"/>
  <c r="U474" i="1"/>
  <c r="U478" i="1" s="1"/>
  <c r="U496" i="1" s="1"/>
  <c r="U727" i="1"/>
  <c r="U747" i="1" s="1"/>
  <c r="U768" i="1" s="1"/>
  <c r="U772" i="1" s="1"/>
  <c r="U312" i="1"/>
  <c r="S468" i="1"/>
  <c r="S723" i="1"/>
  <c r="S733" i="1" s="1"/>
  <c r="S743" i="1" s="1"/>
  <c r="S597" i="1"/>
  <c r="S24" i="12"/>
  <c r="S89" i="12" s="1"/>
  <c r="S308" i="1"/>
  <c r="S333" i="1"/>
  <c r="S967" i="1"/>
  <c r="S236" i="31"/>
  <c r="S19" i="12"/>
  <c r="S84" i="12" s="1"/>
  <c r="S177" i="1"/>
  <c r="AF799" i="1"/>
  <c r="AE824" i="1"/>
  <c r="N13" i="7"/>
  <c r="O430" i="1"/>
  <c r="S897" i="1"/>
  <c r="S777" i="1"/>
  <c r="N430" i="1"/>
  <c r="O13" i="7"/>
  <c r="O27" i="7" s="1"/>
  <c r="S249" i="31"/>
  <c r="S25" i="12"/>
  <c r="S90" i="12" s="1"/>
  <c r="S309" i="1"/>
  <c r="S968" i="1"/>
  <c r="S588" i="1"/>
  <c r="S724" i="1"/>
  <c r="S734" i="1" s="1"/>
  <c r="S744" i="1" s="1"/>
  <c r="S469" i="1"/>
  <c r="S970" i="1"/>
  <c r="S104" i="1"/>
  <c r="S251" i="31"/>
  <c r="S145" i="1"/>
  <c r="S27" i="12"/>
  <c r="S92" i="12" s="1"/>
  <c r="N293" i="12"/>
  <c r="O868" i="1"/>
  <c r="Q758" i="1"/>
  <c r="Q892" i="1"/>
  <c r="V947" i="1"/>
  <c r="V958" i="1" s="1"/>
  <c r="W174" i="31"/>
  <c r="V207" i="31"/>
  <c r="V208" i="31" s="1"/>
  <c r="V182" i="12" s="1"/>
  <c r="V199" i="31"/>
  <c r="V172" i="12"/>
  <c r="V163" i="1"/>
  <c r="V164" i="1" s="1"/>
  <c r="V172" i="1" s="1"/>
  <c r="V485" i="1" s="1"/>
  <c r="V497" i="1" s="1"/>
  <c r="V70" i="12"/>
  <c r="W192" i="31"/>
  <c r="V272" i="12"/>
  <c r="V948" i="1"/>
  <c r="V959" i="1" s="1"/>
  <c r="V211" i="31"/>
  <c r="V212" i="31" s="1"/>
  <c r="V282" i="12" s="1"/>
  <c r="S23" i="12"/>
  <c r="S88" i="12" s="1"/>
  <c r="S966" i="1"/>
  <c r="S722" i="1"/>
  <c r="S596" i="1"/>
  <c r="S307" i="1"/>
  <c r="S488" i="1"/>
  <c r="R26" i="7"/>
  <c r="P765" i="1"/>
  <c r="P868" i="1" s="1"/>
  <c r="P764" i="1"/>
  <c r="N285" i="12"/>
  <c r="N267" i="12"/>
  <c r="N269" i="12" s="1"/>
  <c r="N274" i="12" s="1"/>
  <c r="O185" i="12"/>
  <c r="O217" i="12"/>
  <c r="O230" i="12" s="1"/>
  <c r="O167" i="12"/>
  <c r="O169" i="12" s="1"/>
  <c r="O174" i="12" s="1"/>
  <c r="S589" i="1"/>
  <c r="S969" i="1"/>
  <c r="S250" i="31"/>
  <c r="S26" i="12"/>
  <c r="S91" i="12" s="1"/>
  <c r="S127" i="7" s="1"/>
  <c r="S128" i="7" s="1"/>
  <c r="S310" i="1"/>
  <c r="S725" i="1"/>
  <c r="S489" i="1"/>
  <c r="P218" i="1"/>
  <c r="P219" i="1" s="1"/>
  <c r="P304" i="1"/>
  <c r="P1104" i="1"/>
  <c r="P222" i="1"/>
  <c r="P223" i="1" s="1"/>
  <c r="P429" i="1"/>
  <c r="T897" i="1"/>
  <c r="T777" i="1"/>
  <c r="N707" i="1"/>
  <c r="N1004" i="1"/>
  <c r="N853" i="1"/>
  <c r="N857" i="1" s="1"/>
  <c r="N446" i="1"/>
  <c r="AG377" i="1"/>
  <c r="AG168" i="1"/>
  <c r="AG169" i="1" s="1"/>
  <c r="AG71" i="12"/>
  <c r="AG173" i="12"/>
  <c r="AG273" i="12"/>
  <c r="AG510" i="1"/>
  <c r="AG511" i="1" s="1"/>
  <c r="AG1049" i="1"/>
  <c r="AG1052" i="1" s="1"/>
  <c r="AG949" i="1"/>
  <c r="AG960" i="1" s="1"/>
  <c r="AH181" i="31"/>
  <c r="S428" i="1" l="1"/>
  <c r="S435" i="1" s="1"/>
  <c r="S303" i="1"/>
  <c r="Q434" i="1"/>
  <c r="Q692" i="1" s="1"/>
  <c r="Q435" i="1"/>
  <c r="Q697" i="1" s="1"/>
  <c r="R21" i="12"/>
  <c r="R86" i="12" s="1"/>
  <c r="R428" i="1"/>
  <c r="R435" i="1" s="1"/>
  <c r="R697" i="1" s="1"/>
  <c r="R893" i="1"/>
  <c r="R178" i="1"/>
  <c r="R185" i="1" s="1"/>
  <c r="R212" i="1" s="1"/>
  <c r="R214" i="1" s="1"/>
  <c r="R217" i="1"/>
  <c r="R248" i="31"/>
  <c r="R252" i="31" s="1"/>
  <c r="R41" i="12" s="1"/>
  <c r="R138" i="12" s="1"/>
  <c r="R225" i="12" s="1"/>
  <c r="R238" i="12" s="1"/>
  <c r="R293" i="12" s="1"/>
  <c r="R245" i="31"/>
  <c r="R155" i="1" s="1"/>
  <c r="R298" i="1"/>
  <c r="T235" i="31"/>
  <c r="T20" i="12" s="1"/>
  <c r="T85" i="12" s="1"/>
  <c r="Q1151" i="1"/>
  <c r="T242" i="31"/>
  <c r="T970" i="1" s="1"/>
  <c r="P185" i="12"/>
  <c r="Q30" i="12"/>
  <c r="Q95" i="12" s="1"/>
  <c r="Q65" i="12"/>
  <c r="Q67" i="12" s="1"/>
  <c r="Q72" i="12" s="1"/>
  <c r="T241" i="31"/>
  <c r="T310" i="1" s="1"/>
  <c r="T234" i="31"/>
  <c r="Q33" i="12"/>
  <c r="Q130" i="12" s="1"/>
  <c r="Q185" i="12" s="1"/>
  <c r="T240" i="31"/>
  <c r="T968" i="1" s="1"/>
  <c r="T232" i="31"/>
  <c r="T199" i="1" s="1"/>
  <c r="T200" i="1" s="1"/>
  <c r="P167" i="12"/>
  <c r="P169" i="12" s="1"/>
  <c r="P174" i="12" s="1"/>
  <c r="T1120" i="1"/>
  <c r="T12" i="7" s="1"/>
  <c r="T26" i="7" s="1"/>
  <c r="U230" i="31"/>
  <c r="U238" i="31" s="1"/>
  <c r="U1117" i="1"/>
  <c r="U1122" i="1" s="1"/>
  <c r="U14" i="7" s="1"/>
  <c r="U28" i="7" s="1"/>
  <c r="V200" i="31"/>
  <c r="V230" i="31" s="1"/>
  <c r="U80" i="12"/>
  <c r="U248" i="1"/>
  <c r="U254" i="1" s="1"/>
  <c r="T243" i="31"/>
  <c r="T28" i="12" s="1"/>
  <c r="T93" i="12" s="1"/>
  <c r="T238" i="31"/>
  <c r="T596" i="1" s="1"/>
  <c r="Q219" i="1"/>
  <c r="Q305" i="1" s="1"/>
  <c r="Q304" i="1"/>
  <c r="Q1104" i="1"/>
  <c r="Q1121" i="1" s="1"/>
  <c r="Q429" i="1"/>
  <c r="Q222" i="1"/>
  <c r="Q438" i="1" s="1"/>
  <c r="Q441" i="1" s="1"/>
  <c r="O891" i="1"/>
  <c r="S598" i="1"/>
  <c r="R870" i="1"/>
  <c r="R895" i="1"/>
  <c r="N891" i="1"/>
  <c r="N867" i="1"/>
  <c r="S116" i="1"/>
  <c r="T468" i="1"/>
  <c r="T723" i="1"/>
  <c r="T308" i="1"/>
  <c r="T333" i="1"/>
  <c r="T24" i="12"/>
  <c r="T89" i="12" s="1"/>
  <c r="T597" i="1"/>
  <c r="T967" i="1"/>
  <c r="N27" i="7"/>
  <c r="S248" i="31"/>
  <c r="S252" i="31" s="1"/>
  <c r="S41" i="12" s="1"/>
  <c r="S138" i="12" s="1"/>
  <c r="S21" i="12"/>
  <c r="S86" i="12" s="1"/>
  <c r="S298" i="1"/>
  <c r="S245" i="31"/>
  <c r="S178" i="1"/>
  <c r="S185" i="1" s="1"/>
  <c r="S212" i="1" s="1"/>
  <c r="S214" i="1" s="1"/>
  <c r="S217" i="1"/>
  <c r="P776" i="1"/>
  <c r="R894" i="1"/>
  <c r="R779" i="1"/>
  <c r="S894" i="1"/>
  <c r="S779" i="1"/>
  <c r="AF824" i="1"/>
  <c r="AG799" i="1"/>
  <c r="U897" i="1"/>
  <c r="U777" i="1"/>
  <c r="P438" i="1"/>
  <c r="P441" i="1" s="1"/>
  <c r="S735" i="1"/>
  <c r="S745" i="1" s="1"/>
  <c r="O285" i="12"/>
  <c r="O267" i="12"/>
  <c r="O269" i="12" s="1"/>
  <c r="O274" i="12" s="1"/>
  <c r="V727" i="1"/>
  <c r="V747" i="1" s="1"/>
  <c r="V768" i="1" s="1"/>
  <c r="V772" i="1" s="1"/>
  <c r="V1103" i="1"/>
  <c r="V312" i="1"/>
  <c r="V474" i="1"/>
  <c r="V478" i="1" s="1"/>
  <c r="V496" i="1" s="1"/>
  <c r="W199" i="31"/>
  <c r="X174" i="31"/>
  <c r="W70" i="12"/>
  <c r="W947" i="1"/>
  <c r="W958" i="1" s="1"/>
  <c r="W207" i="31"/>
  <c r="W208" i="31" s="1"/>
  <c r="W182" i="12" s="1"/>
  <c r="W172" i="12"/>
  <c r="W163" i="1"/>
  <c r="W164" i="1" s="1"/>
  <c r="W172" i="1" s="1"/>
  <c r="W485" i="1" s="1"/>
  <c r="W497" i="1" s="1"/>
  <c r="Q765" i="1"/>
  <c r="Q868" i="1" s="1"/>
  <c r="Q764" i="1"/>
  <c r="Q776" i="1" s="1"/>
  <c r="R599" i="1"/>
  <c r="P439" i="1"/>
  <c r="P442" i="1" s="1"/>
  <c r="S732" i="1"/>
  <c r="S742" i="1" s="1"/>
  <c r="W948" i="1"/>
  <c r="W959" i="1" s="1"/>
  <c r="W211" i="31"/>
  <c r="W212" i="31" s="1"/>
  <c r="W282" i="12" s="1"/>
  <c r="X192" i="31"/>
  <c r="W272" i="12"/>
  <c r="P703" i="1"/>
  <c r="P502" i="1"/>
  <c r="P504" i="1" s="1"/>
  <c r="P532" i="1"/>
  <c r="P305" i="1"/>
  <c r="R758" i="1"/>
  <c r="R892" i="1"/>
  <c r="P1121" i="1"/>
  <c r="P285" i="12"/>
  <c r="P267" i="12"/>
  <c r="Q138" i="12"/>
  <c r="S893" i="1"/>
  <c r="S778" i="1"/>
  <c r="AH71" i="12"/>
  <c r="AH377" i="1"/>
  <c r="AH173" i="12"/>
  <c r="AH949" i="1"/>
  <c r="AH960" i="1" s="1"/>
  <c r="AH273" i="12"/>
  <c r="AH168" i="1"/>
  <c r="AH169" i="1" s="1"/>
  <c r="AH1049" i="1"/>
  <c r="AH1052" i="1" s="1"/>
  <c r="AH510" i="1"/>
  <c r="AH511" i="1" s="1"/>
  <c r="AI181" i="31"/>
  <c r="S434" i="1" l="1"/>
  <c r="S692" i="1" s="1"/>
  <c r="Q445" i="1"/>
  <c r="R434" i="1"/>
  <c r="R692" i="1" s="1"/>
  <c r="R193" i="12"/>
  <c r="R65" i="12"/>
  <c r="R67" i="12" s="1"/>
  <c r="R72" i="12" s="1"/>
  <c r="R30" i="12"/>
  <c r="R95" i="12" s="1"/>
  <c r="R33" i="12"/>
  <c r="R130" i="12" s="1"/>
  <c r="R167" i="12" s="1"/>
  <c r="R1151" i="1"/>
  <c r="U241" i="31"/>
  <c r="U489" i="1" s="1"/>
  <c r="U235" i="31"/>
  <c r="U20" i="12" s="1"/>
  <c r="U85" i="12" s="1"/>
  <c r="T588" i="1"/>
  <c r="T249" i="31"/>
  <c r="U232" i="31"/>
  <c r="U199" i="1" s="1"/>
  <c r="U200" i="1" s="1"/>
  <c r="T724" i="1"/>
  <c r="T734" i="1" s="1"/>
  <c r="T744" i="1" s="1"/>
  <c r="T779" i="1" s="1"/>
  <c r="T145" i="1"/>
  <c r="T177" i="1"/>
  <c r="U240" i="31"/>
  <c r="U249" i="31" s="1"/>
  <c r="U243" i="31"/>
  <c r="U28" i="12" s="1"/>
  <c r="U93" i="12" s="1"/>
  <c r="T27" i="12"/>
  <c r="T92" i="12" s="1"/>
  <c r="T309" i="1"/>
  <c r="T589" i="1"/>
  <c r="U234" i="31"/>
  <c r="U239" i="31"/>
  <c r="U308" i="1" s="1"/>
  <c r="T104" i="1"/>
  <c r="T116" i="1" s="1"/>
  <c r="T469" i="1"/>
  <c r="Q167" i="12"/>
  <c r="Q169" i="12" s="1"/>
  <c r="Q174" i="12" s="1"/>
  <c r="T251" i="31"/>
  <c r="U242" i="31"/>
  <c r="U251" i="31" s="1"/>
  <c r="T25" i="12"/>
  <c r="T90" i="12" s="1"/>
  <c r="T236" i="31"/>
  <c r="T303" i="1" s="1"/>
  <c r="T26" i="12"/>
  <c r="T91" i="12" s="1"/>
  <c r="T127" i="7" s="1"/>
  <c r="T128" i="7" s="1"/>
  <c r="T725" i="1"/>
  <c r="T735" i="1" s="1"/>
  <c r="T745" i="1" s="1"/>
  <c r="T489" i="1"/>
  <c r="T19" i="12"/>
  <c r="T84" i="12" s="1"/>
  <c r="V1117" i="1"/>
  <c r="V1122" i="1" s="1"/>
  <c r="V14" i="7" s="1"/>
  <c r="V28" i="7" s="1"/>
  <c r="Q217" i="12"/>
  <c r="Q230" i="12" s="1"/>
  <c r="Q267" i="12" s="1"/>
  <c r="T250" i="31"/>
  <c r="T969" i="1"/>
  <c r="U1120" i="1"/>
  <c r="U12" i="7" s="1"/>
  <c r="U26" i="7" s="1"/>
  <c r="V196" i="1"/>
  <c r="V197" i="1" s="1"/>
  <c r="V80" i="12"/>
  <c r="V248" i="1"/>
  <c r="V254" i="1" s="1"/>
  <c r="W200" i="31"/>
  <c r="W248" i="1" s="1"/>
  <c r="W254" i="1" s="1"/>
  <c r="T722" i="1"/>
  <c r="T732" i="1" s="1"/>
  <c r="T742" i="1" s="1"/>
  <c r="T966" i="1"/>
  <c r="Q502" i="1"/>
  <c r="Q504" i="1" s="1"/>
  <c r="T307" i="1"/>
  <c r="T23" i="12"/>
  <c r="T88" i="12" s="1"/>
  <c r="Q703" i="1"/>
  <c r="T488" i="1"/>
  <c r="Q532" i="1"/>
  <c r="Q1042" i="1"/>
  <c r="Q223" i="1"/>
  <c r="Q439" i="1" s="1"/>
  <c r="Q442" i="1" s="1"/>
  <c r="Q707" i="1" s="1"/>
  <c r="Q706" i="1"/>
  <c r="P269" i="12"/>
  <c r="P274" i="12" s="1"/>
  <c r="S599" i="1"/>
  <c r="P13" i="7"/>
  <c r="U23" i="12"/>
  <c r="U88" i="12" s="1"/>
  <c r="U488" i="1"/>
  <c r="U722" i="1"/>
  <c r="U307" i="1"/>
  <c r="U596" i="1"/>
  <c r="U966" i="1"/>
  <c r="P430" i="1"/>
  <c r="S892" i="1"/>
  <c r="S758" i="1"/>
  <c r="X172" i="12"/>
  <c r="X199" i="31"/>
  <c r="X70" i="12"/>
  <c r="X163" i="1"/>
  <c r="X164" i="1" s="1"/>
  <c r="X172" i="1" s="1"/>
  <c r="X485" i="1" s="1"/>
  <c r="X497" i="1" s="1"/>
  <c r="X947" i="1"/>
  <c r="X958" i="1" s="1"/>
  <c r="X207" i="31"/>
  <c r="X208" i="31" s="1"/>
  <c r="X182" i="12" s="1"/>
  <c r="Y174" i="31"/>
  <c r="S870" i="1"/>
  <c r="S895" i="1"/>
  <c r="S218" i="1"/>
  <c r="S219" i="1" s="1"/>
  <c r="S304" i="1"/>
  <c r="S1104" i="1"/>
  <c r="S222" i="1"/>
  <c r="S438" i="1" s="1"/>
  <c r="S441" i="1" s="1"/>
  <c r="S429" i="1"/>
  <c r="S225" i="12"/>
  <c r="S238" i="12" s="1"/>
  <c r="S293" i="12" s="1"/>
  <c r="S193" i="12"/>
  <c r="T733" i="1"/>
  <c r="T743" i="1" s="1"/>
  <c r="R218" i="1"/>
  <c r="R219" i="1" s="1"/>
  <c r="R222" i="1"/>
  <c r="R223" i="1" s="1"/>
  <c r="R304" i="1"/>
  <c r="R429" i="1"/>
  <c r="R1104" i="1"/>
  <c r="Q13" i="7"/>
  <c r="Q27" i="7" s="1"/>
  <c r="Q193" i="12"/>
  <c r="Q225" i="12"/>
  <c r="Q238" i="12" s="1"/>
  <c r="R765" i="1"/>
  <c r="R868" i="1" s="1"/>
  <c r="R764" i="1"/>
  <c r="T598" i="1"/>
  <c r="Q430" i="1"/>
  <c r="X948" i="1"/>
  <c r="X959" i="1" s="1"/>
  <c r="X211" i="31"/>
  <c r="X212" i="31" s="1"/>
  <c r="X282" i="12" s="1"/>
  <c r="Y192" i="31"/>
  <c r="X272" i="12"/>
  <c r="S697" i="1"/>
  <c r="V897" i="1"/>
  <c r="V777" i="1"/>
  <c r="S155" i="1"/>
  <c r="S1151" i="1"/>
  <c r="S65" i="12"/>
  <c r="S33" i="12"/>
  <c r="S130" i="12" s="1"/>
  <c r="S30" i="12"/>
  <c r="S95" i="12" s="1"/>
  <c r="AG824" i="1"/>
  <c r="AH799" i="1"/>
  <c r="P707" i="1"/>
  <c r="P853" i="1"/>
  <c r="P857" i="1" s="1"/>
  <c r="P1004" i="1"/>
  <c r="P446" i="1"/>
  <c r="W727" i="1"/>
  <c r="W747" i="1" s="1"/>
  <c r="W768" i="1" s="1"/>
  <c r="W772" i="1" s="1"/>
  <c r="W312" i="1"/>
  <c r="W474" i="1"/>
  <c r="W478" i="1" s="1"/>
  <c r="W496" i="1" s="1"/>
  <c r="W1103" i="1"/>
  <c r="P706" i="1"/>
  <c r="P1042" i="1"/>
  <c r="P445" i="1"/>
  <c r="V242" i="31"/>
  <c r="V241" i="31"/>
  <c r="V240" i="31"/>
  <c r="V234" i="31"/>
  <c r="V239" i="31"/>
  <c r="V235" i="31"/>
  <c r="V20" i="12" s="1"/>
  <c r="V232" i="31"/>
  <c r="V199" i="1" s="1"/>
  <c r="V238" i="31"/>
  <c r="V243" i="31"/>
  <c r="V28" i="12" s="1"/>
  <c r="AI168" i="1"/>
  <c r="AI169" i="1" s="1"/>
  <c r="AI1049" i="1"/>
  <c r="AI1052" i="1" s="1"/>
  <c r="AI510" i="1"/>
  <c r="AI511" i="1" s="1"/>
  <c r="AI377" i="1"/>
  <c r="AJ181" i="31"/>
  <c r="AI173" i="12"/>
  <c r="AI71" i="12"/>
  <c r="AI949" i="1"/>
  <c r="AI960" i="1" s="1"/>
  <c r="AI273" i="12"/>
  <c r="T245" i="31" l="1"/>
  <c r="T1151" i="1" s="1"/>
  <c r="T428" i="1"/>
  <c r="T434" i="1" s="1"/>
  <c r="T692" i="1" s="1"/>
  <c r="R217" i="12"/>
  <c r="R230" i="12" s="1"/>
  <c r="R267" i="12" s="1"/>
  <c r="U236" i="31"/>
  <c r="U303" i="1" s="1"/>
  <c r="R185" i="12"/>
  <c r="U968" i="1"/>
  <c r="U26" i="12"/>
  <c r="U91" i="12" s="1"/>
  <c r="U127" i="7" s="1"/>
  <c r="U128" i="7" s="1"/>
  <c r="U969" i="1"/>
  <c r="U725" i="1"/>
  <c r="U735" i="1" s="1"/>
  <c r="U745" i="1" s="1"/>
  <c r="U870" i="1" s="1"/>
  <c r="U310" i="1"/>
  <c r="U250" i="31"/>
  <c r="T894" i="1"/>
  <c r="V200" i="1"/>
  <c r="U589" i="1"/>
  <c r="U468" i="1"/>
  <c r="U25" i="12"/>
  <c r="U90" i="12" s="1"/>
  <c r="U19" i="12"/>
  <c r="U84" i="12" s="1"/>
  <c r="U469" i="1"/>
  <c r="U309" i="1"/>
  <c r="Q285" i="12"/>
  <c r="U967" i="1"/>
  <c r="U24" i="12"/>
  <c r="U89" i="12" s="1"/>
  <c r="U333" i="1"/>
  <c r="T217" i="1"/>
  <c r="U597" i="1"/>
  <c r="U598" i="1" s="1"/>
  <c r="U723" i="1"/>
  <c r="U733" i="1" s="1"/>
  <c r="U743" i="1" s="1"/>
  <c r="T178" i="1"/>
  <c r="T185" i="1" s="1"/>
  <c r="T212" i="1" s="1"/>
  <c r="T214" i="1" s="1"/>
  <c r="T1104" i="1" s="1"/>
  <c r="U27" i="12"/>
  <c r="U92" i="12" s="1"/>
  <c r="U104" i="1"/>
  <c r="U116" i="1" s="1"/>
  <c r="T21" i="12"/>
  <c r="T86" i="12" s="1"/>
  <c r="U724" i="1"/>
  <c r="U734" i="1" s="1"/>
  <c r="U744" i="1" s="1"/>
  <c r="U588" i="1"/>
  <c r="T298" i="1"/>
  <c r="T248" i="31"/>
  <c r="T252" i="31" s="1"/>
  <c r="T41" i="12" s="1"/>
  <c r="T138" i="12" s="1"/>
  <c r="U177" i="1"/>
  <c r="U145" i="1"/>
  <c r="V1120" i="1"/>
  <c r="V12" i="7" s="1"/>
  <c r="V26" i="7" s="1"/>
  <c r="U970" i="1"/>
  <c r="V85" i="12"/>
  <c r="V93" i="12"/>
  <c r="W230" i="31"/>
  <c r="W242" i="31" s="1"/>
  <c r="W1117" i="1"/>
  <c r="W1122" i="1" s="1"/>
  <c r="W14" i="7" s="1"/>
  <c r="W28" i="7" s="1"/>
  <c r="W196" i="1"/>
  <c r="W197" i="1" s="1"/>
  <c r="W80" i="12"/>
  <c r="X200" i="31"/>
  <c r="X196" i="1" s="1"/>
  <c r="X197" i="1" s="1"/>
  <c r="Q1004" i="1"/>
  <c r="Q446" i="1"/>
  <c r="Q853" i="1"/>
  <c r="Q857" i="1" s="1"/>
  <c r="Q891" i="1" s="1"/>
  <c r="S67" i="12"/>
  <c r="S72" i="12" s="1"/>
  <c r="Q269" i="12"/>
  <c r="Q274" i="12" s="1"/>
  <c r="T599" i="1"/>
  <c r="R169" i="12"/>
  <c r="R174" i="12" s="1"/>
  <c r="S223" i="1"/>
  <c r="S439" i="1" s="1"/>
  <c r="S442" i="1" s="1"/>
  <c r="S446" i="1" s="1"/>
  <c r="R439" i="1"/>
  <c r="R442" i="1" s="1"/>
  <c r="V23" i="12"/>
  <c r="V88" i="12" s="1"/>
  <c r="V596" i="1"/>
  <c r="V307" i="1"/>
  <c r="V966" i="1"/>
  <c r="V722" i="1"/>
  <c r="V488" i="1"/>
  <c r="P867" i="1"/>
  <c r="P891" i="1"/>
  <c r="S532" i="1"/>
  <c r="S703" i="1"/>
  <c r="S502" i="1"/>
  <c r="S504" i="1" s="1"/>
  <c r="S305" i="1"/>
  <c r="V724" i="1"/>
  <c r="V734" i="1" s="1"/>
  <c r="V744" i="1" s="1"/>
  <c r="V469" i="1"/>
  <c r="V309" i="1"/>
  <c r="V588" i="1"/>
  <c r="V968" i="1"/>
  <c r="V249" i="31"/>
  <c r="V25" i="12"/>
  <c r="V90" i="12" s="1"/>
  <c r="S764" i="1"/>
  <c r="S776" i="1" s="1"/>
  <c r="S765" i="1"/>
  <c r="S868" i="1" s="1"/>
  <c r="R703" i="1"/>
  <c r="R305" i="1"/>
  <c r="R532" i="1"/>
  <c r="R502" i="1"/>
  <c r="R504" i="1" s="1"/>
  <c r="T893" i="1"/>
  <c r="T778" i="1"/>
  <c r="V589" i="1"/>
  <c r="V250" i="31"/>
  <c r="V489" i="1"/>
  <c r="V969" i="1"/>
  <c r="V725" i="1"/>
  <c r="V310" i="1"/>
  <c r="V26" i="12"/>
  <c r="V91" i="12" s="1"/>
  <c r="V127" i="7" s="1"/>
  <c r="V128" i="7" s="1"/>
  <c r="AH824" i="1"/>
  <c r="AI799" i="1"/>
  <c r="T895" i="1"/>
  <c r="T870" i="1"/>
  <c r="S1042" i="1"/>
  <c r="S706" i="1"/>
  <c r="X727" i="1"/>
  <c r="X747" i="1" s="1"/>
  <c r="X768" i="1" s="1"/>
  <c r="X772" i="1" s="1"/>
  <c r="X1103" i="1"/>
  <c r="X312" i="1"/>
  <c r="X474" i="1"/>
  <c r="X478" i="1" s="1"/>
  <c r="X496" i="1" s="1"/>
  <c r="S445" i="1"/>
  <c r="V177" i="1"/>
  <c r="V19" i="12"/>
  <c r="V84" i="12" s="1"/>
  <c r="V236" i="31"/>
  <c r="S185" i="12"/>
  <c r="S167" i="12"/>
  <c r="S217" i="12"/>
  <c r="S230" i="12" s="1"/>
  <c r="Z192" i="31"/>
  <c r="Y272" i="12"/>
  <c r="Y948" i="1"/>
  <c r="Y959" i="1" s="1"/>
  <c r="Y211" i="31"/>
  <c r="Y212" i="31" s="1"/>
  <c r="Y282" i="12" s="1"/>
  <c r="Q293" i="12"/>
  <c r="T892" i="1"/>
  <c r="T758" i="1"/>
  <c r="U732" i="1"/>
  <c r="U742" i="1" s="1"/>
  <c r="V468" i="1"/>
  <c r="V723" i="1"/>
  <c r="V733" i="1" s="1"/>
  <c r="V743" i="1" s="1"/>
  <c r="V967" i="1"/>
  <c r="V308" i="1"/>
  <c r="V24" i="12"/>
  <c r="V89" i="12" s="1"/>
  <c r="V597" i="1"/>
  <c r="V333" i="1"/>
  <c r="V251" i="31"/>
  <c r="V145" i="1"/>
  <c r="V104" i="1"/>
  <c r="V970" i="1"/>
  <c r="V27" i="12"/>
  <c r="V92" i="12" s="1"/>
  <c r="W897" i="1"/>
  <c r="W777" i="1"/>
  <c r="R776" i="1"/>
  <c r="R1121" i="1"/>
  <c r="R438" i="1"/>
  <c r="R441" i="1" s="1"/>
  <c r="S1121" i="1"/>
  <c r="Y199" i="31"/>
  <c r="Z174" i="31"/>
  <c r="Y172" i="12"/>
  <c r="Y207" i="31"/>
  <c r="Y208" i="31" s="1"/>
  <c r="Y182" i="12" s="1"/>
  <c r="Y947" i="1"/>
  <c r="Y958" i="1" s="1"/>
  <c r="Y70" i="12"/>
  <c r="Y163" i="1"/>
  <c r="Y164" i="1" s="1"/>
  <c r="Y172" i="1" s="1"/>
  <c r="Y485" i="1" s="1"/>
  <c r="Y497" i="1" s="1"/>
  <c r="P27" i="7"/>
  <c r="AJ510" i="1"/>
  <c r="AJ511" i="1" s="1"/>
  <c r="AJ949" i="1"/>
  <c r="AJ960" i="1" s="1"/>
  <c r="AJ168" i="1"/>
  <c r="AJ169" i="1" s="1"/>
  <c r="AJ71" i="12"/>
  <c r="AK181" i="31"/>
  <c r="AJ173" i="12"/>
  <c r="AJ1049" i="1"/>
  <c r="AJ1052" i="1" s="1"/>
  <c r="AJ273" i="12"/>
  <c r="AJ377" i="1"/>
  <c r="V428" i="1" l="1"/>
  <c r="V434" i="1" s="1"/>
  <c r="V303" i="1"/>
  <c r="T33" i="12"/>
  <c r="T130" i="12" s="1"/>
  <c r="T167" i="12" s="1"/>
  <c r="T30" i="12"/>
  <c r="T95" i="12" s="1"/>
  <c r="T65" i="12"/>
  <c r="T67" i="12" s="1"/>
  <c r="T72" i="12" s="1"/>
  <c r="T155" i="1"/>
  <c r="T435" i="1"/>
  <c r="T697" i="1" s="1"/>
  <c r="U178" i="1"/>
  <c r="U185" i="1" s="1"/>
  <c r="U212" i="1" s="1"/>
  <c r="U214" i="1" s="1"/>
  <c r="U218" i="1" s="1"/>
  <c r="U428" i="1"/>
  <c r="U434" i="1" s="1"/>
  <c r="U692" i="1" s="1"/>
  <c r="R285" i="12"/>
  <c r="U245" i="31"/>
  <c r="U65" i="12" s="1"/>
  <c r="U298" i="1"/>
  <c r="U21" i="12"/>
  <c r="U86" i="12" s="1"/>
  <c r="U248" i="31"/>
  <c r="U252" i="31" s="1"/>
  <c r="U41" i="12" s="1"/>
  <c r="U138" i="12" s="1"/>
  <c r="U225" i="12" s="1"/>
  <c r="U238" i="12" s="1"/>
  <c r="U217" i="1"/>
  <c r="U895" i="1"/>
  <c r="T222" i="1"/>
  <c r="T438" i="1" s="1"/>
  <c r="T441" i="1" s="1"/>
  <c r="T1042" i="1" s="1"/>
  <c r="W240" i="31"/>
  <c r="W25" i="12" s="1"/>
  <c r="W90" i="12" s="1"/>
  <c r="T218" i="1"/>
  <c r="T219" i="1" s="1"/>
  <c r="T532" i="1" s="1"/>
  <c r="W243" i="31"/>
  <c r="W28" i="12" s="1"/>
  <c r="W93" i="12" s="1"/>
  <c r="T429" i="1"/>
  <c r="W1120" i="1"/>
  <c r="W12" i="7" s="1"/>
  <c r="W26" i="7" s="1"/>
  <c r="W232" i="31"/>
  <c r="W199" i="1" s="1"/>
  <c r="W200" i="1" s="1"/>
  <c r="T304" i="1"/>
  <c r="X248" i="1"/>
  <c r="X254" i="1" s="1"/>
  <c r="W239" i="31"/>
  <c r="W24" i="12" s="1"/>
  <c r="W89" i="12" s="1"/>
  <c r="T225" i="12"/>
  <c r="T238" i="12" s="1"/>
  <c r="T293" i="12" s="1"/>
  <c r="T193" i="12"/>
  <c r="W241" i="31"/>
  <c r="W250" i="31" s="1"/>
  <c r="W238" i="31"/>
  <c r="W307" i="1" s="1"/>
  <c r="W235" i="31"/>
  <c r="W20" i="12" s="1"/>
  <c r="W85" i="12" s="1"/>
  <c r="W234" i="31"/>
  <c r="W177" i="1" s="1"/>
  <c r="U599" i="1"/>
  <c r="Y200" i="31"/>
  <c r="Y1117" i="1" s="1"/>
  <c r="Y1122" i="1" s="1"/>
  <c r="Y14" i="7" s="1"/>
  <c r="Y28" i="7" s="1"/>
  <c r="X230" i="31"/>
  <c r="X234" i="31" s="1"/>
  <c r="X80" i="12"/>
  <c r="X1117" i="1"/>
  <c r="X1122" i="1" s="1"/>
  <c r="X14" i="7" s="1"/>
  <c r="X28" i="7" s="1"/>
  <c r="Q867" i="1"/>
  <c r="R269" i="12"/>
  <c r="R274" i="12" s="1"/>
  <c r="S169" i="12"/>
  <c r="S174" i="12" s="1"/>
  <c r="S707" i="1"/>
  <c r="S1004" i="1"/>
  <c r="S853" i="1"/>
  <c r="S857" i="1" s="1"/>
  <c r="S867" i="1" s="1"/>
  <c r="V598" i="1"/>
  <c r="U758" i="1"/>
  <c r="U892" i="1"/>
  <c r="U779" i="1"/>
  <c r="U894" i="1"/>
  <c r="W970" i="1"/>
  <c r="W27" i="12"/>
  <c r="W92" i="12" s="1"/>
  <c r="W145" i="1"/>
  <c r="W251" i="31"/>
  <c r="W104" i="1"/>
  <c r="S285" i="12"/>
  <c r="S267" i="12"/>
  <c r="U778" i="1"/>
  <c r="U893" i="1"/>
  <c r="X777" i="1"/>
  <c r="X897" i="1"/>
  <c r="V735" i="1"/>
  <c r="V745" i="1" s="1"/>
  <c r="R430" i="1"/>
  <c r="V732" i="1"/>
  <c r="V742" i="1" s="1"/>
  <c r="Y312" i="1"/>
  <c r="Y1103" i="1"/>
  <c r="Y474" i="1"/>
  <c r="Y478" i="1" s="1"/>
  <c r="Y496" i="1" s="1"/>
  <c r="Y727" i="1"/>
  <c r="Y747" i="1" s="1"/>
  <c r="Y768" i="1" s="1"/>
  <c r="Y772" i="1" s="1"/>
  <c r="S13" i="7"/>
  <c r="S27" i="7" s="1"/>
  <c r="R13" i="7"/>
  <c r="V116" i="1"/>
  <c r="V778" i="1"/>
  <c r="V893" i="1"/>
  <c r="T765" i="1"/>
  <c r="T868" i="1" s="1"/>
  <c r="T764" i="1"/>
  <c r="T776" i="1" s="1"/>
  <c r="V245" i="31"/>
  <c r="V217" i="1"/>
  <c r="V21" i="12"/>
  <c r="V86" i="12" s="1"/>
  <c r="V178" i="1"/>
  <c r="V185" i="1" s="1"/>
  <c r="V212" i="1" s="1"/>
  <c r="V214" i="1" s="1"/>
  <c r="V248" i="31"/>
  <c r="V252" i="31" s="1"/>
  <c r="V41" i="12" s="1"/>
  <c r="V138" i="12" s="1"/>
  <c r="V298" i="1"/>
  <c r="Z70" i="12"/>
  <c r="Z199" i="31"/>
  <c r="Z207" i="31"/>
  <c r="Z208" i="31" s="1"/>
  <c r="Z182" i="12" s="1"/>
  <c r="Z172" i="12"/>
  <c r="Z163" i="1"/>
  <c r="Z164" i="1" s="1"/>
  <c r="Z172" i="1" s="1"/>
  <c r="Z485" i="1" s="1"/>
  <c r="Z497" i="1" s="1"/>
  <c r="Z947" i="1"/>
  <c r="Z958" i="1" s="1"/>
  <c r="AA174" i="31"/>
  <c r="T1121" i="1"/>
  <c r="AI824" i="1"/>
  <c r="AJ799" i="1"/>
  <c r="V894" i="1"/>
  <c r="V779" i="1"/>
  <c r="R706" i="1"/>
  <c r="R1042" i="1"/>
  <c r="R445" i="1"/>
  <c r="Z272" i="12"/>
  <c r="Z211" i="31"/>
  <c r="Z212" i="31" s="1"/>
  <c r="Z282" i="12" s="1"/>
  <c r="AA192" i="31"/>
  <c r="Z948" i="1"/>
  <c r="Z959" i="1" s="1"/>
  <c r="S430" i="1"/>
  <c r="R1004" i="1"/>
  <c r="R707" i="1"/>
  <c r="R853" i="1"/>
  <c r="R857" i="1" s="1"/>
  <c r="R446" i="1"/>
  <c r="AK949" i="1"/>
  <c r="AK960" i="1" s="1"/>
  <c r="AK1049" i="1"/>
  <c r="AK1052" i="1" s="1"/>
  <c r="AK510" i="1"/>
  <c r="AK511" i="1" s="1"/>
  <c r="AK168" i="1"/>
  <c r="AK169" i="1" s="1"/>
  <c r="AK173" i="12"/>
  <c r="AK377" i="1"/>
  <c r="AL181" i="31"/>
  <c r="AK71" i="12"/>
  <c r="AK273" i="12"/>
  <c r="V435" i="1" l="1"/>
  <c r="T185" i="12"/>
  <c r="T217" i="12"/>
  <c r="T230" i="12" s="1"/>
  <c r="T267" i="12" s="1"/>
  <c r="U435" i="1"/>
  <c r="U697" i="1" s="1"/>
  <c r="U304" i="1"/>
  <c r="U429" i="1"/>
  <c r="U222" i="1"/>
  <c r="U438" i="1" s="1"/>
  <c r="U441" i="1" s="1"/>
  <c r="U445" i="1" s="1"/>
  <c r="U1104" i="1"/>
  <c r="U1121" i="1" s="1"/>
  <c r="U30" i="12"/>
  <c r="U95" i="12" s="1"/>
  <c r="U1151" i="1"/>
  <c r="U155" i="1"/>
  <c r="U33" i="12"/>
  <c r="U130" i="12" s="1"/>
  <c r="U217" i="12" s="1"/>
  <c r="U230" i="12" s="1"/>
  <c r="U219" i="1"/>
  <c r="U532" i="1" s="1"/>
  <c r="W469" i="1"/>
  <c r="V599" i="1"/>
  <c r="U193" i="12"/>
  <c r="W968" i="1"/>
  <c r="T305" i="1"/>
  <c r="T430" i="1" s="1"/>
  <c r="T502" i="1"/>
  <c r="T504" i="1" s="1"/>
  <c r="W249" i="31"/>
  <c r="W308" i="1"/>
  <c r="T703" i="1"/>
  <c r="W489" i="1"/>
  <c r="T706" i="1"/>
  <c r="W588" i="1"/>
  <c r="W724" i="1"/>
  <c r="W734" i="1" s="1"/>
  <c r="W744" i="1" s="1"/>
  <c r="T445" i="1"/>
  <c r="W722" i="1"/>
  <c r="W732" i="1" s="1"/>
  <c r="W742" i="1" s="1"/>
  <c r="T223" i="1"/>
  <c r="T439" i="1" s="1"/>
  <c r="T442" i="1" s="1"/>
  <c r="W309" i="1"/>
  <c r="X240" i="31"/>
  <c r="X309" i="1" s="1"/>
  <c r="X241" i="31"/>
  <c r="X489" i="1" s="1"/>
  <c r="X235" i="31"/>
  <c r="X20" i="12" s="1"/>
  <c r="X85" i="12" s="1"/>
  <c r="X242" i="31"/>
  <c r="X27" i="12" s="1"/>
  <c r="X92" i="12" s="1"/>
  <c r="W23" i="12"/>
  <c r="W88" i="12" s="1"/>
  <c r="W333" i="1"/>
  <c r="W967" i="1"/>
  <c r="W966" i="1"/>
  <c r="W597" i="1"/>
  <c r="W723" i="1"/>
  <c r="W733" i="1" s="1"/>
  <c r="W743" i="1" s="1"/>
  <c r="W778" i="1" s="1"/>
  <c r="W596" i="1"/>
  <c r="W468" i="1"/>
  <c r="W26" i="12"/>
  <c r="W91" i="12" s="1"/>
  <c r="W127" i="7" s="1"/>
  <c r="W128" i="7" s="1"/>
  <c r="W310" i="1"/>
  <c r="W969" i="1"/>
  <c r="W589" i="1"/>
  <c r="W725" i="1"/>
  <c r="W735" i="1" s="1"/>
  <c r="W745" i="1" s="1"/>
  <c r="W870" i="1" s="1"/>
  <c r="X232" i="31"/>
  <c r="X199" i="1" s="1"/>
  <c r="X200" i="1" s="1"/>
  <c r="X238" i="31"/>
  <c r="X722" i="1" s="1"/>
  <c r="Z200" i="31"/>
  <c r="Z1117" i="1" s="1"/>
  <c r="Z1122" i="1" s="1"/>
  <c r="Z14" i="7" s="1"/>
  <c r="Z28" i="7" s="1"/>
  <c r="X239" i="31"/>
  <c r="X333" i="1" s="1"/>
  <c r="X243" i="31"/>
  <c r="X28" i="12" s="1"/>
  <c r="X93" i="12" s="1"/>
  <c r="W488" i="1"/>
  <c r="X1120" i="1"/>
  <c r="X12" i="7" s="1"/>
  <c r="X26" i="7" s="1"/>
  <c r="W19" i="12"/>
  <c r="W84" i="12" s="1"/>
  <c r="W236" i="31"/>
  <c r="W303" i="1" s="1"/>
  <c r="Y248" i="1"/>
  <c r="Y254" i="1" s="1"/>
  <c r="Y80" i="12"/>
  <c r="Y230" i="31"/>
  <c r="Y235" i="31" s="1"/>
  <c r="Y20" i="12" s="1"/>
  <c r="Y196" i="1"/>
  <c r="Y197" i="1" s="1"/>
  <c r="U67" i="12"/>
  <c r="U72" i="12" s="1"/>
  <c r="T169" i="12"/>
  <c r="T174" i="12" s="1"/>
  <c r="S269" i="12"/>
  <c r="S274" i="12" s="1"/>
  <c r="S891" i="1"/>
  <c r="V870" i="1"/>
  <c r="V895" i="1"/>
  <c r="R867" i="1"/>
  <c r="R891" i="1"/>
  <c r="AA948" i="1"/>
  <c r="AA959" i="1" s="1"/>
  <c r="AB192" i="31"/>
  <c r="AA272" i="12"/>
  <c r="AA211" i="31"/>
  <c r="AA212" i="31" s="1"/>
  <c r="AA282" i="12" s="1"/>
  <c r="V697" i="1"/>
  <c r="Y1120" i="1"/>
  <c r="Z1103" i="1"/>
  <c r="Z727" i="1"/>
  <c r="Z747" i="1" s="1"/>
  <c r="Z768" i="1" s="1"/>
  <c r="Z772" i="1" s="1"/>
  <c r="Z474" i="1"/>
  <c r="Z478" i="1" s="1"/>
  <c r="Z496" i="1" s="1"/>
  <c r="Z312" i="1"/>
  <c r="V218" i="1"/>
  <c r="V219" i="1" s="1"/>
  <c r="V222" i="1"/>
  <c r="V438" i="1" s="1"/>
  <c r="V441" i="1" s="1"/>
  <c r="V445" i="1" s="1"/>
  <c r="V304" i="1"/>
  <c r="V429" i="1"/>
  <c r="V1104" i="1"/>
  <c r="R27" i="7"/>
  <c r="T13" i="7"/>
  <c r="T27" i="7" s="1"/>
  <c r="AA207" i="31"/>
  <c r="AA208" i="31" s="1"/>
  <c r="AA182" i="12" s="1"/>
  <c r="AB174" i="31"/>
  <c r="AA70" i="12"/>
  <c r="AA199" i="31"/>
  <c r="AA172" i="12"/>
  <c r="AA163" i="1"/>
  <c r="AA164" i="1" s="1"/>
  <c r="AA172" i="1" s="1"/>
  <c r="AA485" i="1" s="1"/>
  <c r="AA497" i="1" s="1"/>
  <c r="AA947" i="1"/>
  <c r="AA958" i="1" s="1"/>
  <c r="W116" i="1"/>
  <c r="U765" i="1"/>
  <c r="U868" i="1" s="1"/>
  <c r="U764" i="1"/>
  <c r="U776" i="1" s="1"/>
  <c r="V692" i="1"/>
  <c r="AJ824" i="1"/>
  <c r="AK799" i="1"/>
  <c r="V225" i="12"/>
  <c r="V238" i="12" s="1"/>
  <c r="V293" i="12" s="1"/>
  <c r="V193" i="12"/>
  <c r="V65" i="12"/>
  <c r="V33" i="12"/>
  <c r="V130" i="12" s="1"/>
  <c r="V155" i="1"/>
  <c r="V30" i="12"/>
  <c r="V95" i="12" s="1"/>
  <c r="V1151" i="1"/>
  <c r="Y777" i="1"/>
  <c r="Y897" i="1"/>
  <c r="V758" i="1"/>
  <c r="V892" i="1"/>
  <c r="U293" i="12"/>
  <c r="X177" i="1"/>
  <c r="X19" i="12"/>
  <c r="X84" i="12" s="1"/>
  <c r="AL173" i="12"/>
  <c r="AL377" i="1"/>
  <c r="AL273" i="12"/>
  <c r="AL71" i="12"/>
  <c r="AL1049" i="1"/>
  <c r="AL1052" i="1" s="1"/>
  <c r="AL510" i="1"/>
  <c r="AL511" i="1" s="1"/>
  <c r="AL168" i="1"/>
  <c r="AL169" i="1" s="1"/>
  <c r="AL949" i="1"/>
  <c r="AL960" i="1" s="1"/>
  <c r="AM181" i="31"/>
  <c r="T285" i="12" l="1"/>
  <c r="U706" i="1"/>
  <c r="U223" i="1"/>
  <c r="U439" i="1" s="1"/>
  <c r="U442" i="1" s="1"/>
  <c r="U1004" i="1" s="1"/>
  <c r="U1042" i="1"/>
  <c r="W178" i="1"/>
  <c r="W185" i="1" s="1"/>
  <c r="W212" i="1" s="1"/>
  <c r="W214" i="1" s="1"/>
  <c r="W304" i="1" s="1"/>
  <c r="W428" i="1"/>
  <c r="W435" i="1" s="1"/>
  <c r="W697" i="1" s="1"/>
  <c r="U305" i="1"/>
  <c r="U430" i="1" s="1"/>
  <c r="U167" i="12"/>
  <c r="U169" i="12" s="1"/>
  <c r="U174" i="12" s="1"/>
  <c r="U185" i="12"/>
  <c r="U502" i="1"/>
  <c r="U504" i="1" s="1"/>
  <c r="U703" i="1"/>
  <c r="W895" i="1"/>
  <c r="X249" i="31"/>
  <c r="X25" i="12"/>
  <c r="X90" i="12" s="1"/>
  <c r="X967" i="1"/>
  <c r="X308" i="1"/>
  <c r="X469" i="1"/>
  <c r="X969" i="1"/>
  <c r="W893" i="1"/>
  <c r="X723" i="1"/>
  <c r="X733" i="1" s="1"/>
  <c r="X743" i="1" s="1"/>
  <c r="X588" i="1"/>
  <c r="X310" i="1"/>
  <c r="X250" i="31"/>
  <c r="X24" i="12"/>
  <c r="X89" i="12" s="1"/>
  <c r="X236" i="31"/>
  <c r="X303" i="1" s="1"/>
  <c r="X597" i="1"/>
  <c r="X589" i="1"/>
  <c r="X26" i="12"/>
  <c r="X91" i="12" s="1"/>
  <c r="X127" i="7" s="1"/>
  <c r="X128" i="7" s="1"/>
  <c r="X968" i="1"/>
  <c r="X724" i="1"/>
  <c r="X734" i="1" s="1"/>
  <c r="X744" i="1" s="1"/>
  <c r="X468" i="1"/>
  <c r="X970" i="1"/>
  <c r="X725" i="1"/>
  <c r="X735" i="1" s="1"/>
  <c r="X745" i="1" s="1"/>
  <c r="X895" i="1" s="1"/>
  <c r="X251" i="31"/>
  <c r="X104" i="1"/>
  <c r="X116" i="1" s="1"/>
  <c r="X145" i="1"/>
  <c r="W598" i="1"/>
  <c r="W599" i="1" s="1"/>
  <c r="Z248" i="1"/>
  <c r="Z254" i="1" s="1"/>
  <c r="Y242" i="31"/>
  <c r="Y27" i="12" s="1"/>
  <c r="Y92" i="12" s="1"/>
  <c r="X596" i="1"/>
  <c r="Y243" i="31"/>
  <c r="Y28" i="12" s="1"/>
  <c r="Y93" i="12" s="1"/>
  <c r="X307" i="1"/>
  <c r="Z196" i="1"/>
  <c r="Z197" i="1" s="1"/>
  <c r="Z230" i="31"/>
  <c r="Z243" i="31" s="1"/>
  <c r="Z28" i="12" s="1"/>
  <c r="AA200" i="31"/>
  <c r="AA230" i="31" s="1"/>
  <c r="Z80" i="12"/>
  <c r="Y232" i="31"/>
  <c r="Y199" i="1" s="1"/>
  <c r="Y200" i="1" s="1"/>
  <c r="X488" i="1"/>
  <c r="X23" i="12"/>
  <c r="X88" i="12" s="1"/>
  <c r="W248" i="31"/>
  <c r="W252" i="31" s="1"/>
  <c r="W41" i="12" s="1"/>
  <c r="W138" i="12" s="1"/>
  <c r="W225" i="12" s="1"/>
  <c r="W238" i="12" s="1"/>
  <c r="W293" i="12" s="1"/>
  <c r="Y241" i="31"/>
  <c r="Y489" i="1" s="1"/>
  <c r="X966" i="1"/>
  <c r="Y85" i="12"/>
  <c r="W21" i="12"/>
  <c r="W86" i="12" s="1"/>
  <c r="W217" i="1"/>
  <c r="W245" i="31"/>
  <c r="W155" i="1" s="1"/>
  <c r="W298" i="1"/>
  <c r="Y234" i="31"/>
  <c r="Y19" i="12" s="1"/>
  <c r="Y84" i="12" s="1"/>
  <c r="Y238" i="31"/>
  <c r="Y488" i="1" s="1"/>
  <c r="Y239" i="31"/>
  <c r="Y333" i="1" s="1"/>
  <c r="Y240" i="31"/>
  <c r="Y588" i="1" s="1"/>
  <c r="V67" i="12"/>
  <c r="V72" i="12" s="1"/>
  <c r="T269" i="12"/>
  <c r="T274" i="12" s="1"/>
  <c r="V217" i="12"/>
  <c r="V230" i="12" s="1"/>
  <c r="V167" i="12"/>
  <c r="V185" i="12"/>
  <c r="W894" i="1"/>
  <c r="W779" i="1"/>
  <c r="AL799" i="1"/>
  <c r="AK824" i="1"/>
  <c r="U13" i="7"/>
  <c r="U27" i="7" s="1"/>
  <c r="Z1120" i="1"/>
  <c r="V765" i="1"/>
  <c r="V868" i="1" s="1"/>
  <c r="V764" i="1"/>
  <c r="V776" i="1" s="1"/>
  <c r="V223" i="1"/>
  <c r="V439" i="1" s="1"/>
  <c r="V442" i="1" s="1"/>
  <c r="Y12" i="7"/>
  <c r="Y26" i="7" s="1"/>
  <c r="X732" i="1"/>
  <c r="X742" i="1" s="1"/>
  <c r="U267" i="12"/>
  <c r="U285" i="12"/>
  <c r="AC192" i="31"/>
  <c r="AB272" i="12"/>
  <c r="AB948" i="1"/>
  <c r="AB959" i="1" s="1"/>
  <c r="AB211" i="31"/>
  <c r="AB212" i="31" s="1"/>
  <c r="AB282" i="12" s="1"/>
  <c r="T1004" i="1"/>
  <c r="T707" i="1"/>
  <c r="T853" i="1"/>
  <c r="T857" i="1" s="1"/>
  <c r="T446" i="1"/>
  <c r="V305" i="1"/>
  <c r="V532" i="1"/>
  <c r="V703" i="1"/>
  <c r="V502" i="1"/>
  <c r="V504" i="1" s="1"/>
  <c r="AA727" i="1"/>
  <c r="AA747" i="1" s="1"/>
  <c r="AA768" i="1" s="1"/>
  <c r="AA772" i="1" s="1"/>
  <c r="AA1103" i="1"/>
  <c r="AA312" i="1"/>
  <c r="AA474" i="1"/>
  <c r="AA478" i="1" s="1"/>
  <c r="AA496" i="1" s="1"/>
  <c r="AB172" i="12"/>
  <c r="AC174" i="31"/>
  <c r="AB207" i="31"/>
  <c r="AB208" i="31" s="1"/>
  <c r="AB182" i="12" s="1"/>
  <c r="AB70" i="12"/>
  <c r="AB199" i="31"/>
  <c r="AB947" i="1"/>
  <c r="AB958" i="1" s="1"/>
  <c r="AB163" i="1"/>
  <c r="AB164" i="1" s="1"/>
  <c r="AB172" i="1" s="1"/>
  <c r="AB485" i="1" s="1"/>
  <c r="AB497" i="1" s="1"/>
  <c r="V1121" i="1"/>
  <c r="V1042" i="1"/>
  <c r="V706" i="1"/>
  <c r="Z777" i="1"/>
  <c r="Z897" i="1"/>
  <c r="W758" i="1"/>
  <c r="W892" i="1"/>
  <c r="AM71" i="12"/>
  <c r="AM273" i="12"/>
  <c r="AM377" i="1"/>
  <c r="AM173" i="12"/>
  <c r="AM1049" i="1"/>
  <c r="AM1052" i="1" s="1"/>
  <c r="AM510" i="1"/>
  <c r="AM511" i="1" s="1"/>
  <c r="AM949" i="1"/>
  <c r="AM960" i="1" s="1"/>
  <c r="AM168" i="1"/>
  <c r="AM169" i="1" s="1"/>
  <c r="AN181" i="31"/>
  <c r="U707" i="1" l="1"/>
  <c r="U446" i="1"/>
  <c r="U853" i="1"/>
  <c r="U857" i="1" s="1"/>
  <c r="U891" i="1" s="1"/>
  <c r="W218" i="1"/>
  <c r="W219" i="1" s="1"/>
  <c r="W305" i="1" s="1"/>
  <c r="W1104" i="1"/>
  <c r="W1121" i="1" s="1"/>
  <c r="W222" i="1"/>
  <c r="W438" i="1" s="1"/>
  <c r="W441" i="1" s="1"/>
  <c r="W1042" i="1" s="1"/>
  <c r="W429" i="1"/>
  <c r="W434" i="1"/>
  <c r="W692" i="1" s="1"/>
  <c r="X248" i="31"/>
  <c r="X252" i="31" s="1"/>
  <c r="X41" i="12" s="1"/>
  <c r="X138" i="12" s="1"/>
  <c r="X193" i="12" s="1"/>
  <c r="X428" i="1"/>
  <c r="Y145" i="1"/>
  <c r="Y589" i="1"/>
  <c r="Y970" i="1"/>
  <c r="Z238" i="31"/>
  <c r="Z722" i="1" s="1"/>
  <c r="X217" i="1"/>
  <c r="W193" i="12"/>
  <c r="X598" i="1"/>
  <c r="X599" i="1" s="1"/>
  <c r="X245" i="31"/>
  <c r="X30" i="12" s="1"/>
  <c r="X95" i="12" s="1"/>
  <c r="Z242" i="31"/>
  <c r="Z970" i="1" s="1"/>
  <c r="X21" i="12"/>
  <c r="X86" i="12" s="1"/>
  <c r="Y968" i="1"/>
  <c r="X178" i="1"/>
  <c r="X185" i="1" s="1"/>
  <c r="X212" i="1" s="1"/>
  <c r="X214" i="1" s="1"/>
  <c r="X429" i="1" s="1"/>
  <c r="X298" i="1"/>
  <c r="Z239" i="31"/>
  <c r="Z967" i="1" s="1"/>
  <c r="Y722" i="1"/>
  <c r="Y732" i="1" s="1"/>
  <c r="Y742" i="1" s="1"/>
  <c r="Z240" i="31"/>
  <c r="Z968" i="1" s="1"/>
  <c r="X870" i="1"/>
  <c r="Y310" i="1"/>
  <c r="Y725" i="1"/>
  <c r="Y735" i="1" s="1"/>
  <c r="Y745" i="1" s="1"/>
  <c r="Y104" i="1"/>
  <c r="Y116" i="1" s="1"/>
  <c r="Y26" i="12"/>
  <c r="Y91" i="12" s="1"/>
  <c r="Y127" i="7" s="1"/>
  <c r="Y128" i="7" s="1"/>
  <c r="Y250" i="31"/>
  <c r="Y251" i="31"/>
  <c r="Y177" i="1"/>
  <c r="Y969" i="1"/>
  <c r="Y236" i="31"/>
  <c r="Y303" i="1" s="1"/>
  <c r="Y597" i="1"/>
  <c r="AB200" i="31"/>
  <c r="AB230" i="31" s="1"/>
  <c r="Z235" i="31"/>
  <c r="Z20" i="12" s="1"/>
  <c r="Z85" i="12" s="1"/>
  <c r="Z232" i="31"/>
  <c r="Z199" i="1" s="1"/>
  <c r="Z200" i="1" s="1"/>
  <c r="Y23" i="12"/>
  <c r="Y88" i="12" s="1"/>
  <c r="Z234" i="31"/>
  <c r="AA1117" i="1"/>
  <c r="AA1122" i="1" s="1"/>
  <c r="AA14" i="7" s="1"/>
  <c r="AA28" i="7" s="1"/>
  <c r="AA80" i="12"/>
  <c r="Z93" i="12"/>
  <c r="W65" i="12"/>
  <c r="W67" i="12" s="1"/>
  <c r="W72" i="12" s="1"/>
  <c r="AA196" i="1"/>
  <c r="AA197" i="1" s="1"/>
  <c r="W33" i="12"/>
  <c r="W130" i="12" s="1"/>
  <c r="W185" i="12" s="1"/>
  <c r="AA248" i="1"/>
  <c r="AA254" i="1" s="1"/>
  <c r="Z241" i="31"/>
  <c r="Z310" i="1" s="1"/>
  <c r="Y967" i="1"/>
  <c r="Y307" i="1"/>
  <c r="Y596" i="1"/>
  <c r="Y966" i="1"/>
  <c r="W1151" i="1"/>
  <c r="W30" i="12"/>
  <c r="W95" i="12" s="1"/>
  <c r="Y723" i="1"/>
  <c r="Y733" i="1" s="1"/>
  <c r="Y743" i="1" s="1"/>
  <c r="Y469" i="1"/>
  <c r="Y724" i="1"/>
  <c r="Y734" i="1" s="1"/>
  <c r="Y744" i="1" s="1"/>
  <c r="Y894" i="1" s="1"/>
  <c r="Y25" i="12"/>
  <c r="Y90" i="12" s="1"/>
  <c r="Y468" i="1"/>
  <c r="Y24" i="12"/>
  <c r="Y89" i="12" s="1"/>
  <c r="Y309" i="1"/>
  <c r="Y249" i="31"/>
  <c r="Y308" i="1"/>
  <c r="V169" i="12"/>
  <c r="V174" i="12" s="1"/>
  <c r="U269" i="12"/>
  <c r="U274" i="12" s="1"/>
  <c r="X893" i="1"/>
  <c r="X778" i="1"/>
  <c r="X779" i="1"/>
  <c r="X894" i="1"/>
  <c r="AA242" i="31"/>
  <c r="AA241" i="31"/>
  <c r="AA232" i="31"/>
  <c r="AA199" i="1" s="1"/>
  <c r="AA235" i="31"/>
  <c r="AA20" i="12" s="1"/>
  <c r="AA234" i="31"/>
  <c r="AA243" i="31"/>
  <c r="AA28" i="12" s="1"/>
  <c r="AA240" i="31"/>
  <c r="AA239" i="31"/>
  <c r="AA238" i="31"/>
  <c r="AA777" i="1"/>
  <c r="AA897" i="1"/>
  <c r="V430" i="1"/>
  <c r="X758" i="1"/>
  <c r="X892" i="1"/>
  <c r="AC70" i="12"/>
  <c r="AC163" i="1"/>
  <c r="AC164" i="1" s="1"/>
  <c r="AC172" i="1" s="1"/>
  <c r="AC485" i="1" s="1"/>
  <c r="AC497" i="1" s="1"/>
  <c r="AC199" i="31"/>
  <c r="AC172" i="12"/>
  <c r="AD174" i="31"/>
  <c r="AC207" i="31"/>
  <c r="AC208" i="31" s="1"/>
  <c r="AC182" i="12" s="1"/>
  <c r="AC947" i="1"/>
  <c r="AC958" i="1" s="1"/>
  <c r="V13" i="7"/>
  <c r="V27" i="7" s="1"/>
  <c r="T867" i="1"/>
  <c r="T891" i="1"/>
  <c r="V853" i="1"/>
  <c r="V857" i="1" s="1"/>
  <c r="V707" i="1"/>
  <c r="V1004" i="1"/>
  <c r="V446" i="1"/>
  <c r="AM799" i="1"/>
  <c r="AL824" i="1"/>
  <c r="W764" i="1"/>
  <c r="W776" i="1" s="1"/>
  <c r="W765" i="1"/>
  <c r="W868" i="1" s="1"/>
  <c r="AB312" i="1"/>
  <c r="AB727" i="1"/>
  <c r="AB747" i="1" s="1"/>
  <c r="AB768" i="1" s="1"/>
  <c r="AB772" i="1" s="1"/>
  <c r="AB474" i="1"/>
  <c r="AB478" i="1" s="1"/>
  <c r="AB496" i="1" s="1"/>
  <c r="AB1103" i="1"/>
  <c r="AC211" i="31"/>
  <c r="AC212" i="31" s="1"/>
  <c r="AC282" i="12" s="1"/>
  <c r="AC948" i="1"/>
  <c r="AC959" i="1" s="1"/>
  <c r="AD192" i="31"/>
  <c r="AC272" i="12"/>
  <c r="Z12" i="7"/>
  <c r="Z26" i="7" s="1"/>
  <c r="V285" i="12"/>
  <c r="V267" i="12"/>
  <c r="AN173" i="12"/>
  <c r="AN273" i="12"/>
  <c r="AN377" i="1"/>
  <c r="AN71" i="12"/>
  <c r="AN1049" i="1"/>
  <c r="AN1052" i="1" s="1"/>
  <c r="AN168" i="1"/>
  <c r="AN169" i="1" s="1"/>
  <c r="AN510" i="1"/>
  <c r="AN511" i="1" s="1"/>
  <c r="AN949" i="1"/>
  <c r="AN960" i="1" s="1"/>
  <c r="AO181" i="31"/>
  <c r="U867" i="1" l="1"/>
  <c r="W706" i="1"/>
  <c r="W223" i="1"/>
  <c r="W439" i="1" s="1"/>
  <c r="W442" i="1" s="1"/>
  <c r="W446" i="1" s="1"/>
  <c r="W445" i="1"/>
  <c r="Y21" i="12"/>
  <c r="Y86" i="12" s="1"/>
  <c r="Y428" i="1"/>
  <c r="Y435" i="1" s="1"/>
  <c r="Y697" i="1" s="1"/>
  <c r="X434" i="1"/>
  <c r="X692" i="1" s="1"/>
  <c r="X435" i="1"/>
  <c r="X697" i="1" s="1"/>
  <c r="Z468" i="1"/>
  <c r="Z308" i="1"/>
  <c r="Z597" i="1"/>
  <c r="X225" i="12"/>
  <c r="X238" i="12" s="1"/>
  <c r="X293" i="12" s="1"/>
  <c r="Z488" i="1"/>
  <c r="Z307" i="1"/>
  <c r="Z23" i="12"/>
  <c r="Z88" i="12" s="1"/>
  <c r="Z966" i="1"/>
  <c r="Z596" i="1"/>
  <c r="AB1117" i="1"/>
  <c r="AB1122" i="1" s="1"/>
  <c r="AB14" i="7" s="1"/>
  <c r="AB28" i="7" s="1"/>
  <c r="X304" i="1"/>
  <c r="Z309" i="1"/>
  <c r="Z469" i="1"/>
  <c r="Z27" i="12"/>
  <c r="Z92" i="12" s="1"/>
  <c r="Z24" i="12"/>
  <c r="Z89" i="12" s="1"/>
  <c r="Z236" i="31"/>
  <c r="Z303" i="1" s="1"/>
  <c r="X65" i="12"/>
  <c r="X67" i="12" s="1"/>
  <c r="X72" i="12" s="1"/>
  <c r="X1151" i="1"/>
  <c r="Y248" i="31"/>
  <c r="Y252" i="31" s="1"/>
  <c r="Y41" i="12" s="1"/>
  <c r="Y138" i="12" s="1"/>
  <c r="Y225" i="12" s="1"/>
  <c r="Y238" i="12" s="1"/>
  <c r="Y293" i="12" s="1"/>
  <c r="Z145" i="1"/>
  <c r="X218" i="1"/>
  <c r="X219" i="1" s="1"/>
  <c r="X305" i="1" s="1"/>
  <c r="X222" i="1"/>
  <c r="X438" i="1" s="1"/>
  <c r="X441" i="1" s="1"/>
  <c r="Z25" i="12"/>
  <c r="Z90" i="12" s="1"/>
  <c r="Z249" i="31"/>
  <c r="X33" i="12"/>
  <c r="X130" i="12" s="1"/>
  <c r="X217" i="12" s="1"/>
  <c r="X230" i="12" s="1"/>
  <c r="Z104" i="1"/>
  <c r="Z116" i="1" s="1"/>
  <c r="Z251" i="31"/>
  <c r="Z724" i="1"/>
  <c r="Z734" i="1" s="1"/>
  <c r="Z744" i="1" s="1"/>
  <c r="Z894" i="1" s="1"/>
  <c r="X1104" i="1"/>
  <c r="X1121" i="1" s="1"/>
  <c r="Z588" i="1"/>
  <c r="X155" i="1"/>
  <c r="Z969" i="1"/>
  <c r="Y217" i="1"/>
  <c r="Z177" i="1"/>
  <c r="Z725" i="1"/>
  <c r="Z735" i="1" s="1"/>
  <c r="Z745" i="1" s="1"/>
  <c r="Z870" i="1" s="1"/>
  <c r="Y245" i="31"/>
  <c r="Y65" i="12" s="1"/>
  <c r="Y178" i="1"/>
  <c r="Y185" i="1" s="1"/>
  <c r="Y212" i="1" s="1"/>
  <c r="Y214" i="1" s="1"/>
  <c r="Y304" i="1" s="1"/>
  <c r="Z723" i="1"/>
  <c r="Z733" i="1" s="1"/>
  <c r="Z743" i="1" s="1"/>
  <c r="Z778" i="1" s="1"/>
  <c r="Z333" i="1"/>
  <c r="Z19" i="12"/>
  <c r="Z84" i="12" s="1"/>
  <c r="Y298" i="1"/>
  <c r="Y779" i="1"/>
  <c r="AB80" i="12"/>
  <c r="AB196" i="1"/>
  <c r="AB197" i="1" s="1"/>
  <c r="W167" i="12"/>
  <c r="W169" i="12" s="1"/>
  <c r="W174" i="12" s="1"/>
  <c r="AB248" i="1"/>
  <c r="AB254" i="1" s="1"/>
  <c r="AC200" i="31"/>
  <c r="AC230" i="31" s="1"/>
  <c r="AA200" i="1"/>
  <c r="Y598" i="1"/>
  <c r="Y599" i="1" s="1"/>
  <c r="Z589" i="1"/>
  <c r="Z26" i="12"/>
  <c r="Z91" i="12" s="1"/>
  <c r="Z127" i="7" s="1"/>
  <c r="Z128" i="7" s="1"/>
  <c r="Z250" i="31"/>
  <c r="Z489" i="1"/>
  <c r="AA1120" i="1"/>
  <c r="AA12" i="7" s="1"/>
  <c r="AA26" i="7" s="1"/>
  <c r="AA93" i="12"/>
  <c r="W502" i="1"/>
  <c r="W504" i="1" s="1"/>
  <c r="AA85" i="12"/>
  <c r="W532" i="1"/>
  <c r="W217" i="12"/>
  <c r="W230" i="12" s="1"/>
  <c r="W285" i="12" s="1"/>
  <c r="W703" i="1"/>
  <c r="V269" i="12"/>
  <c r="V274" i="12" s="1"/>
  <c r="Y778" i="1"/>
  <c r="Y893" i="1"/>
  <c r="AA25" i="12"/>
  <c r="AA90" i="12" s="1"/>
  <c r="AA588" i="1"/>
  <c r="AA968" i="1"/>
  <c r="AA469" i="1"/>
  <c r="AA724" i="1"/>
  <c r="AA249" i="31"/>
  <c r="AA309" i="1"/>
  <c r="W430" i="1"/>
  <c r="V867" i="1"/>
  <c r="V891" i="1"/>
  <c r="Y895" i="1"/>
  <c r="Y870" i="1"/>
  <c r="AC1103" i="1"/>
  <c r="AC312" i="1"/>
  <c r="AC727" i="1"/>
  <c r="AC747" i="1" s="1"/>
  <c r="AC768" i="1" s="1"/>
  <c r="AC772" i="1" s="1"/>
  <c r="AC474" i="1"/>
  <c r="AC478" i="1" s="1"/>
  <c r="AC496" i="1" s="1"/>
  <c r="AA250" i="31"/>
  <c r="AA725" i="1"/>
  <c r="AA310" i="1"/>
  <c r="AA489" i="1"/>
  <c r="AA26" i="12"/>
  <c r="AA91" i="12" s="1"/>
  <c r="AA127" i="7" s="1"/>
  <c r="AA128" i="7" s="1"/>
  <c r="AA589" i="1"/>
  <c r="AA969" i="1"/>
  <c r="AD948" i="1"/>
  <c r="AD959" i="1" s="1"/>
  <c r="AE192" i="31"/>
  <c r="AD211" i="31"/>
  <c r="AD212" i="31" s="1"/>
  <c r="AD282" i="12" s="1"/>
  <c r="AD272" i="12"/>
  <c r="AD947" i="1"/>
  <c r="AD958" i="1" s="1"/>
  <c r="AE174" i="31"/>
  <c r="AD207" i="31"/>
  <c r="AD208" i="31" s="1"/>
  <c r="AD182" i="12" s="1"/>
  <c r="AD199" i="31"/>
  <c r="AD70" i="12"/>
  <c r="AD163" i="1"/>
  <c r="AD164" i="1" s="1"/>
  <c r="AD172" i="1" s="1"/>
  <c r="AD485" i="1" s="1"/>
  <c r="AD497" i="1" s="1"/>
  <c r="AD172" i="12"/>
  <c r="Z732" i="1"/>
  <c r="Z742" i="1" s="1"/>
  <c r="X764" i="1"/>
  <c r="X776" i="1" s="1"/>
  <c r="X765" i="1"/>
  <c r="X868" i="1" s="1"/>
  <c r="AB235" i="31"/>
  <c r="AB20" i="12" s="1"/>
  <c r="AB239" i="31"/>
  <c r="AB238" i="31"/>
  <c r="AB242" i="31"/>
  <c r="AB234" i="31"/>
  <c r="AB232" i="31"/>
  <c r="AB199" i="1" s="1"/>
  <c r="AB243" i="31"/>
  <c r="AB28" i="12" s="1"/>
  <c r="AB240" i="31"/>
  <c r="AB241" i="31"/>
  <c r="AA488" i="1"/>
  <c r="AA307" i="1"/>
  <c r="AA23" i="12"/>
  <c r="AA88" i="12" s="1"/>
  <c r="AA596" i="1"/>
  <c r="AA966" i="1"/>
  <c r="AA722" i="1"/>
  <c r="AA236" i="31"/>
  <c r="AA177" i="1"/>
  <c r="AA19" i="12"/>
  <c r="AA84" i="12" s="1"/>
  <c r="AA104" i="1"/>
  <c r="AA145" i="1"/>
  <c r="AA27" i="12"/>
  <c r="AA92" i="12" s="1"/>
  <c r="AA251" i="31"/>
  <c r="AA970" i="1"/>
  <c r="AN799" i="1"/>
  <c r="AM824" i="1"/>
  <c r="Y892" i="1"/>
  <c r="Y758" i="1"/>
  <c r="AB897" i="1"/>
  <c r="AB777" i="1"/>
  <c r="W13" i="7"/>
  <c r="W27" i="7" s="1"/>
  <c r="AA308" i="1"/>
  <c r="AA24" i="12"/>
  <c r="AA89" i="12" s="1"/>
  <c r="AA597" i="1"/>
  <c r="AA723" i="1"/>
  <c r="AA733" i="1" s="1"/>
  <c r="AA743" i="1" s="1"/>
  <c r="AA967" i="1"/>
  <c r="AA468" i="1"/>
  <c r="AA333" i="1"/>
  <c r="AO173" i="12"/>
  <c r="AO273" i="12"/>
  <c r="AO377" i="1"/>
  <c r="AO71" i="12"/>
  <c r="AO1049" i="1"/>
  <c r="AO1052" i="1" s="1"/>
  <c r="AO510" i="1"/>
  <c r="AO511" i="1" s="1"/>
  <c r="AO949" i="1"/>
  <c r="AO960" i="1" s="1"/>
  <c r="AO168" i="1"/>
  <c r="AO169" i="1" s="1"/>
  <c r="AP181" i="31"/>
  <c r="AA428" i="1" l="1"/>
  <c r="AA434" i="1" s="1"/>
  <c r="AA303" i="1"/>
  <c r="W1004" i="1"/>
  <c r="W853" i="1"/>
  <c r="W857" i="1" s="1"/>
  <c r="W891" i="1" s="1"/>
  <c r="W707" i="1"/>
  <c r="X445" i="1"/>
  <c r="Y434" i="1"/>
  <c r="Y692" i="1" s="1"/>
  <c r="Z217" i="1"/>
  <c r="Z428" i="1"/>
  <c r="Z435" i="1" s="1"/>
  <c r="Z697" i="1" s="1"/>
  <c r="X1042" i="1"/>
  <c r="AB1120" i="1"/>
  <c r="AB12" i="7" s="1"/>
  <c r="AB26" i="7" s="1"/>
  <c r="X502" i="1"/>
  <c r="X504" i="1" s="1"/>
  <c r="Z598" i="1"/>
  <c r="Z599" i="1" s="1"/>
  <c r="W267" i="12"/>
  <c r="W269" i="12" s="1"/>
  <c r="W274" i="12" s="1"/>
  <c r="X167" i="12"/>
  <c r="X169" i="12" s="1"/>
  <c r="X174" i="12" s="1"/>
  <c r="X223" i="1"/>
  <c r="X439" i="1" s="1"/>
  <c r="X442" i="1" s="1"/>
  <c r="X446" i="1" s="1"/>
  <c r="X706" i="1"/>
  <c r="Z245" i="31"/>
  <c r="Z155" i="1" s="1"/>
  <c r="Z298" i="1"/>
  <c r="Z21" i="12"/>
  <c r="Z86" i="12" s="1"/>
  <c r="Z248" i="31"/>
  <c r="Z252" i="31" s="1"/>
  <c r="Z41" i="12" s="1"/>
  <c r="Z138" i="12" s="1"/>
  <c r="Z178" i="1"/>
  <c r="Z185" i="1" s="1"/>
  <c r="Z212" i="1" s="1"/>
  <c r="Z214" i="1" s="1"/>
  <c r="Z1104" i="1" s="1"/>
  <c r="Z893" i="1"/>
  <c r="X532" i="1"/>
  <c r="X185" i="12"/>
  <c r="Y1104" i="1"/>
  <c r="Y1121" i="1" s="1"/>
  <c r="X703" i="1"/>
  <c r="Y218" i="1"/>
  <c r="Y219" i="1" s="1"/>
  <c r="Y305" i="1" s="1"/>
  <c r="Y67" i="12"/>
  <c r="Y72" i="12" s="1"/>
  <c r="Y155" i="1"/>
  <c r="Y30" i="12"/>
  <c r="Y95" i="12" s="1"/>
  <c r="Y1151" i="1"/>
  <c r="Z779" i="1"/>
  <c r="Y33" i="12"/>
  <c r="Y130" i="12" s="1"/>
  <c r="Y185" i="12" s="1"/>
  <c r="AC196" i="1"/>
  <c r="AC197" i="1" s="1"/>
  <c r="Y429" i="1"/>
  <c r="Y222" i="1"/>
  <c r="Y438" i="1" s="1"/>
  <c r="Y441" i="1" s="1"/>
  <c r="AB93" i="12"/>
  <c r="AC248" i="1"/>
  <c r="AC254" i="1" s="1"/>
  <c r="AC1117" i="1"/>
  <c r="AC1122" i="1" s="1"/>
  <c r="AC14" i="7" s="1"/>
  <c r="AC28" i="7" s="1"/>
  <c r="Z895" i="1"/>
  <c r="AB85" i="12"/>
  <c r="AD200" i="31"/>
  <c r="AD80" i="12" s="1"/>
  <c r="AC80" i="12"/>
  <c r="AB200" i="1"/>
  <c r="Y193" i="12"/>
  <c r="AB19" i="12"/>
  <c r="AB84" i="12" s="1"/>
  <c r="AB177" i="1"/>
  <c r="AB236" i="31"/>
  <c r="AE207" i="31"/>
  <c r="AE208" i="31" s="1"/>
  <c r="AE182" i="12" s="1"/>
  <c r="AF174" i="31"/>
  <c r="AE947" i="1"/>
  <c r="AE958" i="1" s="1"/>
  <c r="AE172" i="12"/>
  <c r="AE70" i="12"/>
  <c r="AE199" i="31"/>
  <c r="AE163" i="1"/>
  <c r="AE164" i="1" s="1"/>
  <c r="AE172" i="1" s="1"/>
  <c r="AE485" i="1" s="1"/>
  <c r="AE497" i="1" s="1"/>
  <c r="X430" i="1"/>
  <c r="X13" i="7"/>
  <c r="X27" i="7" s="1"/>
  <c r="AA732" i="1"/>
  <c r="AA742" i="1" s="1"/>
  <c r="AB309" i="1"/>
  <c r="AB25" i="12"/>
  <c r="AB90" i="12" s="1"/>
  <c r="AB249" i="31"/>
  <c r="AB968" i="1"/>
  <c r="AB724" i="1"/>
  <c r="AB734" i="1" s="1"/>
  <c r="AB744" i="1" s="1"/>
  <c r="AB588" i="1"/>
  <c r="AB469" i="1"/>
  <c r="AB970" i="1"/>
  <c r="AB145" i="1"/>
  <c r="AB251" i="31"/>
  <c r="AB27" i="12"/>
  <c r="AB92" i="12" s="1"/>
  <c r="AB104" i="1"/>
  <c r="AA734" i="1"/>
  <c r="AA744" i="1" s="1"/>
  <c r="AA298" i="1"/>
  <c r="AA245" i="31"/>
  <c r="AA178" i="1"/>
  <c r="AA185" i="1" s="1"/>
  <c r="AA212" i="1" s="1"/>
  <c r="AA214" i="1" s="1"/>
  <c r="AA217" i="1"/>
  <c r="AA248" i="31"/>
  <c r="AA252" i="31" s="1"/>
  <c r="AA41" i="12" s="1"/>
  <c r="AA138" i="12" s="1"/>
  <c r="AA21" i="12"/>
  <c r="AA86" i="12" s="1"/>
  <c r="AB310" i="1"/>
  <c r="AB969" i="1"/>
  <c r="AB489" i="1"/>
  <c r="AB589" i="1"/>
  <c r="AB26" i="12"/>
  <c r="AB91" i="12" s="1"/>
  <c r="AB127" i="7" s="1"/>
  <c r="AB128" i="7" s="1"/>
  <c r="AB250" i="31"/>
  <c r="AB725" i="1"/>
  <c r="AD474" i="1"/>
  <c r="AD478" i="1" s="1"/>
  <c r="AD496" i="1" s="1"/>
  <c r="AD727" i="1"/>
  <c r="AD747" i="1" s="1"/>
  <c r="AD768" i="1" s="1"/>
  <c r="AD772" i="1" s="1"/>
  <c r="AD1103" i="1"/>
  <c r="AD312" i="1"/>
  <c r="AA893" i="1"/>
  <c r="AA778" i="1"/>
  <c r="AB722" i="1"/>
  <c r="AB966" i="1"/>
  <c r="AB23" i="12"/>
  <c r="AB88" i="12" s="1"/>
  <c r="AB488" i="1"/>
  <c r="AB596" i="1"/>
  <c r="AB307" i="1"/>
  <c r="AA735" i="1"/>
  <c r="AA745" i="1" s="1"/>
  <c r="AC777" i="1"/>
  <c r="AC897" i="1"/>
  <c r="AC232" i="31"/>
  <c r="AC199" i="1" s="1"/>
  <c r="AC234" i="31"/>
  <c r="AC235" i="31"/>
  <c r="AC20" i="12" s="1"/>
  <c r="AC243" i="31"/>
  <c r="AC28" i="12" s="1"/>
  <c r="AC242" i="31"/>
  <c r="AC239" i="31"/>
  <c r="AC238" i="31"/>
  <c r="AC240" i="31"/>
  <c r="AC241" i="31"/>
  <c r="Z758" i="1"/>
  <c r="Z892" i="1"/>
  <c r="AE211" i="31"/>
  <c r="AE212" i="31" s="1"/>
  <c r="AE282" i="12" s="1"/>
  <c r="AE948" i="1"/>
  <c r="AE959" i="1" s="1"/>
  <c r="AF192" i="31"/>
  <c r="AE272" i="12"/>
  <c r="Y765" i="1"/>
  <c r="Y868" i="1" s="1"/>
  <c r="Y764" i="1"/>
  <c r="Y776" i="1" s="1"/>
  <c r="X285" i="12"/>
  <c r="X267" i="12"/>
  <c r="AN824" i="1"/>
  <c r="AO799" i="1"/>
  <c r="AA116" i="1"/>
  <c r="AA598" i="1"/>
  <c r="AB597" i="1"/>
  <c r="AB723" i="1"/>
  <c r="AB967" i="1"/>
  <c r="AB308" i="1"/>
  <c r="AB468" i="1"/>
  <c r="AB24" i="12"/>
  <c r="AB89" i="12" s="1"/>
  <c r="AB333" i="1"/>
  <c r="AP71" i="12"/>
  <c r="AP377" i="1"/>
  <c r="AP173" i="12"/>
  <c r="AP273" i="12"/>
  <c r="AP1049" i="1"/>
  <c r="AP1052" i="1" s="1"/>
  <c r="AP510" i="1"/>
  <c r="AP511" i="1" s="1"/>
  <c r="AP949" i="1"/>
  <c r="AP960" i="1" s="1"/>
  <c r="AP168" i="1"/>
  <c r="AP169" i="1" s="1"/>
  <c r="AQ181" i="31"/>
  <c r="AA435" i="1" l="1"/>
  <c r="AA697" i="1" s="1"/>
  <c r="AB428" i="1"/>
  <c r="AB434" i="1" s="1"/>
  <c r="AB303" i="1"/>
  <c r="W867" i="1"/>
  <c r="Y445" i="1"/>
  <c r="Z434" i="1"/>
  <c r="Z692" i="1" s="1"/>
  <c r="AC200" i="1"/>
  <c r="X269" i="12"/>
  <c r="X274" i="12" s="1"/>
  <c r="X1004" i="1"/>
  <c r="Y502" i="1"/>
  <c r="Y504" i="1" s="1"/>
  <c r="X707" i="1"/>
  <c r="Y703" i="1"/>
  <c r="X853" i="1"/>
  <c r="X857" i="1" s="1"/>
  <c r="X867" i="1" s="1"/>
  <c r="Z33" i="12"/>
  <c r="Z130" i="12" s="1"/>
  <c r="Z217" i="12" s="1"/>
  <c r="Z230" i="12" s="1"/>
  <c r="Z1151" i="1"/>
  <c r="Z304" i="1"/>
  <c r="Z65" i="12"/>
  <c r="Z67" i="12" s="1"/>
  <c r="Z72" i="12" s="1"/>
  <c r="Z30" i="12"/>
  <c r="Z95" i="12" s="1"/>
  <c r="Y532" i="1"/>
  <c r="Y706" i="1"/>
  <c r="AA599" i="1"/>
  <c r="AE200" i="31"/>
  <c r="AE80" i="12" s="1"/>
  <c r="AD1117" i="1"/>
  <c r="AD1122" i="1" s="1"/>
  <c r="AD14" i="7" s="1"/>
  <c r="AD28" i="7" s="1"/>
  <c r="Z193" i="12"/>
  <c r="Z225" i="12"/>
  <c r="Z238" i="12" s="1"/>
  <c r="Z293" i="12" s="1"/>
  <c r="AD248" i="1"/>
  <c r="AD254" i="1" s="1"/>
  <c r="AD196" i="1"/>
  <c r="AD197" i="1" s="1"/>
  <c r="Y217" i="12"/>
  <c r="Y230" i="12" s="1"/>
  <c r="Y267" i="12" s="1"/>
  <c r="Z222" i="1"/>
  <c r="Z438" i="1" s="1"/>
  <c r="Z441" i="1" s="1"/>
  <c r="Z218" i="1"/>
  <c r="Z219" i="1" s="1"/>
  <c r="Z502" i="1" s="1"/>
  <c r="Z504" i="1" s="1"/>
  <c r="Z429" i="1"/>
  <c r="Y223" i="1"/>
  <c r="Y439" i="1" s="1"/>
  <c r="Y442" i="1" s="1"/>
  <c r="Y707" i="1" s="1"/>
  <c r="Y1042" i="1"/>
  <c r="AC93" i="12"/>
  <c r="Y167" i="12"/>
  <c r="Y169" i="12" s="1"/>
  <c r="Y174" i="12" s="1"/>
  <c r="AD230" i="31"/>
  <c r="AD234" i="31" s="1"/>
  <c r="AC1120" i="1"/>
  <c r="AC12" i="7" s="1"/>
  <c r="AC26" i="7" s="1"/>
  <c r="AC85" i="12"/>
  <c r="AA779" i="1"/>
  <c r="AA894" i="1"/>
  <c r="AA758" i="1"/>
  <c r="AA892" i="1"/>
  <c r="AC489" i="1"/>
  <c r="AC26" i="12"/>
  <c r="AC91" i="12" s="1"/>
  <c r="AC127" i="7" s="1"/>
  <c r="AC128" i="7" s="1"/>
  <c r="AC969" i="1"/>
  <c r="AC589" i="1"/>
  <c r="AC250" i="31"/>
  <c r="AC310" i="1"/>
  <c r="AC725" i="1"/>
  <c r="AC735" i="1" s="1"/>
  <c r="AC745" i="1" s="1"/>
  <c r="AC104" i="1"/>
  <c r="AC27" i="12"/>
  <c r="AC92" i="12" s="1"/>
  <c r="AC251" i="31"/>
  <c r="AC145" i="1"/>
  <c r="AC970" i="1"/>
  <c r="AB598" i="1"/>
  <c r="AB732" i="1"/>
  <c r="Y13" i="7"/>
  <c r="Y27" i="7" s="1"/>
  <c r="AD897" i="1"/>
  <c r="AD777" i="1"/>
  <c r="AA1104" i="1"/>
  <c r="AA304" i="1"/>
  <c r="AA222" i="1"/>
  <c r="AA438" i="1" s="1"/>
  <c r="AA441" i="1" s="1"/>
  <c r="AA445" i="1" s="1"/>
  <c r="AA429" i="1"/>
  <c r="AA218" i="1"/>
  <c r="AA219" i="1" s="1"/>
  <c r="Z1121" i="1"/>
  <c r="AB779" i="1"/>
  <c r="AB894" i="1"/>
  <c r="AE474" i="1"/>
  <c r="AE478" i="1" s="1"/>
  <c r="AE496" i="1" s="1"/>
  <c r="AE312" i="1"/>
  <c r="AE1103" i="1"/>
  <c r="AE727" i="1"/>
  <c r="AE747" i="1" s="1"/>
  <c r="AE768" i="1" s="1"/>
  <c r="AE772" i="1" s="1"/>
  <c r="AF948" i="1"/>
  <c r="AF959" i="1" s="1"/>
  <c r="AF211" i="31"/>
  <c r="AF212" i="31" s="1"/>
  <c r="AF282" i="12" s="1"/>
  <c r="AG192" i="31"/>
  <c r="AF272" i="12"/>
  <c r="Z765" i="1"/>
  <c r="Z868" i="1" s="1"/>
  <c r="Z764" i="1"/>
  <c r="Z776" i="1" s="1"/>
  <c r="AC588" i="1"/>
  <c r="AC469" i="1"/>
  <c r="AC968" i="1"/>
  <c r="AC249" i="31"/>
  <c r="AC309" i="1"/>
  <c r="AC25" i="12"/>
  <c r="AC90" i="12" s="1"/>
  <c r="AC724" i="1"/>
  <c r="AC734" i="1" s="1"/>
  <c r="AC744" i="1" s="1"/>
  <c r="AA155" i="1"/>
  <c r="AA33" i="12"/>
  <c r="AA130" i="12" s="1"/>
  <c r="AA30" i="12"/>
  <c r="AA95" i="12" s="1"/>
  <c r="AA65" i="12"/>
  <c r="AA1151" i="1"/>
  <c r="AB116" i="1"/>
  <c r="AF70" i="12"/>
  <c r="AG174" i="31"/>
  <c r="AF947" i="1"/>
  <c r="AF958" i="1" s="1"/>
  <c r="AF163" i="1"/>
  <c r="AF164" i="1" s="1"/>
  <c r="AF172" i="1" s="1"/>
  <c r="AF485" i="1" s="1"/>
  <c r="AF497" i="1" s="1"/>
  <c r="AF199" i="31"/>
  <c r="AF172" i="12"/>
  <c r="AF207" i="31"/>
  <c r="AF208" i="31" s="1"/>
  <c r="AF182" i="12" s="1"/>
  <c r="AO824" i="1"/>
  <c r="AP799" i="1"/>
  <c r="AC307" i="1"/>
  <c r="AC23" i="12"/>
  <c r="AC88" i="12" s="1"/>
  <c r="AC722" i="1"/>
  <c r="AC966" i="1"/>
  <c r="AC488" i="1"/>
  <c r="AC596" i="1"/>
  <c r="AA870" i="1"/>
  <c r="AA895" i="1"/>
  <c r="AB735" i="1"/>
  <c r="AB745" i="1" s="1"/>
  <c r="AA193" i="12"/>
  <c r="AA225" i="12"/>
  <c r="AA238" i="12" s="1"/>
  <c r="AA293" i="12" s="1"/>
  <c r="AA692" i="1"/>
  <c r="AB733" i="1"/>
  <c r="AB743" i="1" s="1"/>
  <c r="AC468" i="1"/>
  <c r="AC723" i="1"/>
  <c r="AC733" i="1" s="1"/>
  <c r="AC743" i="1" s="1"/>
  <c r="AC597" i="1"/>
  <c r="AC24" i="12"/>
  <c r="AC89" i="12" s="1"/>
  <c r="AC333" i="1"/>
  <c r="AC308" i="1"/>
  <c r="AC967" i="1"/>
  <c r="AC177" i="1"/>
  <c r="AC236" i="31"/>
  <c r="AC19" i="12"/>
  <c r="AC84" i="12" s="1"/>
  <c r="Y430" i="1"/>
  <c r="AB298" i="1"/>
  <c r="AB217" i="1"/>
  <c r="AB245" i="31"/>
  <c r="AB21" i="12"/>
  <c r="AB86" i="12" s="1"/>
  <c r="AB178" i="1"/>
  <c r="AB185" i="1" s="1"/>
  <c r="AB212" i="1" s="1"/>
  <c r="AB214" i="1" s="1"/>
  <c r="AB248" i="31"/>
  <c r="AB252" i="31" s="1"/>
  <c r="AB41" i="12" s="1"/>
  <c r="AB138" i="12" s="1"/>
  <c r="AQ173" i="12"/>
  <c r="AQ377" i="1"/>
  <c r="AQ71" i="12"/>
  <c r="AQ510" i="1"/>
  <c r="AQ511" i="1" s="1"/>
  <c r="AQ273" i="12"/>
  <c r="AQ949" i="1"/>
  <c r="AQ960" i="1" s="1"/>
  <c r="AQ168" i="1"/>
  <c r="AQ169" i="1" s="1"/>
  <c r="AQ1049" i="1"/>
  <c r="AQ1052" i="1" s="1"/>
  <c r="AR181" i="31"/>
  <c r="AB435" i="1" l="1"/>
  <c r="AB697" i="1" s="1"/>
  <c r="AC428" i="1"/>
  <c r="AC303" i="1"/>
  <c r="Z445" i="1"/>
  <c r="Y269" i="12"/>
  <c r="Y274" i="12" s="1"/>
  <c r="Z223" i="1"/>
  <c r="Z439" i="1" s="1"/>
  <c r="Z442" i="1" s="1"/>
  <c r="Z707" i="1" s="1"/>
  <c r="X891" i="1"/>
  <c r="Z167" i="12"/>
  <c r="Z169" i="12" s="1"/>
  <c r="Z174" i="12" s="1"/>
  <c r="AD1120" i="1"/>
  <c r="AD12" i="7" s="1"/>
  <c r="AD26" i="7" s="1"/>
  <c r="Z185" i="12"/>
  <c r="Z532" i="1"/>
  <c r="AE230" i="31"/>
  <c r="AE232" i="31" s="1"/>
  <c r="AE199" i="1" s="1"/>
  <c r="AF200" i="31"/>
  <c r="AF80" i="12" s="1"/>
  <c r="AE248" i="1"/>
  <c r="AE254" i="1" s="1"/>
  <c r="Z1042" i="1"/>
  <c r="AE1117" i="1"/>
  <c r="AE1122" i="1" s="1"/>
  <c r="AE14" i="7" s="1"/>
  <c r="AE28" i="7" s="1"/>
  <c r="AE196" i="1"/>
  <c r="AE197" i="1" s="1"/>
  <c r="Z706" i="1"/>
  <c r="AB599" i="1"/>
  <c r="Y285" i="12"/>
  <c r="AD238" i="31"/>
  <c r="AD722" i="1" s="1"/>
  <c r="AD240" i="31"/>
  <c r="AD469" i="1" s="1"/>
  <c r="Z305" i="1"/>
  <c r="Z430" i="1" s="1"/>
  <c r="AA67" i="12"/>
  <c r="AA72" i="12" s="1"/>
  <c r="Z703" i="1"/>
  <c r="AD232" i="31"/>
  <c r="AD199" i="1" s="1"/>
  <c r="AD200" i="1" s="1"/>
  <c r="Y446" i="1"/>
  <c r="Y853" i="1"/>
  <c r="Y857" i="1" s="1"/>
  <c r="Y867" i="1" s="1"/>
  <c r="AD239" i="31"/>
  <c r="AD308" i="1" s="1"/>
  <c r="AD235" i="31"/>
  <c r="AD20" i="12" s="1"/>
  <c r="AD85" i="12" s="1"/>
  <c r="Y1004" i="1"/>
  <c r="AD241" i="31"/>
  <c r="AD725" i="1" s="1"/>
  <c r="AD243" i="31"/>
  <c r="AD28" i="12" s="1"/>
  <c r="AD93" i="12" s="1"/>
  <c r="AD242" i="31"/>
  <c r="AD104" i="1" s="1"/>
  <c r="AC598" i="1"/>
  <c r="AB893" i="1"/>
  <c r="AB778" i="1"/>
  <c r="AB33" i="12"/>
  <c r="AB130" i="12" s="1"/>
  <c r="AB155" i="1"/>
  <c r="AB30" i="12"/>
  <c r="AB95" i="12" s="1"/>
  <c r="AB65" i="12"/>
  <c r="AB1151" i="1"/>
  <c r="AA502" i="1"/>
  <c r="AA504" i="1" s="1"/>
  <c r="AA305" i="1"/>
  <c r="AA532" i="1"/>
  <c r="AA703" i="1"/>
  <c r="AC248" i="31"/>
  <c r="AC252" i="31" s="1"/>
  <c r="AC41" i="12" s="1"/>
  <c r="AC138" i="12" s="1"/>
  <c r="AC178" i="1"/>
  <c r="AC185" i="1" s="1"/>
  <c r="AC212" i="1" s="1"/>
  <c r="AC214" i="1" s="1"/>
  <c r="AC21" i="12"/>
  <c r="AC86" i="12" s="1"/>
  <c r="AC298" i="1"/>
  <c r="AC245" i="31"/>
  <c r="AC217" i="1"/>
  <c r="AC893" i="1"/>
  <c r="AC778" i="1"/>
  <c r="AD19" i="12"/>
  <c r="AD84" i="12" s="1"/>
  <c r="AD177" i="1"/>
  <c r="AB692" i="1"/>
  <c r="AF474" i="1"/>
  <c r="AF478" i="1" s="1"/>
  <c r="AF496" i="1" s="1"/>
  <c r="AF1103" i="1"/>
  <c r="AF727" i="1"/>
  <c r="AF747" i="1" s="1"/>
  <c r="AF768" i="1" s="1"/>
  <c r="AF772" i="1" s="1"/>
  <c r="AF312" i="1"/>
  <c r="AH192" i="31"/>
  <c r="AG211" i="31"/>
  <c r="AG212" i="31" s="1"/>
  <c r="AG282" i="12" s="1"/>
  <c r="AG272" i="12"/>
  <c r="AG948" i="1"/>
  <c r="AG959" i="1" s="1"/>
  <c r="AE777" i="1"/>
  <c r="AE897" i="1"/>
  <c r="AB193" i="12"/>
  <c r="AB225" i="12"/>
  <c r="AB238" i="12" s="1"/>
  <c r="AB293" i="12" s="1"/>
  <c r="AA223" i="1"/>
  <c r="AA439" i="1" s="1"/>
  <c r="AA442" i="1" s="1"/>
  <c r="AA1121" i="1"/>
  <c r="AA764" i="1"/>
  <c r="AA776" i="1" s="1"/>
  <c r="AA765" i="1"/>
  <c r="AA868" i="1" s="1"/>
  <c r="AB429" i="1"/>
  <c r="AB1104" i="1"/>
  <c r="AB304" i="1"/>
  <c r="AB222" i="1"/>
  <c r="AB438" i="1" s="1"/>
  <c r="AB441" i="1" s="1"/>
  <c r="AB445" i="1" s="1"/>
  <c r="AB218" i="1"/>
  <c r="AB219" i="1" s="1"/>
  <c r="AC434" i="1"/>
  <c r="AC435" i="1"/>
  <c r="Z285" i="12"/>
  <c r="Z267" i="12"/>
  <c r="AB895" i="1"/>
  <c r="AB870" i="1"/>
  <c r="AP824" i="1"/>
  <c r="AQ799" i="1"/>
  <c r="AG172" i="12"/>
  <c r="AH174" i="31"/>
  <c r="AG947" i="1"/>
  <c r="AG958" i="1" s="1"/>
  <c r="AG199" i="31"/>
  <c r="AG70" i="12"/>
  <c r="AG207" i="31"/>
  <c r="AG208" i="31" s="1"/>
  <c r="AG182" i="12" s="1"/>
  <c r="AG163" i="1"/>
  <c r="AG164" i="1" s="1"/>
  <c r="AG172" i="1" s="1"/>
  <c r="AG485" i="1" s="1"/>
  <c r="AG497" i="1" s="1"/>
  <c r="AC894" i="1"/>
  <c r="AC779" i="1"/>
  <c r="AB742" i="1"/>
  <c r="AC116" i="1"/>
  <c r="AC732" i="1"/>
  <c r="AC742" i="1" s="1"/>
  <c r="AA167" i="12"/>
  <c r="AA185" i="12"/>
  <c r="AA217" i="12"/>
  <c r="AA230" i="12" s="1"/>
  <c r="Z13" i="7"/>
  <c r="Z27" i="7" s="1"/>
  <c r="AA1042" i="1"/>
  <c r="AA706" i="1"/>
  <c r="AC870" i="1"/>
  <c r="AC895" i="1"/>
  <c r="AR71" i="12"/>
  <c r="AR168" i="1"/>
  <c r="AR169" i="1" s="1"/>
  <c r="AR273" i="12"/>
  <c r="AR173" i="12"/>
  <c r="AR949" i="1"/>
  <c r="AR960" i="1" s="1"/>
  <c r="AR377" i="1"/>
  <c r="AR510" i="1"/>
  <c r="AR511" i="1" s="1"/>
  <c r="AR1049" i="1"/>
  <c r="AR1052" i="1" s="1"/>
  <c r="AS181" i="31"/>
  <c r="AE200" i="1" l="1"/>
  <c r="Z446" i="1"/>
  <c r="Z1004" i="1"/>
  <c r="AD488" i="1"/>
  <c r="Z269" i="12"/>
  <c r="Z274" i="12" s="1"/>
  <c r="Z853" i="1"/>
  <c r="Z857" i="1" s="1"/>
  <c r="Z867" i="1" s="1"/>
  <c r="AF1117" i="1"/>
  <c r="AF1122" i="1" s="1"/>
  <c r="AF14" i="7" s="1"/>
  <c r="AF28" i="7" s="1"/>
  <c r="AG200" i="31"/>
  <c r="AG196" i="1" s="1"/>
  <c r="AG197" i="1" s="1"/>
  <c r="AF230" i="31"/>
  <c r="AF239" i="31" s="1"/>
  <c r="AF196" i="1"/>
  <c r="AF197" i="1" s="1"/>
  <c r="AD966" i="1"/>
  <c r="AD23" i="12"/>
  <c r="AD88" i="12" s="1"/>
  <c r="AD596" i="1"/>
  <c r="AC599" i="1"/>
  <c r="AE243" i="31"/>
  <c r="AE28" i="12" s="1"/>
  <c r="AE93" i="12" s="1"/>
  <c r="AE240" i="31"/>
  <c r="AE249" i="31" s="1"/>
  <c r="AE234" i="31"/>
  <c r="AE19" i="12" s="1"/>
  <c r="AE84" i="12" s="1"/>
  <c r="AE235" i="31"/>
  <c r="AE20" i="12" s="1"/>
  <c r="AE85" i="12" s="1"/>
  <c r="AE1120" i="1"/>
  <c r="AE12" i="7" s="1"/>
  <c r="AE26" i="7" s="1"/>
  <c r="AE242" i="31"/>
  <c r="AE104" i="1" s="1"/>
  <c r="AE238" i="31"/>
  <c r="AE596" i="1" s="1"/>
  <c r="AE241" i="31"/>
  <c r="AE969" i="1" s="1"/>
  <c r="AE239" i="31"/>
  <c r="AE597" i="1" s="1"/>
  <c r="AD588" i="1"/>
  <c r="AD25" i="12"/>
  <c r="AD90" i="12" s="1"/>
  <c r="AD724" i="1"/>
  <c r="AD734" i="1" s="1"/>
  <c r="AD744" i="1" s="1"/>
  <c r="AD779" i="1" s="1"/>
  <c r="AF248" i="1"/>
  <c r="AF254" i="1" s="1"/>
  <c r="AD309" i="1"/>
  <c r="AD307" i="1"/>
  <c r="AD968" i="1"/>
  <c r="AD468" i="1"/>
  <c r="AD249" i="31"/>
  <c r="AD310" i="1"/>
  <c r="AD26" i="12"/>
  <c r="AD91" i="12" s="1"/>
  <c r="AD127" i="7" s="1"/>
  <c r="AD128" i="7" s="1"/>
  <c r="AD489" i="1"/>
  <c r="AD969" i="1"/>
  <c r="AD589" i="1"/>
  <c r="Y891" i="1"/>
  <c r="AD250" i="31"/>
  <c r="AB67" i="12"/>
  <c r="AB72" i="12" s="1"/>
  <c r="AD236" i="31"/>
  <c r="AD303" i="1" s="1"/>
  <c r="AD597" i="1"/>
  <c r="AD723" i="1"/>
  <c r="AD733" i="1" s="1"/>
  <c r="AD743" i="1" s="1"/>
  <c r="AD24" i="12"/>
  <c r="AD89" i="12" s="1"/>
  <c r="AD967" i="1"/>
  <c r="AD333" i="1"/>
  <c r="AD145" i="1"/>
  <c r="AD970" i="1"/>
  <c r="AD251" i="31"/>
  <c r="AD27" i="12"/>
  <c r="AD92" i="12" s="1"/>
  <c r="AA169" i="12"/>
  <c r="AA174" i="12" s="1"/>
  <c r="AB502" i="1"/>
  <c r="AB504" i="1" s="1"/>
  <c r="AB703" i="1"/>
  <c r="AB305" i="1"/>
  <c r="AB532" i="1"/>
  <c r="AC892" i="1"/>
  <c r="AC758" i="1"/>
  <c r="AD735" i="1"/>
  <c r="AD745" i="1" s="1"/>
  <c r="AH947" i="1"/>
  <c r="AH958" i="1" s="1"/>
  <c r="AH70" i="12"/>
  <c r="AI174" i="31"/>
  <c r="AH199" i="31"/>
  <c r="AH207" i="31"/>
  <c r="AH208" i="31" s="1"/>
  <c r="AH182" i="12" s="1"/>
  <c r="AH172" i="12"/>
  <c r="AH163" i="1"/>
  <c r="AH164" i="1" s="1"/>
  <c r="AH172" i="1" s="1"/>
  <c r="AH485" i="1" s="1"/>
  <c r="AH497" i="1" s="1"/>
  <c r="AB1121" i="1"/>
  <c r="AD732" i="1"/>
  <c r="AD742" i="1" s="1"/>
  <c r="AH211" i="31"/>
  <c r="AH212" i="31" s="1"/>
  <c r="AH282" i="12" s="1"/>
  <c r="AI192" i="31"/>
  <c r="AH948" i="1"/>
  <c r="AH959" i="1" s="1"/>
  <c r="AH272" i="12"/>
  <c r="AD116" i="1"/>
  <c r="AC1104" i="1"/>
  <c r="AC218" i="1"/>
  <c r="AC219" i="1" s="1"/>
  <c r="AC222" i="1"/>
  <c r="AC438" i="1" s="1"/>
  <c r="AC441" i="1" s="1"/>
  <c r="AC445" i="1" s="1"/>
  <c r="AC304" i="1"/>
  <c r="AC429" i="1"/>
  <c r="AA430" i="1"/>
  <c r="AB167" i="12"/>
  <c r="AB185" i="12"/>
  <c r="AB217" i="12"/>
  <c r="AB230" i="12" s="1"/>
  <c r="AC697" i="1"/>
  <c r="AC30" i="12"/>
  <c r="AC95" i="12" s="1"/>
  <c r="AC33" i="12"/>
  <c r="AC130" i="12" s="1"/>
  <c r="AC65" i="12"/>
  <c r="AC155" i="1"/>
  <c r="AC1151" i="1"/>
  <c r="AC193" i="12"/>
  <c r="AC225" i="12"/>
  <c r="AC238" i="12" s="1"/>
  <c r="AC293" i="12" s="1"/>
  <c r="AQ824" i="1"/>
  <c r="AR799" i="1"/>
  <c r="AC692" i="1"/>
  <c r="AB1042" i="1"/>
  <c r="AB706" i="1"/>
  <c r="AB223" i="1"/>
  <c r="AB439" i="1" s="1"/>
  <c r="AB442" i="1" s="1"/>
  <c r="AA13" i="7"/>
  <c r="AA27" i="7" s="1"/>
  <c r="AF897" i="1"/>
  <c r="AF777" i="1"/>
  <c r="AA267" i="12"/>
  <c r="AA285" i="12"/>
  <c r="AB892" i="1"/>
  <c r="AB758" i="1"/>
  <c r="AG727" i="1"/>
  <c r="AG747" i="1" s="1"/>
  <c r="AG768" i="1" s="1"/>
  <c r="AG772" i="1" s="1"/>
  <c r="AG312" i="1"/>
  <c r="AG1103" i="1"/>
  <c r="AG474" i="1"/>
  <c r="AG478" i="1" s="1"/>
  <c r="AG496" i="1" s="1"/>
  <c r="AA1004" i="1"/>
  <c r="AA853" i="1"/>
  <c r="AA857" i="1" s="1"/>
  <c r="AA707" i="1"/>
  <c r="AA446" i="1"/>
  <c r="AS273" i="12"/>
  <c r="AS173" i="12"/>
  <c r="AS71" i="12"/>
  <c r="AS377" i="1"/>
  <c r="AS1049" i="1"/>
  <c r="AS1052" i="1" s="1"/>
  <c r="AS949" i="1"/>
  <c r="AS960" i="1" s="1"/>
  <c r="AS510" i="1"/>
  <c r="AS511" i="1" s="1"/>
  <c r="AS168" i="1"/>
  <c r="AS169" i="1" s="1"/>
  <c r="AT181" i="31"/>
  <c r="AD245" i="31" l="1"/>
  <c r="AD155" i="1" s="1"/>
  <c r="AD428" i="1"/>
  <c r="AA269" i="12"/>
  <c r="AA274" i="12" s="1"/>
  <c r="AG248" i="1"/>
  <c r="AG254" i="1" s="1"/>
  <c r="AF238" i="31"/>
  <c r="AF488" i="1" s="1"/>
  <c r="AH200" i="31"/>
  <c r="AH196" i="1" s="1"/>
  <c r="AH197" i="1" s="1"/>
  <c r="AF241" i="31"/>
  <c r="AF489" i="1" s="1"/>
  <c r="AG80" i="12"/>
  <c r="AF243" i="31"/>
  <c r="AF28" i="12" s="1"/>
  <c r="AF93" i="12" s="1"/>
  <c r="AF234" i="31"/>
  <c r="AF1120" i="1"/>
  <c r="AF12" i="7" s="1"/>
  <c r="AF26" i="7" s="1"/>
  <c r="AE177" i="1"/>
  <c r="AF242" i="31"/>
  <c r="AF251" i="31" s="1"/>
  <c r="AG230" i="31"/>
  <c r="AG234" i="31" s="1"/>
  <c r="AG1117" i="1"/>
  <c r="AG1122" i="1" s="1"/>
  <c r="AG14" i="7" s="1"/>
  <c r="AG28" i="7" s="1"/>
  <c r="Z891" i="1"/>
  <c r="AE333" i="1"/>
  <c r="AE968" i="1"/>
  <c r="AF240" i="31"/>
  <c r="AF724" i="1" s="1"/>
  <c r="AF734" i="1" s="1"/>
  <c r="AF744" i="1" s="1"/>
  <c r="AF232" i="31"/>
  <c r="AF199" i="1" s="1"/>
  <c r="AF200" i="1" s="1"/>
  <c r="AF235" i="31"/>
  <c r="AF20" i="12" s="1"/>
  <c r="AF85" i="12" s="1"/>
  <c r="AE23" i="12"/>
  <c r="AE88" i="12" s="1"/>
  <c r="AE722" i="1"/>
  <c r="AE732" i="1" s="1"/>
  <c r="AE742" i="1" s="1"/>
  <c r="AE307" i="1"/>
  <c r="AD598" i="1"/>
  <c r="AD599" i="1" s="1"/>
  <c r="AE589" i="1"/>
  <c r="AE966" i="1"/>
  <c r="AE967" i="1"/>
  <c r="AE468" i="1"/>
  <c r="AE723" i="1"/>
  <c r="AE733" i="1" s="1"/>
  <c r="AE743" i="1" s="1"/>
  <c r="AE893" i="1" s="1"/>
  <c r="AE308" i="1"/>
  <c r="AE24" i="12"/>
  <c r="AE89" i="12" s="1"/>
  <c r="AE27" i="12"/>
  <c r="AE92" i="12" s="1"/>
  <c r="AE469" i="1"/>
  <c r="AE970" i="1"/>
  <c r="AE488" i="1"/>
  <c r="AD298" i="1"/>
  <c r="AE236" i="31"/>
  <c r="AE303" i="1" s="1"/>
  <c r="AE26" i="12"/>
  <c r="AE91" i="12" s="1"/>
  <c r="AE127" i="7" s="1"/>
  <c r="AE128" i="7" s="1"/>
  <c r="AE250" i="31"/>
  <c r="AD894" i="1"/>
  <c r="AE725" i="1"/>
  <c r="AE735" i="1" s="1"/>
  <c r="AE745" i="1" s="1"/>
  <c r="AE870" i="1" s="1"/>
  <c r="AE310" i="1"/>
  <c r="AE489" i="1"/>
  <c r="AE251" i="31"/>
  <c r="AE25" i="12"/>
  <c r="AE90" i="12" s="1"/>
  <c r="AE309" i="1"/>
  <c r="AE145" i="1"/>
  <c r="AE588" i="1"/>
  <c r="AE724" i="1"/>
  <c r="AE734" i="1" s="1"/>
  <c r="AE744" i="1" s="1"/>
  <c r="AD248" i="31"/>
  <c r="AD252" i="31" s="1"/>
  <c r="AD41" i="12" s="1"/>
  <c r="AD138" i="12" s="1"/>
  <c r="AD225" i="12" s="1"/>
  <c r="AD238" i="12" s="1"/>
  <c r="AD293" i="12" s="1"/>
  <c r="AD21" i="12"/>
  <c r="AD86" i="12" s="1"/>
  <c r="AD217" i="1"/>
  <c r="AD178" i="1"/>
  <c r="AD185" i="1" s="1"/>
  <c r="AD212" i="1" s="1"/>
  <c r="AD214" i="1" s="1"/>
  <c r="AD429" i="1" s="1"/>
  <c r="AC67" i="12"/>
  <c r="AC72" i="12" s="1"/>
  <c r="AB169" i="12"/>
  <c r="AB174" i="12" s="1"/>
  <c r="AC223" i="1"/>
  <c r="AC439" i="1" s="1"/>
  <c r="AC442" i="1" s="1"/>
  <c r="AC853" i="1" s="1"/>
  <c r="AC857" i="1" s="1"/>
  <c r="AC305" i="1"/>
  <c r="AC502" i="1"/>
  <c r="AC504" i="1" s="1"/>
  <c r="AC703" i="1"/>
  <c r="AC532" i="1"/>
  <c r="AD870" i="1"/>
  <c r="AD895" i="1"/>
  <c r="AD758" i="1"/>
  <c r="AD892" i="1"/>
  <c r="AD778" i="1"/>
  <c r="AD893" i="1"/>
  <c r="AA867" i="1"/>
  <c r="AA891" i="1"/>
  <c r="AF308" i="1"/>
  <c r="AF723" i="1"/>
  <c r="AF733" i="1" s="1"/>
  <c r="AF743" i="1" s="1"/>
  <c r="AF24" i="12"/>
  <c r="AF89" i="12" s="1"/>
  <c r="AF967" i="1"/>
  <c r="AF468" i="1"/>
  <c r="AF597" i="1"/>
  <c r="AF333" i="1"/>
  <c r="AC167" i="12"/>
  <c r="AC217" i="12"/>
  <c r="AC230" i="12" s="1"/>
  <c r="AC185" i="12"/>
  <c r="AE116" i="1"/>
  <c r="AB13" i="7"/>
  <c r="AB27" i="7" s="1"/>
  <c r="AC765" i="1"/>
  <c r="AC868" i="1" s="1"/>
  <c r="AC764" i="1"/>
  <c r="AC776" i="1" s="1"/>
  <c r="AB430" i="1"/>
  <c r="AC1121" i="1"/>
  <c r="AB764" i="1"/>
  <c r="AB776" i="1" s="1"/>
  <c r="AB765" i="1"/>
  <c r="AB868" i="1" s="1"/>
  <c r="AB267" i="12"/>
  <c r="AB285" i="12"/>
  <c r="AC706" i="1"/>
  <c r="AC1042" i="1"/>
  <c r="AJ192" i="31"/>
  <c r="AI272" i="12"/>
  <c r="AI948" i="1"/>
  <c r="AI959" i="1" s="1"/>
  <c r="AI211" i="31"/>
  <c r="AI212" i="31" s="1"/>
  <c r="AI282" i="12" s="1"/>
  <c r="AH474" i="1"/>
  <c r="AH478" i="1" s="1"/>
  <c r="AH496" i="1" s="1"/>
  <c r="AH1103" i="1"/>
  <c r="AH727" i="1"/>
  <c r="AH747" i="1" s="1"/>
  <c r="AH768" i="1" s="1"/>
  <c r="AH772" i="1" s="1"/>
  <c r="AH312" i="1"/>
  <c r="AI70" i="12"/>
  <c r="AI163" i="1"/>
  <c r="AI164" i="1" s="1"/>
  <c r="AI172" i="1" s="1"/>
  <c r="AI485" i="1" s="1"/>
  <c r="AI497" i="1" s="1"/>
  <c r="AI172" i="12"/>
  <c r="AJ174" i="31"/>
  <c r="AI947" i="1"/>
  <c r="AI958" i="1" s="1"/>
  <c r="AI207" i="31"/>
  <c r="AI208" i="31" s="1"/>
  <c r="AI182" i="12" s="1"/>
  <c r="AI199" i="31"/>
  <c r="AE598" i="1"/>
  <c r="AG777" i="1"/>
  <c r="AG897" i="1"/>
  <c r="AB707" i="1"/>
  <c r="AB1004" i="1"/>
  <c r="AB853" i="1"/>
  <c r="AB857" i="1" s="1"/>
  <c r="AB446" i="1"/>
  <c r="AS799" i="1"/>
  <c r="AR824" i="1"/>
  <c r="AT173" i="12"/>
  <c r="AT273" i="12"/>
  <c r="AT71" i="12"/>
  <c r="AT377" i="1"/>
  <c r="AT168" i="1"/>
  <c r="AT169" i="1" s="1"/>
  <c r="AT1049" i="1"/>
  <c r="AT1052" i="1" s="1"/>
  <c r="AT949" i="1"/>
  <c r="AT960" i="1" s="1"/>
  <c r="AT510" i="1"/>
  <c r="AT511" i="1" s="1"/>
  <c r="AU181" i="31"/>
  <c r="AD30" i="12" l="1"/>
  <c r="AD95" i="12" s="1"/>
  <c r="AD33" i="12"/>
  <c r="AD130" i="12" s="1"/>
  <c r="AD217" i="12" s="1"/>
  <c r="AD230" i="12" s="1"/>
  <c r="AD65" i="12"/>
  <c r="AD67" i="12" s="1"/>
  <c r="AD72" i="12" s="1"/>
  <c r="AD1151" i="1"/>
  <c r="AB269" i="12"/>
  <c r="AB274" i="12" s="1"/>
  <c r="AE178" i="1"/>
  <c r="AE185" i="1" s="1"/>
  <c r="AE212" i="1" s="1"/>
  <c r="AE214" i="1" s="1"/>
  <c r="AE218" i="1" s="1"/>
  <c r="AE428" i="1"/>
  <c r="AE434" i="1" s="1"/>
  <c r="AE692" i="1" s="1"/>
  <c r="AD434" i="1"/>
  <c r="AD692" i="1" s="1"/>
  <c r="AD435" i="1"/>
  <c r="AD697" i="1" s="1"/>
  <c r="AG243" i="31"/>
  <c r="AG28" i="12" s="1"/>
  <c r="AG93" i="12" s="1"/>
  <c r="AF966" i="1"/>
  <c r="AF970" i="1"/>
  <c r="AF307" i="1"/>
  <c r="AF27" i="12"/>
  <c r="AF92" i="12" s="1"/>
  <c r="AF23" i="12"/>
  <c r="AF88" i="12" s="1"/>
  <c r="AF145" i="1"/>
  <c r="AF722" i="1"/>
  <c r="AF732" i="1" s="1"/>
  <c r="AF742" i="1" s="1"/>
  <c r="AF588" i="1"/>
  <c r="AF104" i="1"/>
  <c r="AF116" i="1" s="1"/>
  <c r="AF25" i="12"/>
  <c r="AF90" i="12" s="1"/>
  <c r="AF596" i="1"/>
  <c r="AF598" i="1" s="1"/>
  <c r="AG240" i="31"/>
  <c r="AG724" i="1" s="1"/>
  <c r="AF969" i="1"/>
  <c r="AG241" i="31"/>
  <c r="AG310" i="1" s="1"/>
  <c r="AF725" i="1"/>
  <c r="AF735" i="1" s="1"/>
  <c r="AF745" i="1" s="1"/>
  <c r="AF895" i="1" s="1"/>
  <c r="AG232" i="31"/>
  <c r="AG199" i="1" s="1"/>
  <c r="AG200" i="1" s="1"/>
  <c r="AF589" i="1"/>
  <c r="AG238" i="31"/>
  <c r="AG966" i="1" s="1"/>
  <c r="AI200" i="31"/>
  <c r="AI1117" i="1" s="1"/>
  <c r="AI1122" i="1" s="1"/>
  <c r="AI14" i="7" s="1"/>
  <c r="AI28" i="7" s="1"/>
  <c r="AH80" i="12"/>
  <c r="AG242" i="31"/>
  <c r="AG970" i="1" s="1"/>
  <c r="AF19" i="12"/>
  <c r="AF84" i="12" s="1"/>
  <c r="AF310" i="1"/>
  <c r="AG235" i="31"/>
  <c r="AG20" i="12" s="1"/>
  <c r="AG85" i="12" s="1"/>
  <c r="AF250" i="31"/>
  <c r="AG239" i="31"/>
  <c r="AG967" i="1" s="1"/>
  <c r="AF26" i="12"/>
  <c r="AF91" i="12" s="1"/>
  <c r="AF127" i="7" s="1"/>
  <c r="AF128" i="7" s="1"/>
  <c r="AF236" i="31"/>
  <c r="AF303" i="1" s="1"/>
  <c r="AH248" i="1"/>
  <c r="AH254" i="1" s="1"/>
  <c r="AF177" i="1"/>
  <c r="AH1117" i="1"/>
  <c r="AH1122" i="1" s="1"/>
  <c r="AH14" i="7" s="1"/>
  <c r="AH28" i="7" s="1"/>
  <c r="AH230" i="31"/>
  <c r="AH232" i="31" s="1"/>
  <c r="AH199" i="1" s="1"/>
  <c r="AH200" i="1" s="1"/>
  <c r="AF469" i="1"/>
  <c r="AF249" i="31"/>
  <c r="AG1120" i="1"/>
  <c r="AG12" i="7" s="1"/>
  <c r="AG26" i="7" s="1"/>
  <c r="AF309" i="1"/>
  <c r="AF968" i="1"/>
  <c r="AE599" i="1"/>
  <c r="AE778" i="1"/>
  <c r="AE245" i="31"/>
  <c r="AE30" i="12" s="1"/>
  <c r="AE95" i="12" s="1"/>
  <c r="AE21" i="12"/>
  <c r="AE86" i="12" s="1"/>
  <c r="AE298" i="1"/>
  <c r="AE248" i="31"/>
  <c r="AE252" i="31" s="1"/>
  <c r="AE41" i="12" s="1"/>
  <c r="AE138" i="12" s="1"/>
  <c r="AE895" i="1"/>
  <c r="AE217" i="1"/>
  <c r="AD222" i="1"/>
  <c r="AD438" i="1" s="1"/>
  <c r="AD441" i="1" s="1"/>
  <c r="AD706" i="1" s="1"/>
  <c r="AD218" i="1"/>
  <c r="AD219" i="1" s="1"/>
  <c r="AD703" i="1" s="1"/>
  <c r="AD193" i="12"/>
  <c r="AD1104" i="1"/>
  <c r="AD1121" i="1" s="1"/>
  <c r="AD304" i="1"/>
  <c r="AC169" i="12"/>
  <c r="AC174" i="12" s="1"/>
  <c r="AC1004" i="1"/>
  <c r="AC446" i="1"/>
  <c r="AC707" i="1"/>
  <c r="AE894" i="1"/>
  <c r="AE779" i="1"/>
  <c r="AE892" i="1"/>
  <c r="AE758" i="1"/>
  <c r="AF894" i="1"/>
  <c r="AF779" i="1"/>
  <c r="AC13" i="7"/>
  <c r="AC27" i="7" s="1"/>
  <c r="AJ947" i="1"/>
  <c r="AJ958" i="1" s="1"/>
  <c r="AK174" i="31"/>
  <c r="AJ172" i="12"/>
  <c r="AJ207" i="31"/>
  <c r="AJ208" i="31" s="1"/>
  <c r="AJ182" i="12" s="1"/>
  <c r="AJ163" i="1"/>
  <c r="AJ164" i="1" s="1"/>
  <c r="AJ172" i="1" s="1"/>
  <c r="AJ485" i="1" s="1"/>
  <c r="AJ497" i="1" s="1"/>
  <c r="AJ70" i="12"/>
  <c r="AJ199" i="31"/>
  <c r="AJ948" i="1"/>
  <c r="AJ959" i="1" s="1"/>
  <c r="AJ211" i="31"/>
  <c r="AJ212" i="31" s="1"/>
  <c r="AJ282" i="12" s="1"/>
  <c r="AJ272" i="12"/>
  <c r="AK192" i="31"/>
  <c r="AC867" i="1"/>
  <c r="AC891" i="1"/>
  <c r="AF893" i="1"/>
  <c r="AF778" i="1"/>
  <c r="AD764" i="1"/>
  <c r="AD776" i="1" s="1"/>
  <c r="AD765" i="1"/>
  <c r="AD868" i="1" s="1"/>
  <c r="AB891" i="1"/>
  <c r="AB867" i="1"/>
  <c r="AH777" i="1"/>
  <c r="AH897" i="1"/>
  <c r="AC285" i="12"/>
  <c r="AC267" i="12"/>
  <c r="AS824" i="1"/>
  <c r="AT799" i="1"/>
  <c r="AI727" i="1"/>
  <c r="AI747" i="1" s="1"/>
  <c r="AI768" i="1" s="1"/>
  <c r="AI772" i="1" s="1"/>
  <c r="AI474" i="1"/>
  <c r="AI478" i="1" s="1"/>
  <c r="AI496" i="1" s="1"/>
  <c r="AI1103" i="1"/>
  <c r="AI312" i="1"/>
  <c r="AG19" i="12"/>
  <c r="AG84" i="12" s="1"/>
  <c r="AG177" i="1"/>
  <c r="AC430" i="1"/>
  <c r="AU949" i="1"/>
  <c r="AU960" i="1" s="1"/>
  <c r="AU1049" i="1"/>
  <c r="AU1052" i="1" s="1"/>
  <c r="AU168" i="1"/>
  <c r="AU169" i="1" s="1"/>
  <c r="AU173" i="12"/>
  <c r="AU377" i="1"/>
  <c r="AU273" i="12"/>
  <c r="AU71" i="12"/>
  <c r="AU510" i="1"/>
  <c r="AU511" i="1" s="1"/>
  <c r="AV181" i="31"/>
  <c r="AE429" i="1" l="1"/>
  <c r="AD185" i="12"/>
  <c r="AD167" i="12"/>
  <c r="AD169" i="12" s="1"/>
  <c r="AD174" i="12" s="1"/>
  <c r="AE1104" i="1"/>
  <c r="AE1121" i="1" s="1"/>
  <c r="AE435" i="1"/>
  <c r="AE697" i="1" s="1"/>
  <c r="AC269" i="12"/>
  <c r="AC274" i="12" s="1"/>
  <c r="AE222" i="1"/>
  <c r="AE438" i="1" s="1"/>
  <c r="AE441" i="1" s="1"/>
  <c r="AE445" i="1" s="1"/>
  <c r="AE304" i="1"/>
  <c r="AF178" i="1"/>
  <c r="AF185" i="1" s="1"/>
  <c r="AF212" i="1" s="1"/>
  <c r="AF214" i="1" s="1"/>
  <c r="AF218" i="1" s="1"/>
  <c r="AF428" i="1"/>
  <c r="AG596" i="1"/>
  <c r="AI230" i="31"/>
  <c r="AI232" i="31" s="1"/>
  <c r="AI199" i="1" s="1"/>
  <c r="AG589" i="1"/>
  <c r="AG722" i="1"/>
  <c r="AG732" i="1" s="1"/>
  <c r="AG742" i="1" s="1"/>
  <c r="AG725" i="1"/>
  <c r="AG735" i="1" s="1"/>
  <c r="AG745" i="1" s="1"/>
  <c r="AJ200" i="31"/>
  <c r="AJ248" i="1" s="1"/>
  <c r="AJ254" i="1" s="1"/>
  <c r="AG309" i="1"/>
  <c r="AG968" i="1"/>
  <c r="AG588" i="1"/>
  <c r="AG25" i="12"/>
  <c r="AG90" i="12" s="1"/>
  <c r="AG249" i="31"/>
  <c r="AG489" i="1"/>
  <c r="AG469" i="1"/>
  <c r="AG23" i="12"/>
  <c r="AG88" i="12" s="1"/>
  <c r="AF870" i="1"/>
  <c r="AG250" i="31"/>
  <c r="AG969" i="1"/>
  <c r="AI80" i="12"/>
  <c r="AI248" i="1"/>
  <c r="AI254" i="1" s="1"/>
  <c r="AG307" i="1"/>
  <c r="AI196" i="1"/>
  <c r="AI197" i="1" s="1"/>
  <c r="AG488" i="1"/>
  <c r="AG26" i="12"/>
  <c r="AG91" i="12" s="1"/>
  <c r="AG127" i="7" s="1"/>
  <c r="AG128" i="7" s="1"/>
  <c r="AH1120" i="1"/>
  <c r="AH12" i="7" s="1"/>
  <c r="AH26" i="7" s="1"/>
  <c r="AG104" i="1"/>
  <c r="AG116" i="1" s="1"/>
  <c r="AG27" i="12"/>
  <c r="AG92" i="12" s="1"/>
  <c r="AG145" i="1"/>
  <c r="AG251" i="31"/>
  <c r="AG236" i="31"/>
  <c r="AG303" i="1" s="1"/>
  <c r="AG597" i="1"/>
  <c r="AG723" i="1"/>
  <c r="AG733" i="1" s="1"/>
  <c r="AG743" i="1" s="1"/>
  <c r="AG24" i="12"/>
  <c r="AG89" i="12" s="1"/>
  <c r="AG308" i="1"/>
  <c r="AG468" i="1"/>
  <c r="AG333" i="1"/>
  <c r="AF248" i="31"/>
  <c r="AF252" i="31" s="1"/>
  <c r="AF41" i="12" s="1"/>
  <c r="AF138" i="12" s="1"/>
  <c r="AF193" i="12" s="1"/>
  <c r="AF298" i="1"/>
  <c r="AF217" i="1"/>
  <c r="AF21" i="12"/>
  <c r="AF86" i="12" s="1"/>
  <c r="AF245" i="31"/>
  <c r="AF1151" i="1" s="1"/>
  <c r="AH235" i="31"/>
  <c r="AH20" i="12" s="1"/>
  <c r="AH85" i="12" s="1"/>
  <c r="AH243" i="31"/>
  <c r="AH28" i="12" s="1"/>
  <c r="AH93" i="12" s="1"/>
  <c r="AH234" i="31"/>
  <c r="AH240" i="31"/>
  <c r="AH469" i="1" s="1"/>
  <c r="AH239" i="31"/>
  <c r="AH723" i="1" s="1"/>
  <c r="AH733" i="1" s="1"/>
  <c r="AH743" i="1" s="1"/>
  <c r="AH241" i="31"/>
  <c r="AH969" i="1" s="1"/>
  <c r="AH238" i="31"/>
  <c r="AH722" i="1" s="1"/>
  <c r="AH242" i="31"/>
  <c r="AH970" i="1" s="1"/>
  <c r="AF599" i="1"/>
  <c r="AE65" i="12"/>
  <c r="AE67" i="12" s="1"/>
  <c r="AE72" i="12" s="1"/>
  <c r="AE1151" i="1"/>
  <c r="AE33" i="12"/>
  <c r="AE130" i="12" s="1"/>
  <c r="AE167" i="12" s="1"/>
  <c r="AE219" i="1"/>
  <c r="AE502" i="1" s="1"/>
  <c r="AE504" i="1" s="1"/>
  <c r="AE155" i="1"/>
  <c r="AD445" i="1"/>
  <c r="AD223" i="1"/>
  <c r="AD439" i="1" s="1"/>
  <c r="AD442" i="1" s="1"/>
  <c r="AD853" i="1" s="1"/>
  <c r="AD857" i="1" s="1"/>
  <c r="AE225" i="12"/>
  <c r="AE238" i="12" s="1"/>
  <c r="AE293" i="12" s="1"/>
  <c r="AE193" i="12"/>
  <c r="AD1042" i="1"/>
  <c r="AD502" i="1"/>
  <c r="AD504" i="1" s="1"/>
  <c r="AD305" i="1"/>
  <c r="AD430" i="1" s="1"/>
  <c r="AD532" i="1"/>
  <c r="AF758" i="1"/>
  <c r="AF892" i="1"/>
  <c r="AD285" i="12"/>
  <c r="AD267" i="12"/>
  <c r="AI897" i="1"/>
  <c r="AI777" i="1"/>
  <c r="AG734" i="1"/>
  <c r="AG744" i="1" s="1"/>
  <c r="AK948" i="1"/>
  <c r="AK959" i="1" s="1"/>
  <c r="AK272" i="12"/>
  <c r="AK211" i="31"/>
  <c r="AK212" i="31" s="1"/>
  <c r="AK282" i="12" s="1"/>
  <c r="AL192" i="31"/>
  <c r="AI1120" i="1"/>
  <c r="AK172" i="12"/>
  <c r="AK199" i="31"/>
  <c r="AL174" i="31"/>
  <c r="AK70" i="12"/>
  <c r="AK163" i="1"/>
  <c r="AK164" i="1" s="1"/>
  <c r="AK172" i="1" s="1"/>
  <c r="AK485" i="1" s="1"/>
  <c r="AK497" i="1" s="1"/>
  <c r="AK947" i="1"/>
  <c r="AK958" i="1" s="1"/>
  <c r="AK207" i="31"/>
  <c r="AK208" i="31" s="1"/>
  <c r="AK182" i="12" s="1"/>
  <c r="AE765" i="1"/>
  <c r="AE868" i="1" s="1"/>
  <c r="AE764" i="1"/>
  <c r="AE776" i="1" s="1"/>
  <c r="AD13" i="7"/>
  <c r="AD27" i="7" s="1"/>
  <c r="AT824" i="1"/>
  <c r="AU799" i="1"/>
  <c r="AJ727" i="1"/>
  <c r="AJ747" i="1" s="1"/>
  <c r="AJ768" i="1" s="1"/>
  <c r="AJ772" i="1" s="1"/>
  <c r="AJ312" i="1"/>
  <c r="AJ474" i="1"/>
  <c r="AJ478" i="1" s="1"/>
  <c r="AJ496" i="1" s="1"/>
  <c r="AJ1103" i="1"/>
  <c r="AV510" i="1"/>
  <c r="AV511" i="1" s="1"/>
  <c r="AV168" i="1"/>
  <c r="AV169" i="1" s="1"/>
  <c r="AV949" i="1"/>
  <c r="AV960" i="1" s="1"/>
  <c r="AW181" i="31"/>
  <c r="AV1049" i="1"/>
  <c r="AV1052" i="1" s="1"/>
  <c r="AV377" i="1"/>
  <c r="AV71" i="12"/>
  <c r="AV173" i="12"/>
  <c r="AV273" i="12"/>
  <c r="AD269" i="12" l="1"/>
  <c r="AD274" i="12" s="1"/>
  <c r="AE1042" i="1"/>
  <c r="AE706" i="1"/>
  <c r="AE223" i="1"/>
  <c r="AE439" i="1" s="1"/>
  <c r="AE442" i="1" s="1"/>
  <c r="AE853" i="1" s="1"/>
  <c r="AE857" i="1" s="1"/>
  <c r="AF1104" i="1"/>
  <c r="AF1121" i="1" s="1"/>
  <c r="AF304" i="1"/>
  <c r="AF222" i="1"/>
  <c r="AF438" i="1" s="1"/>
  <c r="AF441" i="1" s="1"/>
  <c r="AF1042" i="1" s="1"/>
  <c r="AF429" i="1"/>
  <c r="AG245" i="31"/>
  <c r="AG30" i="12" s="1"/>
  <c r="AG95" i="12" s="1"/>
  <c r="AG428" i="1"/>
  <c r="AF434" i="1"/>
  <c r="AF692" i="1" s="1"/>
  <c r="AF435" i="1"/>
  <c r="AF697" i="1" s="1"/>
  <c r="AG598" i="1"/>
  <c r="AG599" i="1" s="1"/>
  <c r="AI239" i="31"/>
  <c r="AI597" i="1" s="1"/>
  <c r="AI238" i="31"/>
  <c r="AI307" i="1" s="1"/>
  <c r="AJ196" i="1"/>
  <c r="AJ197" i="1" s="1"/>
  <c r="AI200" i="1"/>
  <c r="AI241" i="31"/>
  <c r="AI26" i="12" s="1"/>
  <c r="AI91" i="12" s="1"/>
  <c r="AI127" i="7" s="1"/>
  <c r="AI128" i="7" s="1"/>
  <c r="AJ230" i="31"/>
  <c r="AJ243" i="31" s="1"/>
  <c r="AJ28" i="12" s="1"/>
  <c r="AK200" i="31"/>
  <c r="AK248" i="1" s="1"/>
  <c r="AK254" i="1" s="1"/>
  <c r="AI242" i="31"/>
  <c r="AI27" i="12" s="1"/>
  <c r="AI92" i="12" s="1"/>
  <c r="AI235" i="31"/>
  <c r="AI20" i="12" s="1"/>
  <c r="AI85" i="12" s="1"/>
  <c r="AI240" i="31"/>
  <c r="AI968" i="1" s="1"/>
  <c r="AJ80" i="12"/>
  <c r="AI243" i="31"/>
  <c r="AI28" i="12" s="1"/>
  <c r="AI93" i="12" s="1"/>
  <c r="AI234" i="31"/>
  <c r="AJ1117" i="1"/>
  <c r="AJ1122" i="1" s="1"/>
  <c r="AJ14" i="7" s="1"/>
  <c r="AJ28" i="7" s="1"/>
  <c r="AG298" i="1"/>
  <c r="AG178" i="1"/>
  <c r="AG185" i="1" s="1"/>
  <c r="AG212" i="1" s="1"/>
  <c r="AG214" i="1" s="1"/>
  <c r="AG1104" i="1" s="1"/>
  <c r="AH468" i="1"/>
  <c r="AG248" i="31"/>
  <c r="AG252" i="31" s="1"/>
  <c r="AG41" i="12" s="1"/>
  <c r="AG138" i="12" s="1"/>
  <c r="AG225" i="12" s="1"/>
  <c r="AG238" i="12" s="1"/>
  <c r="AG293" i="12" s="1"/>
  <c r="AG217" i="1"/>
  <c r="AG21" i="12"/>
  <c r="AG86" i="12" s="1"/>
  <c r="AH968" i="1"/>
  <c r="AH597" i="1"/>
  <c r="AH24" i="12"/>
  <c r="AH89" i="12" s="1"/>
  <c r="AF219" i="1"/>
  <c r="AF305" i="1" s="1"/>
  <c r="AH724" i="1"/>
  <c r="AH734" i="1" s="1"/>
  <c r="AH744" i="1" s="1"/>
  <c r="AH894" i="1" s="1"/>
  <c r="AH25" i="12"/>
  <c r="AH90" i="12" s="1"/>
  <c r="AH309" i="1"/>
  <c r="AH967" i="1"/>
  <c r="AH333" i="1"/>
  <c r="AH596" i="1"/>
  <c r="AH308" i="1"/>
  <c r="AH307" i="1"/>
  <c r="AH488" i="1"/>
  <c r="AF65" i="12"/>
  <c r="AF67" i="12" s="1"/>
  <c r="AF72" i="12" s="1"/>
  <c r="AF30" i="12"/>
  <c r="AF95" i="12" s="1"/>
  <c r="AH23" i="12"/>
  <c r="AH88" i="12" s="1"/>
  <c r="AH966" i="1"/>
  <c r="AF155" i="1"/>
  <c r="AH236" i="31"/>
  <c r="AH303" i="1" s="1"/>
  <c r="AH177" i="1"/>
  <c r="AH725" i="1"/>
  <c r="AH735" i="1" s="1"/>
  <c r="AH745" i="1" s="1"/>
  <c r="AH870" i="1" s="1"/>
  <c r="AF225" i="12"/>
  <c r="AF238" i="12" s="1"/>
  <c r="AF293" i="12" s="1"/>
  <c r="AF33" i="12"/>
  <c r="AF130" i="12" s="1"/>
  <c r="AF167" i="12" s="1"/>
  <c r="AH19" i="12"/>
  <c r="AH84" i="12" s="1"/>
  <c r="AH249" i="31"/>
  <c r="AH588" i="1"/>
  <c r="AH26" i="12"/>
  <c r="AH91" i="12" s="1"/>
  <c r="AH127" i="7" s="1"/>
  <c r="AH128" i="7" s="1"/>
  <c r="AH489" i="1"/>
  <c r="AH250" i="31"/>
  <c r="AH589" i="1"/>
  <c r="AH310" i="1"/>
  <c r="AH251" i="31"/>
  <c r="AH27" i="12"/>
  <c r="AH92" i="12" s="1"/>
  <c r="AH104" i="1"/>
  <c r="AH116" i="1" s="1"/>
  <c r="AH145" i="1"/>
  <c r="AD446" i="1"/>
  <c r="AE217" i="12"/>
  <c r="AE230" i="12" s="1"/>
  <c r="AE267" i="12" s="1"/>
  <c r="AE185" i="12"/>
  <c r="AE703" i="1"/>
  <c r="AE305" i="1"/>
  <c r="AE430" i="1" s="1"/>
  <c r="AE532" i="1"/>
  <c r="AD1004" i="1"/>
  <c r="AD707" i="1"/>
  <c r="AE169" i="12"/>
  <c r="AE174" i="12" s="1"/>
  <c r="AG779" i="1"/>
  <c r="AG894" i="1"/>
  <c r="AG778" i="1"/>
  <c r="AG893" i="1"/>
  <c r="AG895" i="1"/>
  <c r="AG870" i="1"/>
  <c r="AL172" i="12"/>
  <c r="AL70" i="12"/>
  <c r="AL163" i="1"/>
  <c r="AL164" i="1" s="1"/>
  <c r="AL172" i="1" s="1"/>
  <c r="AL485" i="1" s="1"/>
  <c r="AL497" i="1" s="1"/>
  <c r="AL207" i="31"/>
  <c r="AL208" i="31" s="1"/>
  <c r="AL182" i="12" s="1"/>
  <c r="AL199" i="31"/>
  <c r="AL947" i="1"/>
  <c r="AL958" i="1" s="1"/>
  <c r="AM174" i="31"/>
  <c r="AG892" i="1"/>
  <c r="AG758" i="1"/>
  <c r="AF764" i="1"/>
  <c r="AF776" i="1" s="1"/>
  <c r="AF765" i="1"/>
  <c r="AF868" i="1" s="1"/>
  <c r="AH732" i="1"/>
  <c r="AM192" i="31"/>
  <c r="AL211" i="31"/>
  <c r="AL212" i="31" s="1"/>
  <c r="AL282" i="12" s="1"/>
  <c r="AL272" i="12"/>
  <c r="AL948" i="1"/>
  <c r="AL959" i="1" s="1"/>
  <c r="AK1103" i="1"/>
  <c r="AK312" i="1"/>
  <c r="AK727" i="1"/>
  <c r="AK747" i="1" s="1"/>
  <c r="AK768" i="1" s="1"/>
  <c r="AK772" i="1" s="1"/>
  <c r="AK474" i="1"/>
  <c r="AK478" i="1" s="1"/>
  <c r="AK496" i="1" s="1"/>
  <c r="AH778" i="1"/>
  <c r="AH893" i="1"/>
  <c r="AI12" i="7"/>
  <c r="AI26" i="7" s="1"/>
  <c r="AE13" i="7"/>
  <c r="AE27" i="7" s="1"/>
  <c r="AJ777" i="1"/>
  <c r="AJ897" i="1"/>
  <c r="AV799" i="1"/>
  <c r="AU824" i="1"/>
  <c r="AD891" i="1"/>
  <c r="AD867" i="1"/>
  <c r="AW173" i="12"/>
  <c r="AW377" i="1"/>
  <c r="AW71" i="12"/>
  <c r="AW168" i="1"/>
  <c r="AW169" i="1" s="1"/>
  <c r="AW273" i="12"/>
  <c r="AW1049" i="1"/>
  <c r="AW1052" i="1" s="1"/>
  <c r="AW510" i="1"/>
  <c r="AW511" i="1" s="1"/>
  <c r="AX181" i="31"/>
  <c r="AW949" i="1"/>
  <c r="AW960" i="1" s="1"/>
  <c r="AE269" i="12" l="1"/>
  <c r="AE274" i="12" s="1"/>
  <c r="AE446" i="1"/>
  <c r="AF706" i="1"/>
  <c r="AE707" i="1"/>
  <c r="AE1004" i="1"/>
  <c r="AG155" i="1"/>
  <c r="AG1151" i="1"/>
  <c r="AG33" i="12"/>
  <c r="AG130" i="12" s="1"/>
  <c r="AG185" i="12" s="1"/>
  <c r="AG65" i="12"/>
  <c r="AG67" i="12" s="1"/>
  <c r="AG72" i="12" s="1"/>
  <c r="AF223" i="1"/>
  <c r="AF439" i="1" s="1"/>
  <c r="AF442" i="1" s="1"/>
  <c r="AF446" i="1" s="1"/>
  <c r="AF445" i="1"/>
  <c r="AH245" i="31"/>
  <c r="AH155" i="1" s="1"/>
  <c r="AH428" i="1"/>
  <c r="AH434" i="1" s="1"/>
  <c r="AH692" i="1" s="1"/>
  <c r="AG434" i="1"/>
  <c r="AG692" i="1" s="1"/>
  <c r="AG435" i="1"/>
  <c r="AG697" i="1" s="1"/>
  <c r="AJ242" i="31"/>
  <c r="AJ27" i="12" s="1"/>
  <c r="AJ92" i="12" s="1"/>
  <c r="AJ1120" i="1"/>
  <c r="AJ12" i="7" s="1"/>
  <c r="AJ26" i="7" s="1"/>
  <c r="AH598" i="1"/>
  <c r="AH599" i="1" s="1"/>
  <c r="AI488" i="1"/>
  <c r="AL200" i="31"/>
  <c r="AL196" i="1" s="1"/>
  <c r="AL197" i="1" s="1"/>
  <c r="AI596" i="1"/>
  <c r="AI598" i="1" s="1"/>
  <c r="AI969" i="1"/>
  <c r="AI24" i="12"/>
  <c r="AI89" i="12" s="1"/>
  <c r="AI308" i="1"/>
  <c r="AK1117" i="1"/>
  <c r="AK1122" i="1" s="1"/>
  <c r="AK14" i="7" s="1"/>
  <c r="AK28" i="7" s="1"/>
  <c r="AI967" i="1"/>
  <c r="AK80" i="12"/>
  <c r="AI23" i="12"/>
  <c r="AI88" i="12" s="1"/>
  <c r="AI966" i="1"/>
  <c r="AI468" i="1"/>
  <c r="AI333" i="1"/>
  <c r="AJ241" i="31"/>
  <c r="AJ489" i="1" s="1"/>
  <c r="AI469" i="1"/>
  <c r="AI722" i="1"/>
  <c r="AI732" i="1" s="1"/>
  <c r="AI742" i="1" s="1"/>
  <c r="AI723" i="1"/>
  <c r="AI733" i="1" s="1"/>
  <c r="AI743" i="1" s="1"/>
  <c r="AI588" i="1"/>
  <c r="AI589" i="1"/>
  <c r="AJ240" i="31"/>
  <c r="AJ469" i="1" s="1"/>
  <c r="AJ235" i="31"/>
  <c r="AJ20" i="12" s="1"/>
  <c r="AJ85" i="12" s="1"/>
  <c r="AI724" i="1"/>
  <c r="AI734" i="1" s="1"/>
  <c r="AI744" i="1" s="1"/>
  <c r="AI779" i="1" s="1"/>
  <c r="AJ238" i="31"/>
  <c r="AJ23" i="12" s="1"/>
  <c r="AJ88" i="12" s="1"/>
  <c r="AJ234" i="31"/>
  <c r="AJ177" i="1" s="1"/>
  <c r="AJ232" i="31"/>
  <c r="AJ199" i="1" s="1"/>
  <c r="AJ200" i="1" s="1"/>
  <c r="AJ239" i="31"/>
  <c r="AJ24" i="12" s="1"/>
  <c r="AJ89" i="12" s="1"/>
  <c r="AI236" i="31"/>
  <c r="AI303" i="1" s="1"/>
  <c r="AI25" i="12"/>
  <c r="AI90" i="12" s="1"/>
  <c r="AI310" i="1"/>
  <c r="AI19" i="12"/>
  <c r="AI84" i="12" s="1"/>
  <c r="AI489" i="1"/>
  <c r="AK196" i="1"/>
  <c r="AK197" i="1" s="1"/>
  <c r="AI251" i="31"/>
  <c r="AI970" i="1"/>
  <c r="AI104" i="1"/>
  <c r="AI116" i="1" s="1"/>
  <c r="AI145" i="1"/>
  <c r="AI250" i="31"/>
  <c r="AI725" i="1"/>
  <c r="AI735" i="1" s="1"/>
  <c r="AI745" i="1" s="1"/>
  <c r="AI870" i="1" s="1"/>
  <c r="AK230" i="31"/>
  <c r="AK234" i="31" s="1"/>
  <c r="AI177" i="1"/>
  <c r="AJ93" i="12"/>
  <c r="AI249" i="31"/>
  <c r="AI309" i="1"/>
  <c r="AG193" i="12"/>
  <c r="AG218" i="1"/>
  <c r="AG219" i="1" s="1"/>
  <c r="AG305" i="1" s="1"/>
  <c r="AG429" i="1"/>
  <c r="AG304" i="1"/>
  <c r="AG222" i="1"/>
  <c r="AG438" i="1" s="1"/>
  <c r="AG441" i="1" s="1"/>
  <c r="AH779" i="1"/>
  <c r="AF703" i="1"/>
  <c r="AH895" i="1"/>
  <c r="AF532" i="1"/>
  <c r="AF502" i="1"/>
  <c r="AF504" i="1" s="1"/>
  <c r="AH178" i="1"/>
  <c r="AH185" i="1" s="1"/>
  <c r="AH212" i="1" s="1"/>
  <c r="AH214" i="1" s="1"/>
  <c r="AH218" i="1" s="1"/>
  <c r="AF217" i="12"/>
  <c r="AF230" i="12" s="1"/>
  <c r="AF267" i="12" s="1"/>
  <c r="AF269" i="12" s="1"/>
  <c r="AF274" i="12" s="1"/>
  <c r="AH298" i="1"/>
  <c r="AH248" i="31"/>
  <c r="AH252" i="31" s="1"/>
  <c r="AH41" i="12" s="1"/>
  <c r="AH138" i="12" s="1"/>
  <c r="AH225" i="12" s="1"/>
  <c r="AH238" i="12" s="1"/>
  <c r="AH293" i="12" s="1"/>
  <c r="AH217" i="1"/>
  <c r="AH21" i="12"/>
  <c r="AH86" i="12" s="1"/>
  <c r="AF185" i="12"/>
  <c r="AE285" i="12"/>
  <c r="AF169" i="12"/>
  <c r="AF174" i="12" s="1"/>
  <c r="AG764" i="1"/>
  <c r="AG776" i="1" s="1"/>
  <c r="AG765" i="1"/>
  <c r="AG868" i="1" s="1"/>
  <c r="AF13" i="7"/>
  <c r="AF27" i="7" s="1"/>
  <c r="AF430" i="1"/>
  <c r="AE867" i="1"/>
  <c r="AE891" i="1"/>
  <c r="AW799" i="1"/>
  <c r="AV824" i="1"/>
  <c r="AG1121" i="1"/>
  <c r="AM207" i="31"/>
  <c r="AM208" i="31" s="1"/>
  <c r="AM182" i="12" s="1"/>
  <c r="AN174" i="31"/>
  <c r="AM172" i="12"/>
  <c r="AM163" i="1"/>
  <c r="AM164" i="1" s="1"/>
  <c r="AM172" i="1" s="1"/>
  <c r="AM485" i="1" s="1"/>
  <c r="AM497" i="1" s="1"/>
  <c r="AM947" i="1"/>
  <c r="AM958" i="1" s="1"/>
  <c r="AM70" i="12"/>
  <c r="AM199" i="31"/>
  <c r="AL727" i="1"/>
  <c r="AL747" i="1" s="1"/>
  <c r="AL768" i="1" s="1"/>
  <c r="AL772" i="1" s="1"/>
  <c r="AL312" i="1"/>
  <c r="AL474" i="1"/>
  <c r="AL478" i="1" s="1"/>
  <c r="AL496" i="1" s="1"/>
  <c r="AL1103" i="1"/>
  <c r="AK777" i="1"/>
  <c r="AK897" i="1"/>
  <c r="AN192" i="31"/>
  <c r="AM948" i="1"/>
  <c r="AM959" i="1" s="1"/>
  <c r="AM211" i="31"/>
  <c r="AM212" i="31" s="1"/>
  <c r="AM282" i="12" s="1"/>
  <c r="AM272" i="12"/>
  <c r="AH742" i="1"/>
  <c r="AX71" i="12"/>
  <c r="AX173" i="12"/>
  <c r="AX273" i="12"/>
  <c r="AX949" i="1"/>
  <c r="AX960" i="1" s="1"/>
  <c r="F960" i="1" s="1"/>
  <c r="AX377" i="1"/>
  <c r="AX168" i="1"/>
  <c r="AX169" i="1" s="1"/>
  <c r="I169" i="1" s="1"/>
  <c r="AX1049" i="1"/>
  <c r="AX1052" i="1" s="1"/>
  <c r="I1052" i="1" s="1"/>
  <c r="AX510" i="1"/>
  <c r="AX511" i="1" s="1"/>
  <c r="AG167" i="12" l="1"/>
  <c r="AG169" i="12" s="1"/>
  <c r="AG174" i="12" s="1"/>
  <c r="AG217" i="12"/>
  <c r="AG230" i="12" s="1"/>
  <c r="AG267" i="12" s="1"/>
  <c r="AG269" i="12" s="1"/>
  <c r="AG274" i="12" s="1"/>
  <c r="AF853" i="1"/>
  <c r="AF857" i="1" s="1"/>
  <c r="AF867" i="1" s="1"/>
  <c r="AF707" i="1"/>
  <c r="AF1004" i="1"/>
  <c r="AH30" i="12"/>
  <c r="AH95" i="12" s="1"/>
  <c r="AH1151" i="1"/>
  <c r="AH33" i="12"/>
  <c r="AH130" i="12" s="1"/>
  <c r="AH217" i="12" s="1"/>
  <c r="AH230" i="12" s="1"/>
  <c r="AH435" i="1"/>
  <c r="AH697" i="1" s="1"/>
  <c r="AH65" i="12"/>
  <c r="AH67" i="12" s="1"/>
  <c r="AH72" i="12" s="1"/>
  <c r="AG445" i="1"/>
  <c r="AI21" i="12"/>
  <c r="AI86" i="12" s="1"/>
  <c r="AI428" i="1"/>
  <c r="AI434" i="1" s="1"/>
  <c r="AI692" i="1" s="1"/>
  <c r="AJ970" i="1"/>
  <c r="AJ104" i="1"/>
  <c r="AJ116" i="1" s="1"/>
  <c r="AJ145" i="1"/>
  <c r="AJ251" i="31"/>
  <c r="AL230" i="31"/>
  <c r="AL242" i="31" s="1"/>
  <c r="AJ25" i="12"/>
  <c r="AJ90" i="12" s="1"/>
  <c r="AL80" i="12"/>
  <c r="AM200" i="31"/>
  <c r="AM1117" i="1" s="1"/>
  <c r="AM1122" i="1" s="1"/>
  <c r="AM14" i="7" s="1"/>
  <c r="AM28" i="7" s="1"/>
  <c r="AL248" i="1"/>
  <c r="AL254" i="1" s="1"/>
  <c r="AJ724" i="1"/>
  <c r="AJ734" i="1" s="1"/>
  <c r="AJ744" i="1" s="1"/>
  <c r="AJ894" i="1" s="1"/>
  <c r="AK242" i="31"/>
  <c r="AK251" i="31" s="1"/>
  <c r="AL1117" i="1"/>
  <c r="AL1122" i="1" s="1"/>
  <c r="AL14" i="7" s="1"/>
  <c r="AL28" i="7" s="1"/>
  <c r="AK1120" i="1"/>
  <c r="AK12" i="7" s="1"/>
  <c r="AK26" i="7" s="1"/>
  <c r="AJ249" i="31"/>
  <c r="AJ309" i="1"/>
  <c r="AJ19" i="12"/>
  <c r="AJ84" i="12" s="1"/>
  <c r="AJ236" i="31"/>
  <c r="AJ303" i="1" s="1"/>
  <c r="AJ588" i="1"/>
  <c r="AJ969" i="1"/>
  <c r="AJ589" i="1"/>
  <c r="AJ967" i="1"/>
  <c r="AJ250" i="31"/>
  <c r="AJ725" i="1"/>
  <c r="AJ735" i="1" s="1"/>
  <c r="AJ745" i="1" s="1"/>
  <c r="AJ895" i="1" s="1"/>
  <c r="AJ26" i="12"/>
  <c r="AJ91" i="12" s="1"/>
  <c r="AJ127" i="7" s="1"/>
  <c r="AJ128" i="7" s="1"/>
  <c r="AJ310" i="1"/>
  <c r="AJ308" i="1"/>
  <c r="AJ968" i="1"/>
  <c r="AI298" i="1"/>
  <c r="AJ468" i="1"/>
  <c r="AJ596" i="1"/>
  <c r="AI894" i="1"/>
  <c r="AJ966" i="1"/>
  <c r="AJ722" i="1"/>
  <c r="AJ732" i="1" s="1"/>
  <c r="AI178" i="1"/>
  <c r="AI185" i="1" s="1"/>
  <c r="AI212" i="1" s="1"/>
  <c r="AI214" i="1" s="1"/>
  <c r="AI218" i="1" s="1"/>
  <c r="AI248" i="31"/>
  <c r="AI252" i="31" s="1"/>
  <c r="AI41" i="12" s="1"/>
  <c r="AI138" i="12" s="1"/>
  <c r="AI193" i="12" s="1"/>
  <c r="AJ723" i="1"/>
  <c r="AJ733" i="1" s="1"/>
  <c r="AJ743" i="1" s="1"/>
  <c r="AJ333" i="1"/>
  <c r="AJ488" i="1"/>
  <c r="AJ307" i="1"/>
  <c r="AI245" i="31"/>
  <c r="AI33" i="12" s="1"/>
  <c r="AI130" i="12" s="1"/>
  <c r="AI217" i="1"/>
  <c r="AJ597" i="1"/>
  <c r="AK243" i="31"/>
  <c r="AK28" i="12" s="1"/>
  <c r="AK93" i="12" s="1"/>
  <c r="AK239" i="31"/>
  <c r="AK333" i="1" s="1"/>
  <c r="AK240" i="31"/>
  <c r="AK309" i="1" s="1"/>
  <c r="AK238" i="31"/>
  <c r="AK596" i="1" s="1"/>
  <c r="AK235" i="31"/>
  <c r="AK20" i="12" s="1"/>
  <c r="AK85" i="12" s="1"/>
  <c r="AK241" i="31"/>
  <c r="AK26" i="12" s="1"/>
  <c r="AK91" i="12" s="1"/>
  <c r="AK127" i="7" s="1"/>
  <c r="AK128" i="7" s="1"/>
  <c r="AK232" i="31"/>
  <c r="AK199" i="1" s="1"/>
  <c r="AK200" i="1" s="1"/>
  <c r="AI895" i="1"/>
  <c r="AG502" i="1"/>
  <c r="AG504" i="1" s="1"/>
  <c r="AG703" i="1"/>
  <c r="AG532" i="1"/>
  <c r="AG223" i="1"/>
  <c r="AG439" i="1" s="1"/>
  <c r="AG442" i="1" s="1"/>
  <c r="AG853" i="1" s="1"/>
  <c r="AG857" i="1" s="1"/>
  <c r="AG867" i="1" s="1"/>
  <c r="AG706" i="1"/>
  <c r="AG1042" i="1"/>
  <c r="AF285" i="12"/>
  <c r="AH1104" i="1"/>
  <c r="AH1121" i="1" s="1"/>
  <c r="AH304" i="1"/>
  <c r="AH222" i="1"/>
  <c r="AH438" i="1" s="1"/>
  <c r="AH441" i="1" s="1"/>
  <c r="AH1042" i="1" s="1"/>
  <c r="AH429" i="1"/>
  <c r="AH219" i="1"/>
  <c r="AH305" i="1" s="1"/>
  <c r="AI599" i="1"/>
  <c r="AH193" i="12"/>
  <c r="AI778" i="1"/>
  <c r="AI893" i="1"/>
  <c r="AN199" i="31"/>
  <c r="AN172" i="12"/>
  <c r="AN947" i="1"/>
  <c r="AN958" i="1" s="1"/>
  <c r="AN207" i="31"/>
  <c r="AN208" i="31" s="1"/>
  <c r="AN182" i="12" s="1"/>
  <c r="AN70" i="12"/>
  <c r="AO174" i="31"/>
  <c r="AN163" i="1"/>
  <c r="AN164" i="1" s="1"/>
  <c r="AN172" i="1" s="1"/>
  <c r="AN485" i="1" s="1"/>
  <c r="AN497" i="1" s="1"/>
  <c r="AG430" i="1"/>
  <c r="AN948" i="1"/>
  <c r="AN959" i="1" s="1"/>
  <c r="AN211" i="31"/>
  <c r="AN212" i="31" s="1"/>
  <c r="AN282" i="12" s="1"/>
  <c r="AO192" i="31"/>
  <c r="AN272" i="12"/>
  <c r="AG13" i="7"/>
  <c r="AG27" i="7" s="1"/>
  <c r="AH758" i="1"/>
  <c r="AH892" i="1"/>
  <c r="AI758" i="1"/>
  <c r="AI892" i="1"/>
  <c r="AL897" i="1"/>
  <c r="AL777" i="1"/>
  <c r="AM474" i="1"/>
  <c r="AM478" i="1" s="1"/>
  <c r="AM496" i="1" s="1"/>
  <c r="AM727" i="1"/>
  <c r="AM747" i="1" s="1"/>
  <c r="AM768" i="1" s="1"/>
  <c r="AM772" i="1" s="1"/>
  <c r="AM312" i="1"/>
  <c r="AM1103" i="1"/>
  <c r="AK177" i="1"/>
  <c r="AK19" i="12"/>
  <c r="AK84" i="12" s="1"/>
  <c r="AX799" i="1"/>
  <c r="AW824" i="1"/>
  <c r="AI435" i="1" l="1"/>
  <c r="AI697" i="1" s="1"/>
  <c r="AF891" i="1"/>
  <c r="AG285" i="12"/>
  <c r="AH185" i="12"/>
  <c r="AH167" i="12"/>
  <c r="AH169" i="12" s="1"/>
  <c r="AH174" i="12" s="1"/>
  <c r="AJ245" i="31"/>
  <c r="AJ30" i="12" s="1"/>
  <c r="AJ95" i="12" s="1"/>
  <c r="AJ428" i="1"/>
  <c r="AJ434" i="1" s="1"/>
  <c r="AJ692" i="1" s="1"/>
  <c r="AK27" i="12"/>
  <c r="AK92" i="12" s="1"/>
  <c r="AK970" i="1"/>
  <c r="AL243" i="31"/>
  <c r="AL28" i="12" s="1"/>
  <c r="AL93" i="12" s="1"/>
  <c r="AM248" i="1"/>
  <c r="AM254" i="1" s="1"/>
  <c r="AM80" i="12"/>
  <c r="AJ779" i="1"/>
  <c r="AL232" i="31"/>
  <c r="AL199" i="1" s="1"/>
  <c r="AL200" i="1" s="1"/>
  <c r="AM230" i="31"/>
  <c r="AM241" i="31" s="1"/>
  <c r="AL1120" i="1"/>
  <c r="AL12" i="7" s="1"/>
  <c r="AL26" i="7" s="1"/>
  <c r="AM196" i="1"/>
  <c r="AM197" i="1" s="1"/>
  <c r="AN200" i="31"/>
  <c r="AN248" i="1" s="1"/>
  <c r="AN254" i="1" s="1"/>
  <c r="AL239" i="31"/>
  <c r="AL468" i="1" s="1"/>
  <c r="AJ178" i="1"/>
  <c r="AJ185" i="1" s="1"/>
  <c r="AJ212" i="1" s="1"/>
  <c r="AJ214" i="1" s="1"/>
  <c r="AJ429" i="1" s="1"/>
  <c r="AL241" i="31"/>
  <c r="AL310" i="1" s="1"/>
  <c r="AK145" i="1"/>
  <c r="AL234" i="31"/>
  <c r="AL240" i="31"/>
  <c r="AL588" i="1" s="1"/>
  <c r="AL238" i="31"/>
  <c r="AL966" i="1" s="1"/>
  <c r="AK104" i="1"/>
  <c r="AK116" i="1" s="1"/>
  <c r="AL235" i="31"/>
  <c r="AL20" i="12" s="1"/>
  <c r="AL85" i="12" s="1"/>
  <c r="AJ248" i="31"/>
  <c r="AJ252" i="31" s="1"/>
  <c r="AJ41" i="12" s="1"/>
  <c r="AJ138" i="12" s="1"/>
  <c r="AJ193" i="12" s="1"/>
  <c r="AJ21" i="12"/>
  <c r="AJ86" i="12" s="1"/>
  <c r="AJ217" i="1"/>
  <c r="AJ298" i="1"/>
  <c r="AI225" i="12"/>
  <c r="AI238" i="12" s="1"/>
  <c r="AI293" i="12" s="1"/>
  <c r="AJ870" i="1"/>
  <c r="AK597" i="1"/>
  <c r="AK598" i="1" s="1"/>
  <c r="AI155" i="1"/>
  <c r="AK489" i="1"/>
  <c r="AK968" i="1"/>
  <c r="AK724" i="1"/>
  <c r="AK734" i="1" s="1"/>
  <c r="AK744" i="1" s="1"/>
  <c r="AK779" i="1" s="1"/>
  <c r="AK588" i="1"/>
  <c r="AK249" i="31"/>
  <c r="AK25" i="12"/>
  <c r="AK90" i="12" s="1"/>
  <c r="AK469" i="1"/>
  <c r="AJ598" i="1"/>
  <c r="AJ599" i="1" s="1"/>
  <c r="AI219" i="1"/>
  <c r="AI703" i="1" s="1"/>
  <c r="AI222" i="1"/>
  <c r="AI438" i="1" s="1"/>
  <c r="AI441" i="1" s="1"/>
  <c r="AI445" i="1" s="1"/>
  <c r="AI429" i="1"/>
  <c r="AK308" i="1"/>
  <c r="AI1151" i="1"/>
  <c r="AI65" i="12"/>
  <c r="AI67" i="12" s="1"/>
  <c r="AI72" i="12" s="1"/>
  <c r="AI30" i="12"/>
  <c r="AI95" i="12" s="1"/>
  <c r="AK24" i="12"/>
  <c r="AK89" i="12" s="1"/>
  <c r="AK967" i="1"/>
  <c r="AI304" i="1"/>
  <c r="AI1104" i="1"/>
  <c r="AI1121" i="1" s="1"/>
  <c r="AK236" i="31"/>
  <c r="AK303" i="1" s="1"/>
  <c r="AK307" i="1"/>
  <c r="AK723" i="1"/>
  <c r="AK733" i="1" s="1"/>
  <c r="AK743" i="1" s="1"/>
  <c r="AK468" i="1"/>
  <c r="AK589" i="1"/>
  <c r="AK966" i="1"/>
  <c r="AK23" i="12"/>
  <c r="AK88" i="12" s="1"/>
  <c r="AK722" i="1"/>
  <c r="AK732" i="1" s="1"/>
  <c r="AK742" i="1" s="1"/>
  <c r="AK488" i="1"/>
  <c r="AK250" i="31"/>
  <c r="AK969" i="1"/>
  <c r="AK725" i="1"/>
  <c r="AK735" i="1" s="1"/>
  <c r="AK745" i="1" s="1"/>
  <c r="AK870" i="1" s="1"/>
  <c r="AK310" i="1"/>
  <c r="AG891" i="1"/>
  <c r="AG707" i="1"/>
  <c r="AG1004" i="1"/>
  <c r="AG446" i="1"/>
  <c r="AH445" i="1"/>
  <c r="AH223" i="1"/>
  <c r="AH439" i="1" s="1"/>
  <c r="AH442" i="1" s="1"/>
  <c r="AH707" i="1" s="1"/>
  <c r="AH706" i="1"/>
  <c r="AH703" i="1"/>
  <c r="AH502" i="1"/>
  <c r="AH504" i="1" s="1"/>
  <c r="AH532" i="1"/>
  <c r="AH285" i="12"/>
  <c r="AH267" i="12"/>
  <c r="AH269" i="12" s="1"/>
  <c r="AH274" i="12" s="1"/>
  <c r="AJ893" i="1"/>
  <c r="AJ778" i="1"/>
  <c r="AM1120" i="1"/>
  <c r="AH764" i="1"/>
  <c r="AH776" i="1" s="1"/>
  <c r="AH765" i="1"/>
  <c r="AH868" i="1" s="1"/>
  <c r="AP192" i="31"/>
  <c r="AO272" i="12"/>
  <c r="AO948" i="1"/>
  <c r="AO959" i="1" s="1"/>
  <c r="AO211" i="31"/>
  <c r="AO212" i="31" s="1"/>
  <c r="AO282" i="12" s="1"/>
  <c r="AL970" i="1"/>
  <c r="AL251" i="31"/>
  <c r="AL27" i="12"/>
  <c r="AL92" i="12" s="1"/>
  <c r="AL104" i="1"/>
  <c r="AL145" i="1"/>
  <c r="AN474" i="1"/>
  <c r="AN478" i="1" s="1"/>
  <c r="AN496" i="1" s="1"/>
  <c r="AN1103" i="1"/>
  <c r="AN727" i="1"/>
  <c r="AN747" i="1" s="1"/>
  <c r="AN768" i="1" s="1"/>
  <c r="AN772" i="1" s="1"/>
  <c r="AN312" i="1"/>
  <c r="AH430" i="1"/>
  <c r="AM897" i="1"/>
  <c r="AM777" i="1"/>
  <c r="AI167" i="12"/>
  <c r="AI217" i="12"/>
  <c r="AI230" i="12" s="1"/>
  <c r="AI185" i="12"/>
  <c r="AO207" i="31"/>
  <c r="AO208" i="31" s="1"/>
  <c r="AO182" i="12" s="1"/>
  <c r="AO163" i="1"/>
  <c r="AO164" i="1" s="1"/>
  <c r="AO172" i="1" s="1"/>
  <c r="AO485" i="1" s="1"/>
  <c r="AO497" i="1" s="1"/>
  <c r="AO947" i="1"/>
  <c r="AO958" i="1" s="1"/>
  <c r="AP174" i="31"/>
  <c r="AO70" i="12"/>
  <c r="AO172" i="12"/>
  <c r="AO199" i="31"/>
  <c r="AX824" i="1"/>
  <c r="AH13" i="7"/>
  <c r="AH27" i="7" s="1"/>
  <c r="AI765" i="1"/>
  <c r="AI868" i="1" s="1"/>
  <c r="AI764" i="1"/>
  <c r="AI776" i="1" s="1"/>
  <c r="AJ742" i="1"/>
  <c r="Q826" i="1" l="1"/>
  <c r="Q814" i="1" s="1"/>
  <c r="S826" i="1"/>
  <c r="S814" i="1" s="1"/>
  <c r="R826" i="1"/>
  <c r="R814" i="1" s="1"/>
  <c r="AJ1151" i="1"/>
  <c r="AJ65" i="12"/>
  <c r="AJ67" i="12" s="1"/>
  <c r="AJ72" i="12" s="1"/>
  <c r="AJ33" i="12"/>
  <c r="AJ130" i="12" s="1"/>
  <c r="AJ167" i="12" s="1"/>
  <c r="AJ155" i="1"/>
  <c r="O826" i="1"/>
  <c r="O814" i="1" s="1"/>
  <c r="P826" i="1"/>
  <c r="P814" i="1" s="1"/>
  <c r="M826" i="1"/>
  <c r="M814" i="1" s="1"/>
  <c r="N826" i="1"/>
  <c r="N814" i="1" s="1"/>
  <c r="K826" i="1"/>
  <c r="L826" i="1"/>
  <c r="L814" i="1" s="1"/>
  <c r="AK298" i="1"/>
  <c r="AK428" i="1"/>
  <c r="AJ435" i="1"/>
  <c r="AJ697" i="1" s="1"/>
  <c r="AL26" i="12"/>
  <c r="AL91" i="12" s="1"/>
  <c r="AL127" i="7" s="1"/>
  <c r="AL128" i="7" s="1"/>
  <c r="AL489" i="1"/>
  <c r="AL722" i="1"/>
  <c r="AL732" i="1" s="1"/>
  <c r="AL742" i="1" s="1"/>
  <c r="AL596" i="1"/>
  <c r="AM234" i="31"/>
  <c r="AM19" i="12" s="1"/>
  <c r="AM84" i="12" s="1"/>
  <c r="AL250" i="31"/>
  <c r="AL589" i="1"/>
  <c r="AL23" i="12"/>
  <c r="AL88" i="12" s="1"/>
  <c r="AL307" i="1"/>
  <c r="AL725" i="1"/>
  <c r="AL735" i="1" s="1"/>
  <c r="AL745" i="1" s="1"/>
  <c r="AL895" i="1" s="1"/>
  <c r="AL488" i="1"/>
  <c r="AL969" i="1"/>
  <c r="AM238" i="31"/>
  <c r="AM488" i="1" s="1"/>
  <c r="AL19" i="12"/>
  <c r="AL84" i="12" s="1"/>
  <c r="AJ218" i="1"/>
  <c r="AJ219" i="1" s="1"/>
  <c r="AL249" i="31"/>
  <c r="AJ1104" i="1"/>
  <c r="AJ1121" i="1" s="1"/>
  <c r="AL236" i="31"/>
  <c r="AL303" i="1" s="1"/>
  <c r="AL333" i="1"/>
  <c r="AL25" i="12"/>
  <c r="AL90" i="12" s="1"/>
  <c r="AL308" i="1"/>
  <c r="AJ222" i="1"/>
  <c r="AJ438" i="1" s="1"/>
  <c r="AJ441" i="1" s="1"/>
  <c r="AJ445" i="1" s="1"/>
  <c r="AL309" i="1"/>
  <c r="AJ304" i="1"/>
  <c r="AL469" i="1"/>
  <c r="AL968" i="1"/>
  <c r="AL724" i="1"/>
  <c r="AL734" i="1" s="1"/>
  <c r="AL744" i="1" s="1"/>
  <c r="AL779" i="1" s="1"/>
  <c r="AM240" i="31"/>
  <c r="AM968" i="1" s="1"/>
  <c r="AN196" i="1"/>
  <c r="AN197" i="1" s="1"/>
  <c r="AN1117" i="1"/>
  <c r="AN1122" i="1" s="1"/>
  <c r="AN14" i="7" s="1"/>
  <c r="AN28" i="7" s="1"/>
  <c r="AO200" i="31"/>
  <c r="AO196" i="1" s="1"/>
  <c r="AO197" i="1" s="1"/>
  <c r="AL177" i="1"/>
  <c r="AL24" i="12"/>
  <c r="AL89" i="12" s="1"/>
  <c r="AM242" i="31"/>
  <c r="AM104" i="1" s="1"/>
  <c r="AL967" i="1"/>
  <c r="AM232" i="31"/>
  <c r="AM199" i="1" s="1"/>
  <c r="AM200" i="1" s="1"/>
  <c r="AL723" i="1"/>
  <c r="AL733" i="1" s="1"/>
  <c r="AL743" i="1" s="1"/>
  <c r="AL778" i="1" s="1"/>
  <c r="AL597" i="1"/>
  <c r="AM239" i="31"/>
  <c r="AM967" i="1" s="1"/>
  <c r="AM235" i="31"/>
  <c r="AM20" i="12" s="1"/>
  <c r="AM85" i="12" s="1"/>
  <c r="AM243" i="31"/>
  <c r="AM28" i="12" s="1"/>
  <c r="AM93" i="12" s="1"/>
  <c r="AN230" i="31"/>
  <c r="AN241" i="31" s="1"/>
  <c r="AN80" i="12"/>
  <c r="AK894" i="1"/>
  <c r="AI223" i="1"/>
  <c r="AI439" i="1" s="1"/>
  <c r="AI442" i="1" s="1"/>
  <c r="AI707" i="1" s="1"/>
  <c r="AK21" i="12"/>
  <c r="AK86" i="12" s="1"/>
  <c r="AI305" i="1"/>
  <c r="AI430" i="1" s="1"/>
  <c r="AI502" i="1"/>
  <c r="AI504" i="1" s="1"/>
  <c r="AI532" i="1"/>
  <c r="AI1042" i="1"/>
  <c r="AJ225" i="12"/>
  <c r="AJ238" i="12" s="1"/>
  <c r="AJ293" i="12" s="1"/>
  <c r="AI706" i="1"/>
  <c r="AK217" i="1"/>
  <c r="AK178" i="1"/>
  <c r="AK185" i="1" s="1"/>
  <c r="AK212" i="1" s="1"/>
  <c r="AK214" i="1" s="1"/>
  <c r="AK429" i="1" s="1"/>
  <c r="AK245" i="31"/>
  <c r="AK33" i="12" s="1"/>
  <c r="AK130" i="12" s="1"/>
  <c r="AK248" i="31"/>
  <c r="AK252" i="31" s="1"/>
  <c r="AK41" i="12" s="1"/>
  <c r="AK138" i="12" s="1"/>
  <c r="AK895" i="1"/>
  <c r="AK599" i="1"/>
  <c r="AH1004" i="1"/>
  <c r="AH446" i="1"/>
  <c r="AH853" i="1"/>
  <c r="AH857" i="1" s="1"/>
  <c r="AH891" i="1" s="1"/>
  <c r="AI169" i="12"/>
  <c r="AI174" i="12" s="1"/>
  <c r="AK758" i="1"/>
  <c r="AK892" i="1"/>
  <c r="AK778" i="1"/>
  <c r="AK893" i="1"/>
  <c r="AO1103" i="1"/>
  <c r="AO474" i="1"/>
  <c r="AO478" i="1" s="1"/>
  <c r="AO496" i="1" s="1"/>
  <c r="AO312" i="1"/>
  <c r="AO727" i="1"/>
  <c r="AO747" i="1" s="1"/>
  <c r="AO768" i="1" s="1"/>
  <c r="AO772" i="1" s="1"/>
  <c r="AQ192" i="31"/>
  <c r="AP272" i="12"/>
  <c r="AP211" i="31"/>
  <c r="AP212" i="31" s="1"/>
  <c r="AP282" i="12" s="1"/>
  <c r="AP948" i="1"/>
  <c r="AP959" i="1" s="1"/>
  <c r="AI13" i="7"/>
  <c r="AI27" i="7" s="1"/>
  <c r="AJ892" i="1"/>
  <c r="AJ758" i="1"/>
  <c r="AP172" i="12"/>
  <c r="AQ174" i="31"/>
  <c r="AP163" i="1"/>
  <c r="AP164" i="1" s="1"/>
  <c r="AP172" i="1" s="1"/>
  <c r="AP485" i="1" s="1"/>
  <c r="AP497" i="1" s="1"/>
  <c r="AP70" i="12"/>
  <c r="AP207" i="31"/>
  <c r="AP208" i="31" s="1"/>
  <c r="AP182" i="12" s="1"/>
  <c r="AP947" i="1"/>
  <c r="AP958" i="1" s="1"/>
  <c r="AP199" i="31"/>
  <c r="AI285" i="12"/>
  <c r="AI267" i="12"/>
  <c r="AI269" i="12" s="1"/>
  <c r="AI274" i="12" s="1"/>
  <c r="AN897" i="1"/>
  <c r="AN777" i="1"/>
  <c r="AM310" i="1"/>
  <c r="AM250" i="31"/>
  <c r="AM969" i="1"/>
  <c r="AM489" i="1"/>
  <c r="AM725" i="1"/>
  <c r="AM589" i="1"/>
  <c r="AM26" i="12"/>
  <c r="AM91" i="12" s="1"/>
  <c r="AM127" i="7" s="1"/>
  <c r="AM128" i="7" s="1"/>
  <c r="AM12" i="7"/>
  <c r="AM26" i="7" s="1"/>
  <c r="AJ185" i="12" l="1"/>
  <c r="AJ217" i="12"/>
  <c r="AJ230" i="12" s="1"/>
  <c r="AJ267" i="12" s="1"/>
  <c r="AJ269" i="12" s="1"/>
  <c r="AJ274" i="12" s="1"/>
  <c r="AL298" i="1"/>
  <c r="AL428" i="1"/>
  <c r="AL435" i="1" s="1"/>
  <c r="AL697" i="1" s="1"/>
  <c r="AK435" i="1"/>
  <c r="AK697" i="1" s="1"/>
  <c r="AK434" i="1"/>
  <c r="AK692" i="1" s="1"/>
  <c r="AM307" i="1"/>
  <c r="AM249" i="31"/>
  <c r="AM469" i="1"/>
  <c r="AL598" i="1"/>
  <c r="AL599" i="1" s="1"/>
  <c r="AL245" i="31"/>
  <c r="AL65" i="12" s="1"/>
  <c r="AM177" i="1"/>
  <c r="AL870" i="1"/>
  <c r="AM251" i="31"/>
  <c r="AM596" i="1"/>
  <c r="AM966" i="1"/>
  <c r="AM722" i="1"/>
  <c r="AM732" i="1" s="1"/>
  <c r="AL893" i="1"/>
  <c r="AM970" i="1"/>
  <c r="AL178" i="1"/>
  <c r="AL185" i="1" s="1"/>
  <c r="AL212" i="1" s="1"/>
  <c r="AL214" i="1" s="1"/>
  <c r="AL218" i="1" s="1"/>
  <c r="AN1120" i="1"/>
  <c r="AN12" i="7" s="1"/>
  <c r="AN26" i="7" s="1"/>
  <c r="AM23" i="12"/>
  <c r="AM88" i="12" s="1"/>
  <c r="AJ1042" i="1"/>
  <c r="AL21" i="12"/>
  <c r="AL86" i="12" s="1"/>
  <c r="AM145" i="1"/>
  <c r="AM25" i="12"/>
  <c r="AM90" i="12" s="1"/>
  <c r="AM588" i="1"/>
  <c r="AM309" i="1"/>
  <c r="AM723" i="1"/>
  <c r="AM733" i="1" s="1"/>
  <c r="AM743" i="1" s="1"/>
  <c r="AM893" i="1" s="1"/>
  <c r="AM724" i="1"/>
  <c r="AM734" i="1" s="1"/>
  <c r="AM744" i="1" s="1"/>
  <c r="AL894" i="1"/>
  <c r="AO230" i="31"/>
  <c r="AO235" i="31" s="1"/>
  <c r="AO20" i="12" s="1"/>
  <c r="AL217" i="1"/>
  <c r="AO248" i="1"/>
  <c r="AO254" i="1" s="1"/>
  <c r="AM27" i="12"/>
  <c r="AM92" i="12" s="1"/>
  <c r="AJ223" i="1"/>
  <c r="AJ439" i="1" s="1"/>
  <c r="AJ442" i="1" s="1"/>
  <c r="AJ707" i="1" s="1"/>
  <c r="AJ706" i="1"/>
  <c r="AP200" i="31"/>
  <c r="AP80" i="12" s="1"/>
  <c r="AL248" i="31"/>
  <c r="AL252" i="31" s="1"/>
  <c r="AL41" i="12" s="1"/>
  <c r="AL138" i="12" s="1"/>
  <c r="AL193" i="12" s="1"/>
  <c r="AN242" i="31"/>
  <c r="AN251" i="31" s="1"/>
  <c r="AO80" i="12"/>
  <c r="AM236" i="31"/>
  <c r="AM303" i="1" s="1"/>
  <c r="AJ502" i="1"/>
  <c r="AJ504" i="1" s="1"/>
  <c r="AJ305" i="1"/>
  <c r="AJ430" i="1" s="1"/>
  <c r="AM333" i="1"/>
  <c r="AM597" i="1"/>
  <c r="AM468" i="1"/>
  <c r="AO1117" i="1"/>
  <c r="AO1122" i="1" s="1"/>
  <c r="AO14" i="7" s="1"/>
  <c r="AO28" i="7" s="1"/>
  <c r="AM308" i="1"/>
  <c r="AM24" i="12"/>
  <c r="AM89" i="12" s="1"/>
  <c r="AN232" i="31"/>
  <c r="AN199" i="1" s="1"/>
  <c r="AN200" i="1" s="1"/>
  <c r="AN238" i="31"/>
  <c r="AN307" i="1" s="1"/>
  <c r="AN234" i="31"/>
  <c r="AN235" i="31"/>
  <c r="AN20" i="12" s="1"/>
  <c r="AN85" i="12" s="1"/>
  <c r="AN243" i="31"/>
  <c r="AN28" i="12" s="1"/>
  <c r="AN93" i="12" s="1"/>
  <c r="AN240" i="31"/>
  <c r="AN25" i="12" s="1"/>
  <c r="AN90" i="12" s="1"/>
  <c r="AN239" i="31"/>
  <c r="AN967" i="1" s="1"/>
  <c r="AJ703" i="1"/>
  <c r="AJ532" i="1"/>
  <c r="AK1104" i="1"/>
  <c r="AK1121" i="1" s="1"/>
  <c r="AI446" i="1"/>
  <c r="AI853" i="1"/>
  <c r="AI857" i="1" s="1"/>
  <c r="AI867" i="1" s="1"/>
  <c r="AI1004" i="1"/>
  <c r="AK304" i="1"/>
  <c r="AK222" i="1"/>
  <c r="AK438" i="1" s="1"/>
  <c r="AK441" i="1" s="1"/>
  <c r="AK218" i="1"/>
  <c r="AK219" i="1" s="1"/>
  <c r="AK502" i="1" s="1"/>
  <c r="AK504" i="1" s="1"/>
  <c r="AK65" i="12"/>
  <c r="AK67" i="12" s="1"/>
  <c r="AK72" i="12" s="1"/>
  <c r="AK30" i="12"/>
  <c r="AK95" i="12" s="1"/>
  <c r="AK155" i="1"/>
  <c r="AK1151" i="1"/>
  <c r="AK193" i="12"/>
  <c r="AK225" i="12"/>
  <c r="AK238" i="12" s="1"/>
  <c r="AK293" i="12" s="1"/>
  <c r="AH867" i="1"/>
  <c r="AJ169" i="12"/>
  <c r="AJ174" i="12" s="1"/>
  <c r="AL892" i="1"/>
  <c r="AL758" i="1"/>
  <c r="K814" i="1"/>
  <c r="K816" i="1" s="1"/>
  <c r="AK167" i="12"/>
  <c r="AK185" i="12"/>
  <c r="AK217" i="12"/>
  <c r="AK230" i="12" s="1"/>
  <c r="AN969" i="1"/>
  <c r="AN250" i="31"/>
  <c r="AN589" i="1"/>
  <c r="AN489" i="1"/>
  <c r="AN725" i="1"/>
  <c r="AN310" i="1"/>
  <c r="AN26" i="12"/>
  <c r="AN91" i="12" s="1"/>
  <c r="AN127" i="7" s="1"/>
  <c r="AN128" i="7" s="1"/>
  <c r="AJ764" i="1"/>
  <c r="AJ776" i="1" s="1"/>
  <c r="AJ765" i="1"/>
  <c r="AJ868" i="1" s="1"/>
  <c r="AM116" i="1"/>
  <c r="AR192" i="31"/>
  <c r="AQ211" i="31"/>
  <c r="AQ212" i="31" s="1"/>
  <c r="AQ282" i="12" s="1"/>
  <c r="AQ272" i="12"/>
  <c r="AQ948" i="1"/>
  <c r="AQ959" i="1" s="1"/>
  <c r="AP312" i="1"/>
  <c r="AP727" i="1"/>
  <c r="AP747" i="1" s="1"/>
  <c r="AP768" i="1" s="1"/>
  <c r="AP772" i="1" s="1"/>
  <c r="AP474" i="1"/>
  <c r="AP478" i="1" s="1"/>
  <c r="AP496" i="1" s="1"/>
  <c r="AP1103" i="1"/>
  <c r="AO897" i="1"/>
  <c r="AO777" i="1"/>
  <c r="AM735" i="1"/>
  <c r="AM745" i="1" s="1"/>
  <c r="AQ70" i="12"/>
  <c r="AQ163" i="1"/>
  <c r="AQ164" i="1" s="1"/>
  <c r="AQ172" i="1" s="1"/>
  <c r="AQ485" i="1" s="1"/>
  <c r="AQ497" i="1" s="1"/>
  <c r="AQ207" i="31"/>
  <c r="AQ208" i="31" s="1"/>
  <c r="AQ182" i="12" s="1"/>
  <c r="AR174" i="31"/>
  <c r="AQ172" i="12"/>
  <c r="AQ199" i="31"/>
  <c r="AQ947" i="1"/>
  <c r="AQ958" i="1" s="1"/>
  <c r="AJ13" i="7"/>
  <c r="AJ27" i="7" s="1"/>
  <c r="AK765" i="1"/>
  <c r="AK868" i="1" s="1"/>
  <c r="AK764" i="1"/>
  <c r="AK776" i="1" s="1"/>
  <c r="AJ285" i="12" l="1"/>
  <c r="AK445" i="1"/>
  <c r="AL434" i="1"/>
  <c r="AL692" i="1" s="1"/>
  <c r="AM178" i="1"/>
  <c r="AM185" i="1" s="1"/>
  <c r="AM212" i="1" s="1"/>
  <c r="AM214" i="1" s="1"/>
  <c r="AM304" i="1" s="1"/>
  <c r="AM428" i="1"/>
  <c r="AM435" i="1" s="1"/>
  <c r="AM697" i="1" s="1"/>
  <c r="AM598" i="1"/>
  <c r="AM599" i="1" s="1"/>
  <c r="AO239" i="31"/>
  <c r="AO723" i="1" s="1"/>
  <c r="AN27" i="12"/>
  <c r="AN92" i="12" s="1"/>
  <c r="AO241" i="31"/>
  <c r="AO489" i="1" s="1"/>
  <c r="AQ200" i="31"/>
  <c r="AQ196" i="1" s="1"/>
  <c r="AQ197" i="1" s="1"/>
  <c r="AL429" i="1"/>
  <c r="AJ446" i="1"/>
  <c r="AN488" i="1"/>
  <c r="AO238" i="31"/>
  <c r="AO307" i="1" s="1"/>
  <c r="AL1151" i="1"/>
  <c r="AJ853" i="1"/>
  <c r="AJ857" i="1" s="1"/>
  <c r="AJ891" i="1" s="1"/>
  <c r="AN104" i="1"/>
  <c r="AN116" i="1" s="1"/>
  <c r="AO234" i="31"/>
  <c r="AO177" i="1" s="1"/>
  <c r="AN970" i="1"/>
  <c r="AO232" i="31"/>
  <c r="AO199" i="1" s="1"/>
  <c r="AO200" i="1" s="1"/>
  <c r="AL155" i="1"/>
  <c r="AL33" i="12"/>
  <c r="AL130" i="12" s="1"/>
  <c r="AL167" i="12" s="1"/>
  <c r="AL225" i="12"/>
  <c r="AL238" i="12" s="1"/>
  <c r="AL293" i="12" s="1"/>
  <c r="AL222" i="1"/>
  <c r="AL438" i="1" s="1"/>
  <c r="AL441" i="1" s="1"/>
  <c r="AL1104" i="1"/>
  <c r="AL1121" i="1" s="1"/>
  <c r="AL304" i="1"/>
  <c r="AN23" i="12"/>
  <c r="AN88" i="12" s="1"/>
  <c r="AN145" i="1"/>
  <c r="AO243" i="31"/>
  <c r="AO28" i="12" s="1"/>
  <c r="AO93" i="12" s="1"/>
  <c r="AO240" i="31"/>
  <c r="AO469" i="1" s="1"/>
  <c r="AP1117" i="1"/>
  <c r="AP1122" i="1" s="1"/>
  <c r="AP14" i="7" s="1"/>
  <c r="AP28" i="7" s="1"/>
  <c r="AL30" i="12"/>
  <c r="AL95" i="12" s="1"/>
  <c r="AJ1004" i="1"/>
  <c r="AM21" i="12"/>
  <c r="AM86" i="12" s="1"/>
  <c r="AO242" i="31"/>
  <c r="AO104" i="1" s="1"/>
  <c r="AN309" i="1"/>
  <c r="AP196" i="1"/>
  <c r="AP197" i="1" s="1"/>
  <c r="AM217" i="1"/>
  <c r="AP248" i="1"/>
  <c r="AP254" i="1" s="1"/>
  <c r="AM248" i="31"/>
  <c r="AM252" i="31" s="1"/>
  <c r="AM41" i="12" s="1"/>
  <c r="AM138" i="12" s="1"/>
  <c r="AM225" i="12" s="1"/>
  <c r="AM238" i="12" s="1"/>
  <c r="AM293" i="12" s="1"/>
  <c r="AM298" i="1"/>
  <c r="AP230" i="31"/>
  <c r="AP243" i="31" s="1"/>
  <c r="AP28" i="12" s="1"/>
  <c r="AP93" i="12" s="1"/>
  <c r="AM778" i="1"/>
  <c r="AN24" i="12"/>
  <c r="AN89" i="12" s="1"/>
  <c r="AO85" i="12"/>
  <c r="AL219" i="1"/>
  <c r="AL532" i="1" s="1"/>
  <c r="AN597" i="1"/>
  <c r="AM245" i="31"/>
  <c r="AM30" i="12" s="1"/>
  <c r="AM95" i="12" s="1"/>
  <c r="AN177" i="1"/>
  <c r="AN308" i="1"/>
  <c r="AN333" i="1"/>
  <c r="AN19" i="12"/>
  <c r="AN84" i="12" s="1"/>
  <c r="AN468" i="1"/>
  <c r="AN723" i="1"/>
  <c r="AN733" i="1" s="1"/>
  <c r="AN743" i="1" s="1"/>
  <c r="AN893" i="1" s="1"/>
  <c r="AN469" i="1"/>
  <c r="AN596" i="1"/>
  <c r="AO1120" i="1"/>
  <c r="AO12" i="7" s="1"/>
  <c r="AO26" i="7" s="1"/>
  <c r="AN724" i="1"/>
  <c r="AN734" i="1" s="1"/>
  <c r="AN744" i="1" s="1"/>
  <c r="AN966" i="1"/>
  <c r="AN722" i="1"/>
  <c r="AN732" i="1" s="1"/>
  <c r="AN742" i="1" s="1"/>
  <c r="AN968" i="1"/>
  <c r="AN249" i="31"/>
  <c r="AN588" i="1"/>
  <c r="AN236" i="31"/>
  <c r="AN303" i="1" s="1"/>
  <c r="AK1042" i="1"/>
  <c r="AK706" i="1"/>
  <c r="AI891" i="1"/>
  <c r="AK703" i="1"/>
  <c r="AK223" i="1"/>
  <c r="AK439" i="1" s="1"/>
  <c r="AK442" i="1" s="1"/>
  <c r="AK446" i="1" s="1"/>
  <c r="AK532" i="1"/>
  <c r="AK305" i="1"/>
  <c r="AK430" i="1" s="1"/>
  <c r="AL67" i="12"/>
  <c r="AL72" i="12" s="1"/>
  <c r="AK169" i="12"/>
  <c r="AK174" i="12" s="1"/>
  <c r="AM895" i="1"/>
  <c r="AM870" i="1"/>
  <c r="AR947" i="1"/>
  <c r="AR958" i="1" s="1"/>
  <c r="AR199" i="31"/>
  <c r="AR200" i="31" s="1"/>
  <c r="AR207" i="31"/>
  <c r="AR208" i="31" s="1"/>
  <c r="AR182" i="12" s="1"/>
  <c r="AR163" i="1"/>
  <c r="AR164" i="1" s="1"/>
  <c r="AR172" i="1" s="1"/>
  <c r="AR485" i="1" s="1"/>
  <c r="AR497" i="1" s="1"/>
  <c r="AR70" i="12"/>
  <c r="AR172" i="12"/>
  <c r="AS174" i="31"/>
  <c r="AP777" i="1"/>
  <c r="AP897" i="1"/>
  <c r="AM894" i="1"/>
  <c r="AM779" i="1"/>
  <c r="AS192" i="31"/>
  <c r="AR272" i="12"/>
  <c r="AR948" i="1"/>
  <c r="AR959" i="1" s="1"/>
  <c r="AR211" i="31"/>
  <c r="AR212" i="31" s="1"/>
  <c r="AR282" i="12" s="1"/>
  <c r="AK285" i="12"/>
  <c r="AK267" i="12"/>
  <c r="AK269" i="12" s="1"/>
  <c r="AK274" i="12" s="1"/>
  <c r="L812" i="1"/>
  <c r="L816" i="1" s="1"/>
  <c r="K820" i="1"/>
  <c r="AL764" i="1"/>
  <c r="AL776" i="1" s="1"/>
  <c r="AL765" i="1"/>
  <c r="AL868" i="1" s="1"/>
  <c r="AQ474" i="1"/>
  <c r="AQ478" i="1" s="1"/>
  <c r="AQ496" i="1" s="1"/>
  <c r="AQ727" i="1"/>
  <c r="AQ747" i="1" s="1"/>
  <c r="AQ768" i="1" s="1"/>
  <c r="AQ772" i="1" s="1"/>
  <c r="AQ1103" i="1"/>
  <c r="AQ312" i="1"/>
  <c r="AM742" i="1"/>
  <c r="AN735" i="1"/>
  <c r="AN745" i="1" s="1"/>
  <c r="AK13" i="7"/>
  <c r="AK27" i="7" s="1"/>
  <c r="AL445" i="1" l="1"/>
  <c r="AM1104" i="1"/>
  <c r="AM1121" i="1" s="1"/>
  <c r="AM218" i="1"/>
  <c r="AM219" i="1" s="1"/>
  <c r="AM502" i="1" s="1"/>
  <c r="AM504" i="1" s="1"/>
  <c r="AM222" i="1"/>
  <c r="AM438" i="1" s="1"/>
  <c r="AM441" i="1" s="1"/>
  <c r="AM706" i="1" s="1"/>
  <c r="AM429" i="1"/>
  <c r="AM434" i="1"/>
  <c r="AM692" i="1" s="1"/>
  <c r="AN21" i="12"/>
  <c r="AN86" i="12" s="1"/>
  <c r="AN428" i="1"/>
  <c r="AJ867" i="1"/>
  <c r="AO24" i="12"/>
  <c r="AO89" i="12" s="1"/>
  <c r="AQ230" i="31"/>
  <c r="AQ234" i="31" s="1"/>
  <c r="AO308" i="1"/>
  <c r="AO967" i="1"/>
  <c r="AQ1117" i="1"/>
  <c r="AQ1122" i="1" s="1"/>
  <c r="AQ14" i="7" s="1"/>
  <c r="AQ28" i="7" s="1"/>
  <c r="AO333" i="1"/>
  <c r="AO597" i="1"/>
  <c r="AO468" i="1"/>
  <c r="AQ248" i="1"/>
  <c r="AQ254" i="1" s="1"/>
  <c r="AP241" i="31"/>
  <c r="AP489" i="1" s="1"/>
  <c r="AQ80" i="12"/>
  <c r="AO23" i="12"/>
  <c r="AO88" i="12" s="1"/>
  <c r="AO596" i="1"/>
  <c r="AO310" i="1"/>
  <c r="AO250" i="31"/>
  <c r="AO589" i="1"/>
  <c r="AO969" i="1"/>
  <c r="AO725" i="1"/>
  <c r="AO735" i="1" s="1"/>
  <c r="AO745" i="1" s="1"/>
  <c r="AO26" i="12"/>
  <c r="AO91" i="12" s="1"/>
  <c r="AO127" i="7" s="1"/>
  <c r="AO128" i="7" s="1"/>
  <c r="AP234" i="31"/>
  <c r="AP177" i="1" s="1"/>
  <c r="AO722" i="1"/>
  <c r="AO732" i="1" s="1"/>
  <c r="AO742" i="1" s="1"/>
  <c r="AO19" i="12"/>
  <c r="AO84" i="12" s="1"/>
  <c r="AO236" i="31"/>
  <c r="AO303" i="1" s="1"/>
  <c r="AO488" i="1"/>
  <c r="AO588" i="1"/>
  <c r="AL217" i="12"/>
  <c r="AL230" i="12" s="1"/>
  <c r="AL285" i="12" s="1"/>
  <c r="AL185" i="12"/>
  <c r="AO966" i="1"/>
  <c r="AO968" i="1"/>
  <c r="AO970" i="1"/>
  <c r="AO27" i="12"/>
  <c r="AO92" i="12" s="1"/>
  <c r="AP242" i="31"/>
  <c r="AP145" i="1" s="1"/>
  <c r="AP235" i="31"/>
  <c r="AP20" i="12" s="1"/>
  <c r="AP85" i="12" s="1"/>
  <c r="AO309" i="1"/>
  <c r="AO724" i="1"/>
  <c r="AO734" i="1" s="1"/>
  <c r="AO744" i="1" s="1"/>
  <c r="AO779" i="1" s="1"/>
  <c r="AL703" i="1"/>
  <c r="AP238" i="31"/>
  <c r="AP596" i="1" s="1"/>
  <c r="AP232" i="31"/>
  <c r="AP199" i="1" s="1"/>
  <c r="AP200" i="1" s="1"/>
  <c r="AP240" i="31"/>
  <c r="AP309" i="1" s="1"/>
  <c r="AO249" i="31"/>
  <c r="AO25" i="12"/>
  <c r="AO90" i="12" s="1"/>
  <c r="AP239" i="31"/>
  <c r="AP308" i="1" s="1"/>
  <c r="AL1042" i="1"/>
  <c r="AL706" i="1"/>
  <c r="AL223" i="1"/>
  <c r="AL439" i="1" s="1"/>
  <c r="AL442" i="1" s="1"/>
  <c r="AL446" i="1" s="1"/>
  <c r="AO251" i="31"/>
  <c r="AM155" i="1"/>
  <c r="AO145" i="1"/>
  <c r="AP1120" i="1"/>
  <c r="AP12" i="7" s="1"/>
  <c r="AP26" i="7" s="1"/>
  <c r="AL502" i="1"/>
  <c r="AL504" i="1" s="1"/>
  <c r="AM193" i="12"/>
  <c r="AL305" i="1"/>
  <c r="AL430" i="1" s="1"/>
  <c r="AN248" i="31"/>
  <c r="AN252" i="31" s="1"/>
  <c r="AN41" i="12" s="1"/>
  <c r="AN138" i="12" s="1"/>
  <c r="AM1151" i="1"/>
  <c r="AN598" i="1"/>
  <c r="AN599" i="1" s="1"/>
  <c r="AN778" i="1"/>
  <c r="AM33" i="12"/>
  <c r="AM130" i="12" s="1"/>
  <c r="AM167" i="12" s="1"/>
  <c r="AM65" i="12"/>
  <c r="AM67" i="12" s="1"/>
  <c r="AM72" i="12" s="1"/>
  <c r="AN178" i="1"/>
  <c r="AN185" i="1" s="1"/>
  <c r="AN212" i="1" s="1"/>
  <c r="AN214" i="1" s="1"/>
  <c r="AN304" i="1" s="1"/>
  <c r="AN217" i="1"/>
  <c r="AN298" i="1"/>
  <c r="AN245" i="31"/>
  <c r="AN30" i="12" s="1"/>
  <c r="AN95" i="12" s="1"/>
  <c r="AK853" i="1"/>
  <c r="AK857" i="1" s="1"/>
  <c r="AK891" i="1" s="1"/>
  <c r="AK1004" i="1"/>
  <c r="AK707" i="1"/>
  <c r="AL169" i="12"/>
  <c r="AL174" i="12" s="1"/>
  <c r="AN895" i="1"/>
  <c r="AN870" i="1"/>
  <c r="AM892" i="1"/>
  <c r="AM758" i="1"/>
  <c r="M812" i="1"/>
  <c r="M816" i="1" s="1"/>
  <c r="L820" i="1"/>
  <c r="AS948" i="1"/>
  <c r="AS959" i="1" s="1"/>
  <c r="AS211" i="31"/>
  <c r="AS212" i="31" s="1"/>
  <c r="AS282" i="12" s="1"/>
  <c r="AT192" i="31"/>
  <c r="AS272" i="12"/>
  <c r="AO733" i="1"/>
  <c r="AO743" i="1" s="1"/>
  <c r="AR312" i="1"/>
  <c r="AR474" i="1"/>
  <c r="AR478" i="1" s="1"/>
  <c r="AR496" i="1" s="1"/>
  <c r="AR1103" i="1"/>
  <c r="AR727" i="1"/>
  <c r="AR747" i="1" s="1"/>
  <c r="AR768" i="1" s="1"/>
  <c r="AR772" i="1" s="1"/>
  <c r="AO116" i="1"/>
  <c r="AN779" i="1"/>
  <c r="AN894" i="1"/>
  <c r="AL13" i="7"/>
  <c r="AL27" i="7" s="1"/>
  <c r="AS207" i="31"/>
  <c r="AS208" i="31" s="1"/>
  <c r="AS182" i="12" s="1"/>
  <c r="AS163" i="1"/>
  <c r="AS164" i="1" s="1"/>
  <c r="AS172" i="1" s="1"/>
  <c r="AS485" i="1" s="1"/>
  <c r="AS497" i="1" s="1"/>
  <c r="AS199" i="31"/>
  <c r="AS200" i="31" s="1"/>
  <c r="AS172" i="12"/>
  <c r="AS947" i="1"/>
  <c r="AS958" i="1" s="1"/>
  <c r="AS70" i="12"/>
  <c r="AT174" i="31"/>
  <c r="AQ777" i="1"/>
  <c r="AQ897" i="1"/>
  <c r="K837" i="1"/>
  <c r="K839" i="1" s="1"/>
  <c r="K832" i="1"/>
  <c r="AN758" i="1"/>
  <c r="AN892" i="1"/>
  <c r="AR248" i="1"/>
  <c r="AR254" i="1" s="1"/>
  <c r="AR1117" i="1"/>
  <c r="AR1122" i="1" s="1"/>
  <c r="AR14" i="7" s="1"/>
  <c r="AR28" i="7" s="1"/>
  <c r="AR80" i="12"/>
  <c r="AR230" i="31"/>
  <c r="AR196" i="1"/>
  <c r="AR197" i="1" s="1"/>
  <c r="AM1042" i="1" l="1"/>
  <c r="AM223" i="1"/>
  <c r="AM439" i="1" s="1"/>
  <c r="AM442" i="1" s="1"/>
  <c r="AM446" i="1" s="1"/>
  <c r="AM445" i="1"/>
  <c r="AO245" i="31"/>
  <c r="AO1151" i="1" s="1"/>
  <c r="AO428" i="1"/>
  <c r="AO435" i="1" s="1"/>
  <c r="AO697" i="1" s="1"/>
  <c r="AN434" i="1"/>
  <c r="AN692" i="1" s="1"/>
  <c r="AN435" i="1"/>
  <c r="AN697" i="1" s="1"/>
  <c r="AQ232" i="31"/>
  <c r="AQ199" i="1" s="1"/>
  <c r="AQ200" i="1" s="1"/>
  <c r="AQ240" i="31"/>
  <c r="AQ469" i="1" s="1"/>
  <c r="AQ235" i="31"/>
  <c r="AQ20" i="12" s="1"/>
  <c r="AQ85" i="12" s="1"/>
  <c r="AQ242" i="31"/>
  <c r="AQ145" i="1" s="1"/>
  <c r="AQ243" i="31"/>
  <c r="AQ28" i="12" s="1"/>
  <c r="AQ93" i="12" s="1"/>
  <c r="AQ238" i="31"/>
  <c r="AQ966" i="1" s="1"/>
  <c r="AQ239" i="31"/>
  <c r="AQ597" i="1" s="1"/>
  <c r="AQ241" i="31"/>
  <c r="AQ489" i="1" s="1"/>
  <c r="AQ1120" i="1"/>
  <c r="AQ12" i="7" s="1"/>
  <c r="AQ26" i="7" s="1"/>
  <c r="AO598" i="1"/>
  <c r="AO599" i="1" s="1"/>
  <c r="AP310" i="1"/>
  <c r="AP250" i="31"/>
  <c r="AL267" i="12"/>
  <c r="AL269" i="12" s="1"/>
  <c r="AL274" i="12" s="1"/>
  <c r="AP725" i="1"/>
  <c r="AP735" i="1" s="1"/>
  <c r="AP745" i="1" s="1"/>
  <c r="AP870" i="1" s="1"/>
  <c r="AP19" i="12"/>
  <c r="AP84" i="12" s="1"/>
  <c r="AP589" i="1"/>
  <c r="AP26" i="12"/>
  <c r="AP91" i="12" s="1"/>
  <c r="AP127" i="7" s="1"/>
  <c r="AP128" i="7" s="1"/>
  <c r="AP969" i="1"/>
  <c r="AP24" i="12"/>
  <c r="AP89" i="12" s="1"/>
  <c r="AP333" i="1"/>
  <c r="AP27" i="12"/>
  <c r="AP92" i="12" s="1"/>
  <c r="AP104" i="1"/>
  <c r="AP970" i="1"/>
  <c r="AP966" i="1"/>
  <c r="AP251" i="31"/>
  <c r="AP723" i="1"/>
  <c r="AP733" i="1" s="1"/>
  <c r="AP743" i="1" s="1"/>
  <c r="AP893" i="1" s="1"/>
  <c r="AO178" i="1"/>
  <c r="AO185" i="1" s="1"/>
  <c r="AO212" i="1" s="1"/>
  <c r="AO214" i="1" s="1"/>
  <c r="AO218" i="1" s="1"/>
  <c r="AO21" i="12"/>
  <c r="AO86" i="12" s="1"/>
  <c r="AO248" i="31"/>
  <c r="AO252" i="31" s="1"/>
  <c r="AO41" i="12" s="1"/>
  <c r="AO138" i="12" s="1"/>
  <c r="AO225" i="12" s="1"/>
  <c r="AO238" i="12" s="1"/>
  <c r="AO293" i="12" s="1"/>
  <c r="AO298" i="1"/>
  <c r="AO217" i="1"/>
  <c r="AP23" i="12"/>
  <c r="AP88" i="12" s="1"/>
  <c r="AM703" i="1"/>
  <c r="AP488" i="1"/>
  <c r="AM532" i="1"/>
  <c r="AM305" i="1"/>
  <c r="AM430" i="1" s="1"/>
  <c r="AP468" i="1"/>
  <c r="AP307" i="1"/>
  <c r="AP722" i="1"/>
  <c r="AP732" i="1" s="1"/>
  <c r="AP236" i="31"/>
  <c r="AP303" i="1" s="1"/>
  <c r="AP597" i="1"/>
  <c r="AP598" i="1" s="1"/>
  <c r="AP967" i="1"/>
  <c r="AP588" i="1"/>
  <c r="AO894" i="1"/>
  <c r="AP724" i="1"/>
  <c r="AP734" i="1" s="1"/>
  <c r="AP744" i="1" s="1"/>
  <c r="AP779" i="1" s="1"/>
  <c r="AL707" i="1"/>
  <c r="AL1004" i="1"/>
  <c r="AP469" i="1"/>
  <c r="AP249" i="31"/>
  <c r="AP968" i="1"/>
  <c r="AP25" i="12"/>
  <c r="AP90" i="12" s="1"/>
  <c r="AN155" i="1"/>
  <c r="AL853" i="1"/>
  <c r="AL857" i="1" s="1"/>
  <c r="AN225" i="12"/>
  <c r="AN238" i="12" s="1"/>
  <c r="AN293" i="12" s="1"/>
  <c r="AN193" i="12"/>
  <c r="AM185" i="12"/>
  <c r="AM217" i="12"/>
  <c r="AM230" i="12" s="1"/>
  <c r="AM285" i="12" s="1"/>
  <c r="AN1104" i="1"/>
  <c r="AN1121" i="1" s="1"/>
  <c r="AN429" i="1"/>
  <c r="AN222" i="1"/>
  <c r="AN438" i="1" s="1"/>
  <c r="AN441" i="1" s="1"/>
  <c r="AN218" i="1"/>
  <c r="AN219" i="1" s="1"/>
  <c r="AN532" i="1" s="1"/>
  <c r="AN1151" i="1"/>
  <c r="AN33" i="12"/>
  <c r="AN130" i="12" s="1"/>
  <c r="AN185" i="12" s="1"/>
  <c r="AN65" i="12"/>
  <c r="AN67" i="12" s="1"/>
  <c r="AN72" i="12" s="1"/>
  <c r="AK867" i="1"/>
  <c r="AM169" i="12"/>
  <c r="AM174" i="12" s="1"/>
  <c r="AO758" i="1"/>
  <c r="AO892" i="1"/>
  <c r="AO778" i="1"/>
  <c r="AO893" i="1"/>
  <c r="K869" i="1"/>
  <c r="AQ19" i="12"/>
  <c r="AQ84" i="12" s="1"/>
  <c r="AQ177" i="1"/>
  <c r="AS312" i="1"/>
  <c r="AS1103" i="1"/>
  <c r="AS727" i="1"/>
  <c r="AS747" i="1" s="1"/>
  <c r="AS768" i="1" s="1"/>
  <c r="AS772" i="1" s="1"/>
  <c r="AS474" i="1"/>
  <c r="AS478" i="1" s="1"/>
  <c r="AS496" i="1" s="1"/>
  <c r="AT272" i="12"/>
  <c r="AT211" i="31"/>
  <c r="AT212" i="31" s="1"/>
  <c r="AT282" i="12" s="1"/>
  <c r="AT948" i="1"/>
  <c r="AT959" i="1" s="1"/>
  <c r="AU192" i="31"/>
  <c r="M820" i="1"/>
  <c r="N812" i="1"/>
  <c r="N816" i="1" s="1"/>
  <c r="AO895" i="1"/>
  <c r="AO870" i="1"/>
  <c r="AM13" i="7"/>
  <c r="AM27" i="7" s="1"/>
  <c r="AR777" i="1"/>
  <c r="AR897" i="1"/>
  <c r="AN765" i="1"/>
  <c r="AN868" i="1" s="1"/>
  <c r="AN764" i="1"/>
  <c r="AN776" i="1" s="1"/>
  <c r="AR1120" i="1"/>
  <c r="AM765" i="1"/>
  <c r="AM868" i="1" s="1"/>
  <c r="AM764" i="1"/>
  <c r="AM776" i="1" s="1"/>
  <c r="AR235" i="31"/>
  <c r="AR20" i="12" s="1"/>
  <c r="AR85" i="12" s="1"/>
  <c r="AR240" i="31"/>
  <c r="AR242" i="31"/>
  <c r="AR239" i="31"/>
  <c r="AR238" i="31"/>
  <c r="AR234" i="31"/>
  <c r="AR241" i="31"/>
  <c r="AR243" i="31"/>
  <c r="AR28" i="12" s="1"/>
  <c r="AR93" i="12" s="1"/>
  <c r="AR232" i="31"/>
  <c r="AR199" i="1" s="1"/>
  <c r="AR200" i="1" s="1"/>
  <c r="AT207" i="31"/>
  <c r="AT208" i="31" s="1"/>
  <c r="AT182" i="12" s="1"/>
  <c r="AT163" i="1"/>
  <c r="AT164" i="1" s="1"/>
  <c r="AT172" i="1" s="1"/>
  <c r="AT485" i="1" s="1"/>
  <c r="AT497" i="1" s="1"/>
  <c r="AT70" i="12"/>
  <c r="AT199" i="31"/>
  <c r="AT200" i="31" s="1"/>
  <c r="AT172" i="12"/>
  <c r="AU174" i="31"/>
  <c r="AT947" i="1"/>
  <c r="AT958" i="1" s="1"/>
  <c r="AS196" i="1"/>
  <c r="AS197" i="1" s="1"/>
  <c r="AS248" i="1"/>
  <c r="AS254" i="1" s="1"/>
  <c r="AS230" i="31"/>
  <c r="AS80" i="12"/>
  <c r="AS1117" i="1"/>
  <c r="AS1122" i="1" s="1"/>
  <c r="AS14" i="7" s="1"/>
  <c r="AS28" i="7" s="1"/>
  <c r="L832" i="1"/>
  <c r="L837" i="1"/>
  <c r="L839" i="1" s="1"/>
  <c r="L869" i="1" s="1"/>
  <c r="AO30" i="12" l="1"/>
  <c r="AO95" i="12" s="1"/>
  <c r="AO33" i="12"/>
  <c r="AO130" i="12" s="1"/>
  <c r="AO167" i="12" s="1"/>
  <c r="AM1004" i="1"/>
  <c r="AO65" i="12"/>
  <c r="AO67" i="12" s="1"/>
  <c r="AO72" i="12" s="1"/>
  <c r="AO155" i="1"/>
  <c r="AM707" i="1"/>
  <c r="AM853" i="1"/>
  <c r="AM857" i="1" s="1"/>
  <c r="AM867" i="1" s="1"/>
  <c r="AN445" i="1"/>
  <c r="AO434" i="1"/>
  <c r="AO692" i="1" s="1"/>
  <c r="AP217" i="1"/>
  <c r="AP428" i="1"/>
  <c r="AP435" i="1" s="1"/>
  <c r="AP697" i="1" s="1"/>
  <c r="AQ967" i="1"/>
  <c r="AQ588" i="1"/>
  <c r="AQ25" i="12"/>
  <c r="AQ90" i="12" s="1"/>
  <c r="AQ27" i="12"/>
  <c r="AQ92" i="12" s="1"/>
  <c r="AQ968" i="1"/>
  <c r="AQ309" i="1"/>
  <c r="AQ249" i="31"/>
  <c r="AQ724" i="1"/>
  <c r="AQ734" i="1" s="1"/>
  <c r="AQ744" i="1" s="1"/>
  <c r="AQ308" i="1"/>
  <c r="AQ596" i="1"/>
  <c r="AQ598" i="1" s="1"/>
  <c r="AQ970" i="1"/>
  <c r="AQ969" i="1"/>
  <c r="AQ251" i="31"/>
  <c r="AQ104" i="1"/>
  <c r="AQ236" i="31"/>
  <c r="AQ303" i="1" s="1"/>
  <c r="AQ310" i="1"/>
  <c r="AQ333" i="1"/>
  <c r="AQ307" i="1"/>
  <c r="AQ722" i="1"/>
  <c r="AQ732" i="1" s="1"/>
  <c r="AQ23" i="12"/>
  <c r="AQ88" i="12" s="1"/>
  <c r="AQ488" i="1"/>
  <c r="AQ589" i="1"/>
  <c r="AQ725" i="1"/>
  <c r="AQ735" i="1" s="1"/>
  <c r="AQ745" i="1" s="1"/>
  <c r="AQ24" i="12"/>
  <c r="AQ89" i="12" s="1"/>
  <c r="AQ468" i="1"/>
  <c r="AQ26" i="12"/>
  <c r="AQ91" i="12" s="1"/>
  <c r="AQ127" i="7" s="1"/>
  <c r="AQ128" i="7" s="1"/>
  <c r="AQ250" i="31"/>
  <c r="AQ723" i="1"/>
  <c r="AQ733" i="1" s="1"/>
  <c r="AQ743" i="1" s="1"/>
  <c r="AQ893" i="1" s="1"/>
  <c r="AP895" i="1"/>
  <c r="AP778" i="1"/>
  <c r="AO222" i="1"/>
  <c r="AO438" i="1" s="1"/>
  <c r="AO441" i="1" s="1"/>
  <c r="AO304" i="1"/>
  <c r="AO1104" i="1"/>
  <c r="AO1121" i="1" s="1"/>
  <c r="AO429" i="1"/>
  <c r="AO219" i="1"/>
  <c r="AO703" i="1" s="1"/>
  <c r="AP298" i="1"/>
  <c r="AP245" i="31"/>
  <c r="AP30" i="12" s="1"/>
  <c r="AP95" i="12" s="1"/>
  <c r="AP21" i="12"/>
  <c r="AP86" i="12" s="1"/>
  <c r="AP178" i="1"/>
  <c r="AP185" i="1" s="1"/>
  <c r="AP212" i="1" s="1"/>
  <c r="AP214" i="1" s="1"/>
  <c r="AP304" i="1" s="1"/>
  <c r="AP248" i="31"/>
  <c r="AP252" i="31" s="1"/>
  <c r="AP41" i="12" s="1"/>
  <c r="AP138" i="12" s="1"/>
  <c r="AP225" i="12" s="1"/>
  <c r="AP238" i="12" s="1"/>
  <c r="AP293" i="12" s="1"/>
  <c r="AP894" i="1"/>
  <c r="AO193" i="12"/>
  <c r="AN706" i="1"/>
  <c r="AN1042" i="1"/>
  <c r="AM267" i="12"/>
  <c r="AM269" i="12" s="1"/>
  <c r="AM274" i="12" s="1"/>
  <c r="AN223" i="1"/>
  <c r="AN439" i="1" s="1"/>
  <c r="AN442" i="1" s="1"/>
  <c r="AN853" i="1" s="1"/>
  <c r="AN857" i="1" s="1"/>
  <c r="AL867" i="1"/>
  <c r="AL891" i="1"/>
  <c r="AN305" i="1"/>
  <c r="AN430" i="1" s="1"/>
  <c r="AN502" i="1"/>
  <c r="AN504" i="1" s="1"/>
  <c r="AN703" i="1"/>
  <c r="AN217" i="12"/>
  <c r="AN230" i="12" s="1"/>
  <c r="AN267" i="12" s="1"/>
  <c r="AN167" i="12"/>
  <c r="AN169" i="12" s="1"/>
  <c r="AN174" i="12" s="1"/>
  <c r="AP599" i="1"/>
  <c r="AR177" i="1"/>
  <c r="AR236" i="31"/>
  <c r="AR19" i="12"/>
  <c r="AR84" i="12" s="1"/>
  <c r="AR469" i="1"/>
  <c r="AR724" i="1"/>
  <c r="AR25" i="12"/>
  <c r="AR90" i="12" s="1"/>
  <c r="AR309" i="1"/>
  <c r="AR588" i="1"/>
  <c r="AR968" i="1"/>
  <c r="AR249" i="31"/>
  <c r="AR12" i="7"/>
  <c r="AR26" i="7" s="1"/>
  <c r="N820" i="1"/>
  <c r="O812" i="1"/>
  <c r="AS1120" i="1"/>
  <c r="AN13" i="7"/>
  <c r="AN27" i="7" s="1"/>
  <c r="L908" i="1"/>
  <c r="AS242" i="31"/>
  <c r="AS238" i="31"/>
  <c r="AS235" i="31"/>
  <c r="AS20" i="12" s="1"/>
  <c r="AS85" i="12" s="1"/>
  <c r="AS240" i="31"/>
  <c r="AS239" i="31"/>
  <c r="AS241" i="31"/>
  <c r="AS232" i="31"/>
  <c r="AS199" i="1" s="1"/>
  <c r="AS200" i="1" s="1"/>
  <c r="AS234" i="31"/>
  <c r="AS243" i="31"/>
  <c r="AS28" i="12" s="1"/>
  <c r="AS93" i="12" s="1"/>
  <c r="AU172" i="12"/>
  <c r="AU199" i="31"/>
  <c r="AU200" i="31" s="1"/>
  <c r="AU947" i="1"/>
  <c r="AU958" i="1" s="1"/>
  <c r="AU70" i="12"/>
  <c r="AU163" i="1"/>
  <c r="AU164" i="1" s="1"/>
  <c r="AU172" i="1" s="1"/>
  <c r="AU485" i="1" s="1"/>
  <c r="AU497" i="1" s="1"/>
  <c r="AU207" i="31"/>
  <c r="AU208" i="31" s="1"/>
  <c r="AU182" i="12" s="1"/>
  <c r="AV174" i="31"/>
  <c r="AT1103" i="1"/>
  <c r="AT312" i="1"/>
  <c r="AT727" i="1"/>
  <c r="AT747" i="1" s="1"/>
  <c r="AT768" i="1" s="1"/>
  <c r="AT772" i="1" s="1"/>
  <c r="AT474" i="1"/>
  <c r="AT478" i="1" s="1"/>
  <c r="AT496" i="1" s="1"/>
  <c r="AR596" i="1"/>
  <c r="AR23" i="12"/>
  <c r="AR88" i="12" s="1"/>
  <c r="AR307" i="1"/>
  <c r="AR488" i="1"/>
  <c r="AR966" i="1"/>
  <c r="AR722" i="1"/>
  <c r="M832" i="1"/>
  <c r="M837" i="1"/>
  <c r="M839" i="1" s="1"/>
  <c r="AP742" i="1"/>
  <c r="AR723" i="1"/>
  <c r="AR733" i="1" s="1"/>
  <c r="AR743" i="1" s="1"/>
  <c r="AR308" i="1"/>
  <c r="AR468" i="1"/>
  <c r="AR597" i="1"/>
  <c r="AR24" i="12"/>
  <c r="AR89" i="12" s="1"/>
  <c r="AR967" i="1"/>
  <c r="AR333" i="1"/>
  <c r="AV192" i="31"/>
  <c r="AU272" i="12"/>
  <c r="AU948" i="1"/>
  <c r="AU959" i="1" s="1"/>
  <c r="AU211" i="31"/>
  <c r="AU212" i="31" s="1"/>
  <c r="AU282" i="12" s="1"/>
  <c r="K908" i="1"/>
  <c r="AO765" i="1"/>
  <c r="AO868" i="1" s="1"/>
  <c r="AO764" i="1"/>
  <c r="AO776" i="1" s="1"/>
  <c r="AT248" i="1"/>
  <c r="AT254" i="1" s="1"/>
  <c r="AT1117" i="1"/>
  <c r="AT1122" i="1" s="1"/>
  <c r="AT14" i="7" s="1"/>
  <c r="AT28" i="7" s="1"/>
  <c r="AT80" i="12"/>
  <c r="AT196" i="1"/>
  <c r="AT197" i="1" s="1"/>
  <c r="AT230" i="31"/>
  <c r="AR489" i="1"/>
  <c r="AR250" i="31"/>
  <c r="AR589" i="1"/>
  <c r="AR26" i="12"/>
  <c r="AR91" i="12" s="1"/>
  <c r="AR127" i="7" s="1"/>
  <c r="AR128" i="7" s="1"/>
  <c r="AR969" i="1"/>
  <c r="AR725" i="1"/>
  <c r="AR310" i="1"/>
  <c r="AR970" i="1"/>
  <c r="AR27" i="12"/>
  <c r="AR92" i="12" s="1"/>
  <c r="AR104" i="1"/>
  <c r="AR251" i="31"/>
  <c r="AR145" i="1"/>
  <c r="AS897" i="1"/>
  <c r="AS777" i="1"/>
  <c r="AR428" i="1" l="1"/>
  <c r="AR435" i="1" s="1"/>
  <c r="AR303" i="1"/>
  <c r="AO185" i="12"/>
  <c r="AO217" i="12"/>
  <c r="AO230" i="12" s="1"/>
  <c r="AO285" i="12" s="1"/>
  <c r="AM891" i="1"/>
  <c r="AO445" i="1"/>
  <c r="AP434" i="1"/>
  <c r="AP692" i="1" s="1"/>
  <c r="AQ248" i="31"/>
  <c r="AQ252" i="31" s="1"/>
  <c r="AQ41" i="12" s="1"/>
  <c r="AQ138" i="12" s="1"/>
  <c r="AQ225" i="12" s="1"/>
  <c r="AQ238" i="12" s="1"/>
  <c r="AQ293" i="12" s="1"/>
  <c r="AQ428" i="1"/>
  <c r="AQ217" i="1"/>
  <c r="AQ298" i="1"/>
  <c r="AQ245" i="31"/>
  <c r="AQ30" i="12" s="1"/>
  <c r="AQ95" i="12" s="1"/>
  <c r="AQ21" i="12"/>
  <c r="AQ86" i="12" s="1"/>
  <c r="AQ178" i="1"/>
  <c r="AQ185" i="1" s="1"/>
  <c r="AQ212" i="1" s="1"/>
  <c r="AQ214" i="1" s="1"/>
  <c r="AQ1104" i="1" s="1"/>
  <c r="AQ778" i="1"/>
  <c r="AO706" i="1"/>
  <c r="AO223" i="1"/>
  <c r="AO439" i="1" s="1"/>
  <c r="AO442" i="1" s="1"/>
  <c r="AO1004" i="1" s="1"/>
  <c r="AO1042" i="1"/>
  <c r="AO532" i="1"/>
  <c r="AO502" i="1"/>
  <c r="AO504" i="1" s="1"/>
  <c r="AO305" i="1"/>
  <c r="AO430" i="1" s="1"/>
  <c r="AP1104" i="1"/>
  <c r="AP1121" i="1" s="1"/>
  <c r="AP429" i="1"/>
  <c r="AP222" i="1"/>
  <c r="AP438" i="1" s="1"/>
  <c r="AP441" i="1" s="1"/>
  <c r="AP218" i="1"/>
  <c r="AP219" i="1" s="1"/>
  <c r="AP703" i="1" s="1"/>
  <c r="AP1151" i="1"/>
  <c r="AP33" i="12"/>
  <c r="AP130" i="12" s="1"/>
  <c r="AP167" i="12" s="1"/>
  <c r="AN446" i="1"/>
  <c r="AP155" i="1"/>
  <c r="AP65" i="12"/>
  <c r="AP67" i="12" s="1"/>
  <c r="AP72" i="12" s="1"/>
  <c r="AP193" i="12"/>
  <c r="AN707" i="1"/>
  <c r="AN1004" i="1"/>
  <c r="AN269" i="12"/>
  <c r="AN274" i="12" s="1"/>
  <c r="AN285" i="12"/>
  <c r="AQ599" i="1"/>
  <c r="AO169" i="12"/>
  <c r="AO174" i="12" s="1"/>
  <c r="AQ779" i="1"/>
  <c r="AQ894" i="1"/>
  <c r="AQ870" i="1"/>
  <c r="AQ895" i="1"/>
  <c r="AS596" i="1"/>
  <c r="AS23" i="12"/>
  <c r="AS88" i="12" s="1"/>
  <c r="AS488" i="1"/>
  <c r="AS307" i="1"/>
  <c r="AS966" i="1"/>
  <c r="AS722" i="1"/>
  <c r="AS12" i="7"/>
  <c r="AS26" i="7" s="1"/>
  <c r="AR116" i="1"/>
  <c r="AR735" i="1"/>
  <c r="AR745" i="1" s="1"/>
  <c r="AV948" i="1"/>
  <c r="AV959" i="1" s="1"/>
  <c r="AW192" i="31"/>
  <c r="AV211" i="31"/>
  <c r="AV212" i="31" s="1"/>
  <c r="AV282" i="12" s="1"/>
  <c r="AV272" i="12"/>
  <c r="AN891" i="1"/>
  <c r="AN867" i="1"/>
  <c r="M869" i="1"/>
  <c r="AR598" i="1"/>
  <c r="AT1120" i="1"/>
  <c r="AS333" i="1"/>
  <c r="AS597" i="1"/>
  <c r="AS967" i="1"/>
  <c r="AS24" i="12"/>
  <c r="AS89" i="12" s="1"/>
  <c r="AS468" i="1"/>
  <c r="AS723" i="1"/>
  <c r="AS308" i="1"/>
  <c r="AS970" i="1"/>
  <c r="AS145" i="1"/>
  <c r="AS27" i="12"/>
  <c r="AS92" i="12" s="1"/>
  <c r="AS251" i="31"/>
  <c r="AS104" i="1"/>
  <c r="AR434" i="1"/>
  <c r="AR732" i="1"/>
  <c r="AR742" i="1" s="1"/>
  <c r="AU1103" i="1"/>
  <c r="AU312" i="1"/>
  <c r="AU474" i="1"/>
  <c r="AU478" i="1" s="1"/>
  <c r="AU496" i="1" s="1"/>
  <c r="AU727" i="1"/>
  <c r="AU747" i="1" s="1"/>
  <c r="AU768" i="1" s="1"/>
  <c r="AU772" i="1" s="1"/>
  <c r="AR893" i="1"/>
  <c r="AR778" i="1"/>
  <c r="AV207" i="31"/>
  <c r="AV208" i="31" s="1"/>
  <c r="AV182" i="12" s="1"/>
  <c r="AV172" i="12"/>
  <c r="AV199" i="31"/>
  <c r="AV200" i="31" s="1"/>
  <c r="AV70" i="12"/>
  <c r="AV163" i="1"/>
  <c r="AV164" i="1" s="1"/>
  <c r="AV172" i="1" s="1"/>
  <c r="AV485" i="1" s="1"/>
  <c r="AV497" i="1" s="1"/>
  <c r="AV947" i="1"/>
  <c r="AV958" i="1" s="1"/>
  <c r="AW174" i="31"/>
  <c r="AS177" i="1"/>
  <c r="AS19" i="12"/>
  <c r="AS84" i="12" s="1"/>
  <c r="AS236" i="31"/>
  <c r="AS968" i="1"/>
  <c r="AS469" i="1"/>
  <c r="AS724" i="1"/>
  <c r="AS734" i="1" s="1"/>
  <c r="AS744" i="1" s="1"/>
  <c r="AS249" i="31"/>
  <c r="AS309" i="1"/>
  <c r="AS25" i="12"/>
  <c r="AS90" i="12" s="1"/>
  <c r="AS588" i="1"/>
  <c r="N837" i="1"/>
  <c r="N839" i="1" s="1"/>
  <c r="N832" i="1"/>
  <c r="AQ742" i="1"/>
  <c r="AO13" i="7"/>
  <c r="AO27" i="7" s="1"/>
  <c r="AP892" i="1"/>
  <c r="AP758" i="1"/>
  <c r="AS310" i="1"/>
  <c r="AS725" i="1"/>
  <c r="AS735" i="1" s="1"/>
  <c r="AS745" i="1" s="1"/>
  <c r="AS489" i="1"/>
  <c r="AS969" i="1"/>
  <c r="AS250" i="31"/>
  <c r="AS589" i="1"/>
  <c r="AS26" i="12"/>
  <c r="AS91" i="12" s="1"/>
  <c r="AS127" i="7" s="1"/>
  <c r="AS128" i="7" s="1"/>
  <c r="AT232" i="31"/>
  <c r="AT199" i="1" s="1"/>
  <c r="AT200" i="1" s="1"/>
  <c r="AT234" i="31"/>
  <c r="AT243" i="31"/>
  <c r="AT28" i="12" s="1"/>
  <c r="AT93" i="12" s="1"/>
  <c r="AT242" i="31"/>
  <c r="AT241" i="31"/>
  <c r="AT235" i="31"/>
  <c r="AT20" i="12" s="1"/>
  <c r="AT85" i="12" s="1"/>
  <c r="AT238" i="31"/>
  <c r="AT239" i="31"/>
  <c r="AT240" i="31"/>
  <c r="AT777" i="1"/>
  <c r="AT897" i="1"/>
  <c r="AU80" i="12"/>
  <c r="AU1117" i="1"/>
  <c r="AU1122" i="1" s="1"/>
  <c r="AU14" i="7" s="1"/>
  <c r="AU28" i="7" s="1"/>
  <c r="AU248" i="1"/>
  <c r="AU254" i="1" s="1"/>
  <c r="AU230" i="31"/>
  <c r="AU196" i="1"/>
  <c r="AU197" i="1" s="1"/>
  <c r="AR734" i="1"/>
  <c r="AR744" i="1" s="1"/>
  <c r="AR298" i="1"/>
  <c r="AR217" i="1"/>
  <c r="AR21" i="12"/>
  <c r="AR86" i="12" s="1"/>
  <c r="AR248" i="31"/>
  <c r="AR252" i="31" s="1"/>
  <c r="AR41" i="12" s="1"/>
  <c r="AR138" i="12" s="1"/>
  <c r="AR178" i="1"/>
  <c r="AR185" i="1" s="1"/>
  <c r="AR212" i="1" s="1"/>
  <c r="AR214" i="1" s="1"/>
  <c r="AR245" i="31"/>
  <c r="AS428" i="1" l="1"/>
  <c r="AS435" i="1" s="1"/>
  <c r="AS303" i="1"/>
  <c r="AO267" i="12"/>
  <c r="AO269" i="12" s="1"/>
  <c r="AO274" i="12" s="1"/>
  <c r="AP445" i="1"/>
  <c r="AQ435" i="1"/>
  <c r="AQ697" i="1" s="1"/>
  <c r="AQ434" i="1"/>
  <c r="AQ692" i="1" s="1"/>
  <c r="AQ193" i="12"/>
  <c r="AQ218" i="1"/>
  <c r="AQ219" i="1" s="1"/>
  <c r="AQ502" i="1" s="1"/>
  <c r="AQ504" i="1" s="1"/>
  <c r="AQ222" i="1"/>
  <c r="AQ438" i="1" s="1"/>
  <c r="AQ441" i="1" s="1"/>
  <c r="AQ304" i="1"/>
  <c r="AQ429" i="1"/>
  <c r="AQ155" i="1"/>
  <c r="AQ1151" i="1"/>
  <c r="AQ65" i="12"/>
  <c r="AQ67" i="12" s="1"/>
  <c r="AQ72" i="12" s="1"/>
  <c r="AQ33" i="12"/>
  <c r="AQ130" i="12" s="1"/>
  <c r="AQ217" i="12" s="1"/>
  <c r="AQ230" i="12" s="1"/>
  <c r="AO446" i="1"/>
  <c r="AO853" i="1"/>
  <c r="AO857" i="1" s="1"/>
  <c r="AO867" i="1" s="1"/>
  <c r="AO707" i="1"/>
  <c r="AP185" i="12"/>
  <c r="AP217" i="12"/>
  <c r="AP230" i="12" s="1"/>
  <c r="AP285" i="12" s="1"/>
  <c r="AP502" i="1"/>
  <c r="AP504" i="1" s="1"/>
  <c r="AP1042" i="1"/>
  <c r="AP223" i="1"/>
  <c r="AP439" i="1" s="1"/>
  <c r="AP442" i="1" s="1"/>
  <c r="AP1004" i="1" s="1"/>
  <c r="AP706" i="1"/>
  <c r="AP532" i="1"/>
  <c r="AP305" i="1"/>
  <c r="AP430" i="1" s="1"/>
  <c r="AR599" i="1"/>
  <c r="AP169" i="12"/>
  <c r="AP174" i="12" s="1"/>
  <c r="AT596" i="1"/>
  <c r="AT966" i="1"/>
  <c r="AT488" i="1"/>
  <c r="AT23" i="12"/>
  <c r="AT88" i="12" s="1"/>
  <c r="AT307" i="1"/>
  <c r="AT722" i="1"/>
  <c r="AP765" i="1"/>
  <c r="AP868" i="1" s="1"/>
  <c r="AP764" i="1"/>
  <c r="AP776" i="1" s="1"/>
  <c r="N869" i="1"/>
  <c r="AU897" i="1"/>
  <c r="AU777" i="1"/>
  <c r="AR758" i="1"/>
  <c r="AR892" i="1"/>
  <c r="AR692" i="1"/>
  <c r="AS116" i="1"/>
  <c r="AW272" i="12"/>
  <c r="AW948" i="1"/>
  <c r="AW959" i="1" s="1"/>
  <c r="AW211" i="31"/>
  <c r="AW212" i="31" s="1"/>
  <c r="AW282" i="12" s="1"/>
  <c r="AX192" i="31"/>
  <c r="AR155" i="1"/>
  <c r="AR65" i="12"/>
  <c r="AR33" i="12"/>
  <c r="AR130" i="12" s="1"/>
  <c r="AR1151" i="1"/>
  <c r="AR30" i="12"/>
  <c r="AR95" i="12" s="1"/>
  <c r="AT177" i="1"/>
  <c r="AT19" i="12"/>
  <c r="AT84" i="12" s="1"/>
  <c r="AT236" i="31"/>
  <c r="AQ1121" i="1"/>
  <c r="AV474" i="1"/>
  <c r="AV478" i="1" s="1"/>
  <c r="AV496" i="1" s="1"/>
  <c r="AV1103" i="1"/>
  <c r="AV727" i="1"/>
  <c r="AV747" i="1" s="1"/>
  <c r="AV768" i="1" s="1"/>
  <c r="AV772" i="1" s="1"/>
  <c r="AV312" i="1"/>
  <c r="AR697" i="1"/>
  <c r="AT12" i="7"/>
  <c r="AT26" i="7" s="1"/>
  <c r="M908" i="1"/>
  <c r="AS732" i="1"/>
  <c r="AS742" i="1" s="1"/>
  <c r="AU242" i="31"/>
  <c r="AU239" i="31"/>
  <c r="AU243" i="31"/>
  <c r="AU28" i="12" s="1"/>
  <c r="AU93" i="12" s="1"/>
  <c r="AU235" i="31"/>
  <c r="AU20" i="12" s="1"/>
  <c r="AU85" i="12" s="1"/>
  <c r="AU240" i="31"/>
  <c r="AU234" i="31"/>
  <c r="AU232" i="31"/>
  <c r="AU199" i="1" s="1"/>
  <c r="AU200" i="1" s="1"/>
  <c r="AU238" i="31"/>
  <c r="AU241" i="31"/>
  <c r="AR304" i="1"/>
  <c r="AR1104" i="1"/>
  <c r="AR218" i="1"/>
  <c r="AR219" i="1" s="1"/>
  <c r="AR222" i="1"/>
  <c r="AR438" i="1" s="1"/>
  <c r="AR441" i="1" s="1"/>
  <c r="AR429" i="1"/>
  <c r="AT588" i="1"/>
  <c r="AT968" i="1"/>
  <c r="AT249" i="31"/>
  <c r="AT25" i="12"/>
  <c r="AT90" i="12" s="1"/>
  <c r="AT469" i="1"/>
  <c r="AT309" i="1"/>
  <c r="AT724" i="1"/>
  <c r="AT734" i="1" s="1"/>
  <c r="AT744" i="1" s="1"/>
  <c r="AT250" i="31"/>
  <c r="AT969" i="1"/>
  <c r="AT725" i="1"/>
  <c r="AT735" i="1" s="1"/>
  <c r="AT745" i="1" s="1"/>
  <c r="AT26" i="12"/>
  <c r="AT91" i="12" s="1"/>
  <c r="AT127" i="7" s="1"/>
  <c r="AT128" i="7" s="1"/>
  <c r="AT310" i="1"/>
  <c r="AT489" i="1"/>
  <c r="AT589" i="1"/>
  <c r="AS870" i="1"/>
  <c r="AS895" i="1"/>
  <c r="AQ758" i="1"/>
  <c r="AQ892" i="1"/>
  <c r="AS178" i="1"/>
  <c r="AS185" i="1" s="1"/>
  <c r="AS212" i="1" s="1"/>
  <c r="AS214" i="1" s="1"/>
  <c r="AS245" i="31"/>
  <c r="AS298" i="1"/>
  <c r="AS21" i="12"/>
  <c r="AS86" i="12" s="1"/>
  <c r="AS217" i="1"/>
  <c r="AS248" i="31"/>
  <c r="AS252" i="31" s="1"/>
  <c r="AS41" i="12" s="1"/>
  <c r="AS138" i="12" s="1"/>
  <c r="AS733" i="1"/>
  <c r="AS743" i="1" s="1"/>
  <c r="AR895" i="1"/>
  <c r="AR870" i="1"/>
  <c r="AS598" i="1"/>
  <c r="AR779" i="1"/>
  <c r="AR894" i="1"/>
  <c r="AR193" i="12"/>
  <c r="AR225" i="12"/>
  <c r="AR238" i="12" s="1"/>
  <c r="AR293" i="12" s="1"/>
  <c r="AT967" i="1"/>
  <c r="AT468" i="1"/>
  <c r="AT308" i="1"/>
  <c r="AT333" i="1"/>
  <c r="AT597" i="1"/>
  <c r="AT24" i="12"/>
  <c r="AT89" i="12" s="1"/>
  <c r="AT723" i="1"/>
  <c r="AT733" i="1" s="1"/>
  <c r="AT743" i="1" s="1"/>
  <c r="AT970" i="1"/>
  <c r="AT104" i="1"/>
  <c r="AT145" i="1"/>
  <c r="AT27" i="12"/>
  <c r="AT92" i="12" s="1"/>
  <c r="AT251" i="31"/>
  <c r="AS894" i="1"/>
  <c r="AS779" i="1"/>
  <c r="AW70" i="12"/>
  <c r="AW199" i="31"/>
  <c r="AW200" i="31" s="1"/>
  <c r="AW207" i="31"/>
  <c r="AW208" i="31" s="1"/>
  <c r="AW182" i="12" s="1"/>
  <c r="AW172" i="12"/>
  <c r="AX174" i="31"/>
  <c r="AW947" i="1"/>
  <c r="AW958" i="1" s="1"/>
  <c r="AW163" i="1"/>
  <c r="AW164" i="1" s="1"/>
  <c r="AW172" i="1" s="1"/>
  <c r="AW485" i="1" s="1"/>
  <c r="AW497" i="1" s="1"/>
  <c r="AV230" i="31"/>
  <c r="AV1117" i="1"/>
  <c r="AV1122" i="1" s="1"/>
  <c r="AV14" i="7" s="1"/>
  <c r="AV28" i="7" s="1"/>
  <c r="AV248" i="1"/>
  <c r="AV254" i="1" s="1"/>
  <c r="AV196" i="1"/>
  <c r="AV197" i="1" s="1"/>
  <c r="AV80" i="12"/>
  <c r="AP13" i="7"/>
  <c r="AP27" i="7" s="1"/>
  <c r="AU1120" i="1"/>
  <c r="AS434" i="1" l="1"/>
  <c r="AS692" i="1" s="1"/>
  <c r="AT428" i="1"/>
  <c r="AT435" i="1" s="1"/>
  <c r="AT303" i="1"/>
  <c r="AQ445" i="1"/>
  <c r="AQ1042" i="1"/>
  <c r="AQ223" i="1"/>
  <c r="AQ439" i="1" s="1"/>
  <c r="AQ442" i="1" s="1"/>
  <c r="AQ446" i="1" s="1"/>
  <c r="AQ305" i="1"/>
  <c r="AQ430" i="1" s="1"/>
  <c r="AQ706" i="1"/>
  <c r="AQ532" i="1"/>
  <c r="AQ703" i="1"/>
  <c r="AQ185" i="12"/>
  <c r="AQ167" i="12"/>
  <c r="AQ169" i="12" s="1"/>
  <c r="AQ174" i="12" s="1"/>
  <c r="AP267" i="12"/>
  <c r="AP269" i="12" s="1"/>
  <c r="AP274" i="12" s="1"/>
  <c r="AO891" i="1"/>
  <c r="AP707" i="1"/>
  <c r="AP446" i="1"/>
  <c r="AP853" i="1"/>
  <c r="AP857" i="1" s="1"/>
  <c r="AP867" i="1" s="1"/>
  <c r="AS599" i="1"/>
  <c r="AR67" i="12"/>
  <c r="AR72" i="12" s="1"/>
  <c r="AS893" i="1"/>
  <c r="AS778" i="1"/>
  <c r="AS892" i="1"/>
  <c r="AS758" i="1"/>
  <c r="AW1103" i="1"/>
  <c r="AW312" i="1"/>
  <c r="AW474" i="1"/>
  <c r="AW478" i="1" s="1"/>
  <c r="AW496" i="1" s="1"/>
  <c r="AW727" i="1"/>
  <c r="AW747" i="1" s="1"/>
  <c r="AW768" i="1" s="1"/>
  <c r="AW772" i="1" s="1"/>
  <c r="AR1042" i="1"/>
  <c r="AR706" i="1"/>
  <c r="AV897" i="1"/>
  <c r="AV777" i="1"/>
  <c r="AQ13" i="7"/>
  <c r="AQ27" i="7" s="1"/>
  <c r="AX211" i="31"/>
  <c r="AX212" i="31" s="1"/>
  <c r="AX282" i="12" s="1"/>
  <c r="AX948" i="1"/>
  <c r="AX959" i="1" s="1"/>
  <c r="F959" i="1" s="1"/>
  <c r="AX272" i="12"/>
  <c r="AT732" i="1"/>
  <c r="AW80" i="12"/>
  <c r="AW248" i="1"/>
  <c r="AW254" i="1" s="1"/>
  <c r="AW1117" i="1"/>
  <c r="AW1122" i="1" s="1"/>
  <c r="AW14" i="7" s="1"/>
  <c r="AW28" i="7" s="1"/>
  <c r="AW230" i="31"/>
  <c r="AW196" i="1"/>
  <c r="AW197" i="1" s="1"/>
  <c r="AT116" i="1"/>
  <c r="AS193" i="12"/>
  <c r="AS225" i="12"/>
  <c r="AS238" i="12" s="1"/>
  <c r="AS293" i="12" s="1"/>
  <c r="AS30" i="12"/>
  <c r="AS95" i="12" s="1"/>
  <c r="AS1151" i="1"/>
  <c r="AS65" i="12"/>
  <c r="AS33" i="12"/>
  <c r="AS130" i="12" s="1"/>
  <c r="AS155" i="1"/>
  <c r="AQ765" i="1"/>
  <c r="AQ868" i="1" s="1"/>
  <c r="AQ764" i="1"/>
  <c r="AQ776" i="1" s="1"/>
  <c r="AU966" i="1"/>
  <c r="AU488" i="1"/>
  <c r="AU307" i="1"/>
  <c r="AU596" i="1"/>
  <c r="AU722" i="1"/>
  <c r="AU23" i="12"/>
  <c r="AU88" i="12" s="1"/>
  <c r="AV1120" i="1"/>
  <c r="AT248" i="31"/>
  <c r="AT252" i="31" s="1"/>
  <c r="AT41" i="12" s="1"/>
  <c r="AT138" i="12" s="1"/>
  <c r="AT298" i="1"/>
  <c r="AT245" i="31"/>
  <c r="AT21" i="12"/>
  <c r="AT86" i="12" s="1"/>
  <c r="AT178" i="1"/>
  <c r="AT185" i="1" s="1"/>
  <c r="AT212" i="1" s="1"/>
  <c r="AT214" i="1" s="1"/>
  <c r="AT217" i="1"/>
  <c r="AR445" i="1"/>
  <c r="AR765" i="1"/>
  <c r="AR868" i="1" s="1"/>
  <c r="AR764" i="1"/>
  <c r="AR776" i="1" s="1"/>
  <c r="N908" i="1"/>
  <c r="AT598" i="1"/>
  <c r="AT870" i="1"/>
  <c r="AT895" i="1"/>
  <c r="AU589" i="1"/>
  <c r="AU725" i="1"/>
  <c r="AU969" i="1"/>
  <c r="AU489" i="1"/>
  <c r="AU26" i="12"/>
  <c r="AU91" i="12" s="1"/>
  <c r="AU127" i="7" s="1"/>
  <c r="AU128" i="7" s="1"/>
  <c r="AU250" i="31"/>
  <c r="AU310" i="1"/>
  <c r="AU970" i="1"/>
  <c r="AU251" i="31"/>
  <c r="AU145" i="1"/>
  <c r="AU27" i="12"/>
  <c r="AU92" i="12" s="1"/>
  <c r="AU104" i="1"/>
  <c r="AR502" i="1"/>
  <c r="AR504" i="1" s="1"/>
  <c r="AR532" i="1"/>
  <c r="AR305" i="1"/>
  <c r="AR703" i="1"/>
  <c r="AS222" i="1"/>
  <c r="AS438" i="1" s="1"/>
  <c r="AS441" i="1" s="1"/>
  <c r="AS218" i="1"/>
  <c r="AS219" i="1" s="1"/>
  <c r="AS1104" i="1"/>
  <c r="AS304" i="1"/>
  <c r="AS429" i="1"/>
  <c r="AR223" i="1"/>
  <c r="AR439" i="1" s="1"/>
  <c r="AR442" i="1" s="1"/>
  <c r="AR1121" i="1"/>
  <c r="AU469" i="1"/>
  <c r="AU968" i="1"/>
  <c r="AU588" i="1"/>
  <c r="AU724" i="1"/>
  <c r="AU734" i="1" s="1"/>
  <c r="AU744" i="1" s="1"/>
  <c r="AU25" i="12"/>
  <c r="AU90" i="12" s="1"/>
  <c r="AU309" i="1"/>
  <c r="AU249" i="31"/>
  <c r="AQ267" i="12"/>
  <c r="AQ285" i="12"/>
  <c r="AX207" i="31"/>
  <c r="AX208" i="31" s="1"/>
  <c r="AX182" i="12" s="1"/>
  <c r="AX947" i="1"/>
  <c r="AX958" i="1" s="1"/>
  <c r="F958" i="1" s="1"/>
  <c r="F963" i="1" s="1" a="1"/>
  <c r="F963" i="1" s="1"/>
  <c r="AX70" i="12"/>
  <c r="AX172" i="12"/>
  <c r="AX163" i="1"/>
  <c r="AX164" i="1" s="1"/>
  <c r="AX199" i="31"/>
  <c r="AX200" i="31" s="1"/>
  <c r="AU12" i="7"/>
  <c r="AU26" i="7" s="1"/>
  <c r="AV232" i="31"/>
  <c r="AV199" i="1" s="1"/>
  <c r="AV200" i="1" s="1"/>
  <c r="AV241" i="31"/>
  <c r="AV234" i="31"/>
  <c r="AV240" i="31"/>
  <c r="AV239" i="31"/>
  <c r="AV242" i="31"/>
  <c r="AV235" i="31"/>
  <c r="AV20" i="12" s="1"/>
  <c r="AV85" i="12" s="1"/>
  <c r="AV238" i="31"/>
  <c r="AV243" i="31"/>
  <c r="AV28" i="12" s="1"/>
  <c r="AV93" i="12" s="1"/>
  <c r="AT893" i="1"/>
  <c r="AT778" i="1"/>
  <c r="AS697" i="1"/>
  <c r="AT894" i="1"/>
  <c r="AT779" i="1"/>
  <c r="AU19" i="12"/>
  <c r="AU84" i="12" s="1"/>
  <c r="AU236" i="31"/>
  <c r="AU177" i="1"/>
  <c r="AU723" i="1"/>
  <c r="AU967" i="1"/>
  <c r="AU597" i="1"/>
  <c r="AU333" i="1"/>
  <c r="AU308" i="1"/>
  <c r="AU24" i="12"/>
  <c r="AU89" i="12" s="1"/>
  <c r="AU468" i="1"/>
  <c r="AR185" i="12"/>
  <c r="AR217" i="12"/>
  <c r="AR230" i="12" s="1"/>
  <c r="AR167" i="12"/>
  <c r="AS445" i="1" l="1"/>
  <c r="AT434" i="1"/>
  <c r="AU428" i="1"/>
  <c r="AU435" i="1" s="1"/>
  <c r="AU303" i="1"/>
  <c r="AT599" i="1"/>
  <c r="AQ1004" i="1"/>
  <c r="AQ853" i="1"/>
  <c r="AQ857" i="1" s="1"/>
  <c r="AQ891" i="1" s="1"/>
  <c r="AQ707" i="1"/>
  <c r="AR169" i="12"/>
  <c r="AR174" i="12" s="1"/>
  <c r="AQ269" i="12"/>
  <c r="AQ274" i="12" s="1"/>
  <c r="AP891" i="1"/>
  <c r="AS67" i="12"/>
  <c r="AS72" i="12" s="1"/>
  <c r="AE963" i="1"/>
  <c r="AC963" i="1"/>
  <c r="S963" i="1"/>
  <c r="W963" i="1"/>
  <c r="Z963" i="1"/>
  <c r="AO963" i="1"/>
  <c r="AU963" i="1"/>
  <c r="AU978" i="1" s="1"/>
  <c r="P963" i="1"/>
  <c r="N963" i="1"/>
  <c r="L963" i="1"/>
  <c r="AT963" i="1"/>
  <c r="AP963" i="1"/>
  <c r="AR963" i="1"/>
  <c r="AI963" i="1"/>
  <c r="T963" i="1"/>
  <c r="X963" i="1"/>
  <c r="Y963" i="1"/>
  <c r="M963" i="1"/>
  <c r="AF963" i="1"/>
  <c r="AH963" i="1"/>
  <c r="AW963" i="1"/>
  <c r="AX963" i="1"/>
  <c r="AL963" i="1"/>
  <c r="AD963" i="1"/>
  <c r="AK963" i="1"/>
  <c r="AA963" i="1"/>
  <c r="AQ963" i="1"/>
  <c r="AS963" i="1"/>
  <c r="AJ963" i="1"/>
  <c r="AV963" i="1"/>
  <c r="V963" i="1"/>
  <c r="AB963" i="1"/>
  <c r="O963" i="1"/>
  <c r="Q963" i="1"/>
  <c r="AM963" i="1"/>
  <c r="AN963" i="1"/>
  <c r="U963" i="1"/>
  <c r="K963" i="1"/>
  <c r="AG963" i="1"/>
  <c r="R963" i="1"/>
  <c r="AX1117" i="1"/>
  <c r="AX1122" i="1" s="1"/>
  <c r="AX80" i="12"/>
  <c r="AX196" i="1"/>
  <c r="AX197" i="1" s="1"/>
  <c r="AX248" i="1"/>
  <c r="AX254" i="1" s="1"/>
  <c r="AX230" i="31"/>
  <c r="AR13" i="7"/>
  <c r="AR27" i="7" s="1"/>
  <c r="AS217" i="12"/>
  <c r="AS230" i="12" s="1"/>
  <c r="AS185" i="12"/>
  <c r="AS167" i="12"/>
  <c r="AR267" i="12"/>
  <c r="AR285" i="12"/>
  <c r="AV24" i="12"/>
  <c r="AV89" i="12" s="1"/>
  <c r="AV308" i="1"/>
  <c r="AV468" i="1"/>
  <c r="AV967" i="1"/>
  <c r="AV723" i="1"/>
  <c r="AV733" i="1" s="1"/>
  <c r="AV743" i="1" s="1"/>
  <c r="AV597" i="1"/>
  <c r="AV333" i="1"/>
  <c r="AX172" i="1"/>
  <c r="AX485" i="1" s="1"/>
  <c r="I164" i="1"/>
  <c r="AR853" i="1"/>
  <c r="AR857" i="1" s="1"/>
  <c r="AR707" i="1"/>
  <c r="AR1004" i="1"/>
  <c r="AR446" i="1"/>
  <c r="AS1121" i="1"/>
  <c r="AT30" i="12"/>
  <c r="AT95" i="12" s="1"/>
  <c r="AT155" i="1"/>
  <c r="AT1151" i="1"/>
  <c r="AT65" i="12"/>
  <c r="AT33" i="12"/>
  <c r="AT130" i="12" s="1"/>
  <c r="AV12" i="7"/>
  <c r="AV26" i="7" s="1"/>
  <c r="AU598" i="1"/>
  <c r="AW1120" i="1"/>
  <c r="AU735" i="1"/>
  <c r="AU745" i="1" s="1"/>
  <c r="AU732" i="1"/>
  <c r="AU742" i="1" s="1"/>
  <c r="AV307" i="1"/>
  <c r="AV596" i="1"/>
  <c r="AV966" i="1"/>
  <c r="AV722" i="1"/>
  <c r="AV23" i="12"/>
  <c r="AV88" i="12" s="1"/>
  <c r="AV488" i="1"/>
  <c r="AV724" i="1"/>
  <c r="AV734" i="1" s="1"/>
  <c r="AV744" i="1" s="1"/>
  <c r="AV469" i="1"/>
  <c r="AV25" i="12"/>
  <c r="AV90" i="12" s="1"/>
  <c r="AV249" i="31"/>
  <c r="AV968" i="1"/>
  <c r="AV978" i="1" s="1"/>
  <c r="AV588" i="1"/>
  <c r="AV309" i="1"/>
  <c r="AS223" i="1"/>
  <c r="AS439" i="1" s="1"/>
  <c r="AS442" i="1" s="1"/>
  <c r="AU116" i="1"/>
  <c r="AW242" i="31"/>
  <c r="AW241" i="31"/>
  <c r="AW243" i="31"/>
  <c r="AW28" i="12" s="1"/>
  <c r="AW93" i="12" s="1"/>
  <c r="AW235" i="31"/>
  <c r="AW20" i="12" s="1"/>
  <c r="AW85" i="12" s="1"/>
  <c r="AW238" i="31"/>
  <c r="AW240" i="31"/>
  <c r="AW239" i="31"/>
  <c r="AW234" i="31"/>
  <c r="AW232" i="31"/>
  <c r="AW199" i="1" s="1"/>
  <c r="AW200" i="1" s="1"/>
  <c r="AT692" i="1"/>
  <c r="AW777" i="1"/>
  <c r="AW897" i="1"/>
  <c r="AS765" i="1"/>
  <c r="AS868" i="1" s="1"/>
  <c r="AS764" i="1"/>
  <c r="AS776" i="1" s="1"/>
  <c r="AV251" i="31"/>
  <c r="AV145" i="1"/>
  <c r="AV27" i="12"/>
  <c r="AV92" i="12" s="1"/>
  <c r="AV104" i="1"/>
  <c r="AV970" i="1"/>
  <c r="AV489" i="1"/>
  <c r="AV26" i="12"/>
  <c r="AV91" i="12" s="1"/>
  <c r="AV127" i="7" s="1"/>
  <c r="AV128" i="7" s="1"/>
  <c r="AV589" i="1"/>
  <c r="AV725" i="1"/>
  <c r="AV735" i="1" s="1"/>
  <c r="AV745" i="1" s="1"/>
  <c r="AV250" i="31"/>
  <c r="AV969" i="1"/>
  <c r="AV310" i="1"/>
  <c r="AS502" i="1"/>
  <c r="AS504" i="1" s="1"/>
  <c r="AS532" i="1"/>
  <c r="AS305" i="1"/>
  <c r="AS703" i="1"/>
  <c r="AU733" i="1"/>
  <c r="AU743" i="1" s="1"/>
  <c r="AU298" i="1"/>
  <c r="AU245" i="31"/>
  <c r="AU178" i="1"/>
  <c r="AU185" i="1" s="1"/>
  <c r="AU212" i="1" s="1"/>
  <c r="AU214" i="1" s="1"/>
  <c r="AU217" i="1"/>
  <c r="AU21" i="12"/>
  <c r="AU86" i="12" s="1"/>
  <c r="AU248" i="31"/>
  <c r="AU252" i="31" s="1"/>
  <c r="AU41" i="12" s="1"/>
  <c r="AU138" i="12" s="1"/>
  <c r="AV177" i="1"/>
  <c r="AV236" i="31"/>
  <c r="AV19" i="12"/>
  <c r="AV84" i="12" s="1"/>
  <c r="AU894" i="1"/>
  <c r="AU779" i="1"/>
  <c r="AS706" i="1"/>
  <c r="AS1042" i="1"/>
  <c r="AR430" i="1"/>
  <c r="AT304" i="1"/>
  <c r="AT1104" i="1"/>
  <c r="AT429" i="1"/>
  <c r="AT218" i="1"/>
  <c r="AT219" i="1" s="1"/>
  <c r="AT222" i="1"/>
  <c r="AT438" i="1" s="1"/>
  <c r="AT441" i="1" s="1"/>
  <c r="AT445" i="1" s="1"/>
  <c r="AT225" i="12"/>
  <c r="AT238" i="12" s="1"/>
  <c r="AT293" i="12" s="1"/>
  <c r="AT193" i="12"/>
  <c r="AT742" i="1"/>
  <c r="AT697" i="1"/>
  <c r="AU434" i="1" l="1"/>
  <c r="AV428" i="1"/>
  <c r="AV303" i="1"/>
  <c r="I485" i="1"/>
  <c r="I497" i="1" s="1"/>
  <c r="AX497" i="1"/>
  <c r="AV976" i="1"/>
  <c r="AU599" i="1"/>
  <c r="AQ867" i="1"/>
  <c r="AS169" i="12"/>
  <c r="AS174" i="12" s="1"/>
  <c r="AR269" i="12"/>
  <c r="AR274" i="12" s="1"/>
  <c r="AT67" i="12"/>
  <c r="AT72" i="12" s="1"/>
  <c r="AV980" i="1"/>
  <c r="AV977" i="1"/>
  <c r="AV979" i="1"/>
  <c r="AU976" i="1"/>
  <c r="AU980" i="1"/>
  <c r="AU977" i="1"/>
  <c r="O980" i="1"/>
  <c r="O979" i="1"/>
  <c r="O977" i="1"/>
  <c r="O976" i="1"/>
  <c r="O978" i="1"/>
  <c r="AK977" i="1"/>
  <c r="AK976" i="1"/>
  <c r="AK979" i="1"/>
  <c r="AK980" i="1"/>
  <c r="AK978" i="1"/>
  <c r="Y980" i="1"/>
  <c r="Y978" i="1"/>
  <c r="Y977" i="1"/>
  <c r="Y976" i="1"/>
  <c r="Y979" i="1"/>
  <c r="AR980" i="1"/>
  <c r="AR977" i="1"/>
  <c r="AR976" i="1"/>
  <c r="AR978" i="1"/>
  <c r="AR979" i="1"/>
  <c r="Z977" i="1"/>
  <c r="Z980" i="1"/>
  <c r="Z976" i="1"/>
  <c r="Z979" i="1"/>
  <c r="Z978" i="1"/>
  <c r="R976" i="1"/>
  <c r="R979" i="1"/>
  <c r="R978" i="1"/>
  <c r="R980" i="1"/>
  <c r="R977" i="1"/>
  <c r="AB976" i="1"/>
  <c r="AB978" i="1"/>
  <c r="AB980" i="1"/>
  <c r="AB977" i="1"/>
  <c r="AB979" i="1"/>
  <c r="AD979" i="1"/>
  <c r="AD976" i="1"/>
  <c r="AD977" i="1"/>
  <c r="AD978" i="1"/>
  <c r="AD980" i="1"/>
  <c r="AH978" i="1"/>
  <c r="AH979" i="1"/>
  <c r="AH977" i="1"/>
  <c r="AH980" i="1"/>
  <c r="AH976" i="1"/>
  <c r="AP978" i="1"/>
  <c r="AP979" i="1"/>
  <c r="AP976" i="1"/>
  <c r="AP977" i="1"/>
  <c r="AP980" i="1"/>
  <c r="W976" i="1"/>
  <c r="W977" i="1"/>
  <c r="W978" i="1"/>
  <c r="W980" i="1"/>
  <c r="W979" i="1"/>
  <c r="AG980" i="1"/>
  <c r="AG977" i="1"/>
  <c r="AG978" i="1"/>
  <c r="AG979" i="1"/>
  <c r="AG976" i="1"/>
  <c r="AM978" i="1"/>
  <c r="AM979" i="1"/>
  <c r="AM980" i="1"/>
  <c r="AM977" i="1"/>
  <c r="AM976" i="1"/>
  <c r="V978" i="1"/>
  <c r="V979" i="1"/>
  <c r="V976" i="1"/>
  <c r="V980" i="1"/>
  <c r="V977" i="1"/>
  <c r="AQ980" i="1"/>
  <c r="AQ979" i="1"/>
  <c r="AQ976" i="1"/>
  <c r="AQ977" i="1"/>
  <c r="AQ978" i="1"/>
  <c r="AL978" i="1"/>
  <c r="AL979" i="1"/>
  <c r="AL980" i="1"/>
  <c r="AL976" i="1"/>
  <c r="AL977" i="1"/>
  <c r="AF978" i="1"/>
  <c r="AF979" i="1"/>
  <c r="AF976" i="1"/>
  <c r="AF977" i="1"/>
  <c r="AF980" i="1"/>
  <c r="T976" i="1"/>
  <c r="T979" i="1"/>
  <c r="T980" i="1"/>
  <c r="T978" i="1"/>
  <c r="T977" i="1"/>
  <c r="AT978" i="1"/>
  <c r="AT980" i="1"/>
  <c r="AT976" i="1"/>
  <c r="AT977" i="1"/>
  <c r="AT979" i="1"/>
  <c r="S980" i="1"/>
  <c r="S976" i="1"/>
  <c r="S978" i="1"/>
  <c r="S977" i="1"/>
  <c r="S979" i="1"/>
  <c r="AU979" i="1"/>
  <c r="U977" i="1"/>
  <c r="U980" i="1"/>
  <c r="U978" i="1"/>
  <c r="U979" i="1"/>
  <c r="U976" i="1"/>
  <c r="AJ980" i="1"/>
  <c r="AJ977" i="1"/>
  <c r="AJ979" i="1"/>
  <c r="AJ978" i="1"/>
  <c r="AJ976" i="1"/>
  <c r="N979" i="1"/>
  <c r="N978" i="1"/>
  <c r="N977" i="1"/>
  <c r="N976" i="1"/>
  <c r="N980" i="1"/>
  <c r="AE976" i="1"/>
  <c r="AE980" i="1"/>
  <c r="AE977" i="1"/>
  <c r="AE979" i="1"/>
  <c r="AE978" i="1"/>
  <c r="AN976" i="1"/>
  <c r="AN977" i="1"/>
  <c r="AN980" i="1"/>
  <c r="AN979" i="1"/>
  <c r="AN978" i="1"/>
  <c r="AS980" i="1"/>
  <c r="AS978" i="1"/>
  <c r="AS977" i="1"/>
  <c r="AS979" i="1"/>
  <c r="AS976" i="1"/>
  <c r="X979" i="1"/>
  <c r="X978" i="1"/>
  <c r="X977" i="1"/>
  <c r="X980" i="1"/>
  <c r="X976" i="1"/>
  <c r="P980" i="1"/>
  <c r="P976" i="1"/>
  <c r="P978" i="1"/>
  <c r="P979" i="1"/>
  <c r="P977" i="1"/>
  <c r="K977" i="1"/>
  <c r="K976" i="1"/>
  <c r="K980" i="1"/>
  <c r="K979" i="1"/>
  <c r="K978" i="1"/>
  <c r="Q979" i="1"/>
  <c r="Q977" i="1"/>
  <c r="Q980" i="1"/>
  <c r="Q978" i="1"/>
  <c r="Q976" i="1"/>
  <c r="AA976" i="1"/>
  <c r="AA979" i="1"/>
  <c r="AA977" i="1"/>
  <c r="AA978" i="1"/>
  <c r="AA980" i="1"/>
  <c r="M976" i="1"/>
  <c r="M978" i="1"/>
  <c r="M979" i="1"/>
  <c r="M977" i="1"/>
  <c r="M980" i="1"/>
  <c r="AI980" i="1"/>
  <c r="AI979" i="1"/>
  <c r="AI978" i="1"/>
  <c r="AI976" i="1"/>
  <c r="AI977" i="1"/>
  <c r="L976" i="1"/>
  <c r="L977" i="1"/>
  <c r="L979" i="1"/>
  <c r="L980" i="1"/>
  <c r="L978" i="1"/>
  <c r="AO980" i="1"/>
  <c r="AO976" i="1"/>
  <c r="AO977" i="1"/>
  <c r="AO978" i="1"/>
  <c r="AO979" i="1"/>
  <c r="AC977" i="1"/>
  <c r="AC979" i="1"/>
  <c r="AC978" i="1"/>
  <c r="AC976" i="1"/>
  <c r="AC980" i="1"/>
  <c r="AT223" i="1"/>
  <c r="AT439" i="1" s="1"/>
  <c r="AT442" i="1" s="1"/>
  <c r="AT446" i="1" s="1"/>
  <c r="AT502" i="1"/>
  <c r="AT504" i="1" s="1"/>
  <c r="AT305" i="1"/>
  <c r="AT532" i="1"/>
  <c r="AT703" i="1"/>
  <c r="AU893" i="1"/>
  <c r="AU778" i="1"/>
  <c r="AV248" i="31"/>
  <c r="AV252" i="31" s="1"/>
  <c r="AV41" i="12" s="1"/>
  <c r="AV138" i="12" s="1"/>
  <c r="AV21" i="12"/>
  <c r="AV86" i="12" s="1"/>
  <c r="AV298" i="1"/>
  <c r="AV217" i="1"/>
  <c r="AV178" i="1"/>
  <c r="AV185" i="1" s="1"/>
  <c r="AV212" i="1" s="1"/>
  <c r="AV214" i="1" s="1"/>
  <c r="AV245" i="31"/>
  <c r="AS430" i="1"/>
  <c r="AW12" i="7"/>
  <c r="AW26" i="7" s="1"/>
  <c r="AU697" i="1"/>
  <c r="AW249" i="31"/>
  <c r="AW968" i="1"/>
  <c r="AW978" i="1" s="1"/>
  <c r="AW309" i="1"/>
  <c r="AW469" i="1"/>
  <c r="AW588" i="1"/>
  <c r="AW724" i="1"/>
  <c r="AW734" i="1" s="1"/>
  <c r="AW744" i="1" s="1"/>
  <c r="AW25" i="12"/>
  <c r="AW90" i="12" s="1"/>
  <c r="AW26" i="12"/>
  <c r="AW91" i="12" s="1"/>
  <c r="AW127" i="7" s="1"/>
  <c r="AW128" i="7" s="1"/>
  <c r="AW489" i="1"/>
  <c r="AW310" i="1"/>
  <c r="AW589" i="1"/>
  <c r="AW725" i="1"/>
  <c r="AW735" i="1" s="1"/>
  <c r="AW745" i="1" s="1"/>
  <c r="AW250" i="31"/>
  <c r="AW969" i="1"/>
  <c r="AW979" i="1" s="1"/>
  <c r="AV894" i="1"/>
  <c r="AV779" i="1"/>
  <c r="AU892" i="1"/>
  <c r="AU758" i="1"/>
  <c r="AV893" i="1"/>
  <c r="AV778" i="1"/>
  <c r="AW24" i="12"/>
  <c r="AW89" i="12" s="1"/>
  <c r="AW468" i="1"/>
  <c r="AW308" i="1"/>
  <c r="AW967" i="1"/>
  <c r="AW977" i="1" s="1"/>
  <c r="AW597" i="1"/>
  <c r="AW723" i="1"/>
  <c r="AW733" i="1" s="1"/>
  <c r="AW743" i="1" s="1"/>
  <c r="AW333" i="1"/>
  <c r="AS1004" i="1"/>
  <c r="AS707" i="1"/>
  <c r="AS853" i="1"/>
  <c r="AS857" i="1" s="1"/>
  <c r="AS446" i="1"/>
  <c r="AV732" i="1"/>
  <c r="AV742" i="1" s="1"/>
  <c r="AT167" i="12"/>
  <c r="AT185" i="12"/>
  <c r="AT217" i="12"/>
  <c r="AT230" i="12" s="1"/>
  <c r="AX235" i="31"/>
  <c r="AX240" i="31"/>
  <c r="AX243" i="31"/>
  <c r="AX241" i="31"/>
  <c r="AX232" i="31"/>
  <c r="AX199" i="1" s="1"/>
  <c r="AX200" i="1" s="1"/>
  <c r="AX238" i="31"/>
  <c r="AX239" i="31"/>
  <c r="AX242" i="31"/>
  <c r="AX234" i="31"/>
  <c r="AT758" i="1"/>
  <c r="AT892" i="1"/>
  <c r="AV434" i="1"/>
  <c r="AV435" i="1"/>
  <c r="AU429" i="1"/>
  <c r="AU1104" i="1"/>
  <c r="AU218" i="1"/>
  <c r="AU219" i="1" s="1"/>
  <c r="AU222" i="1"/>
  <c r="AU438" i="1" s="1"/>
  <c r="AU441" i="1" s="1"/>
  <c r="AU445" i="1" s="1"/>
  <c r="AU304" i="1"/>
  <c r="AV870" i="1"/>
  <c r="AV895" i="1"/>
  <c r="AW307" i="1"/>
  <c r="AW966" i="1"/>
  <c r="AW976" i="1" s="1"/>
  <c r="AW23" i="12"/>
  <c r="AW88" i="12" s="1"/>
  <c r="AW596" i="1"/>
  <c r="AW488" i="1"/>
  <c r="AW722" i="1"/>
  <c r="AW251" i="31"/>
  <c r="AW104" i="1"/>
  <c r="AW27" i="12"/>
  <c r="AW92" i="12" s="1"/>
  <c r="AW970" i="1"/>
  <c r="AW980" i="1" s="1"/>
  <c r="AW145" i="1"/>
  <c r="AV598" i="1"/>
  <c r="AS13" i="7"/>
  <c r="AS27" i="7" s="1"/>
  <c r="AR867" i="1"/>
  <c r="AR891" i="1"/>
  <c r="I172" i="1"/>
  <c r="AX1103" i="1"/>
  <c r="AX727" i="1"/>
  <c r="AX747" i="1" s="1"/>
  <c r="AX312" i="1"/>
  <c r="AX474" i="1"/>
  <c r="AX478" i="1" s="1"/>
  <c r="AU692" i="1"/>
  <c r="AU895" i="1"/>
  <c r="AU870" i="1"/>
  <c r="AX14" i="7"/>
  <c r="F1136" i="1"/>
  <c r="O22" i="5" s="1"/>
  <c r="I1122" i="1"/>
  <c r="I14" i="7" s="1"/>
  <c r="I28" i="7" s="1"/>
  <c r="AT706" i="1"/>
  <c r="AT1042" i="1"/>
  <c r="AT1121" i="1"/>
  <c r="AU193" i="12"/>
  <c r="AU225" i="12"/>
  <c r="AU238" i="12" s="1"/>
  <c r="AU293" i="12" s="1"/>
  <c r="AU1151" i="1"/>
  <c r="AU65" i="12"/>
  <c r="AU33" i="12"/>
  <c r="AU130" i="12" s="1"/>
  <c r="AU155" i="1"/>
  <c r="AU30" i="12"/>
  <c r="AU95" i="12" s="1"/>
  <c r="AV116" i="1"/>
  <c r="AW177" i="1"/>
  <c r="AW236" i="31"/>
  <c r="AW19" i="12"/>
  <c r="AW84" i="12" s="1"/>
  <c r="AS267" i="12"/>
  <c r="AS285" i="12"/>
  <c r="AW428" i="1" l="1"/>
  <c r="AW434" i="1" s="1"/>
  <c r="AW303" i="1"/>
  <c r="AT169" i="12"/>
  <c r="AT174" i="12" s="1"/>
  <c r="AV599" i="1"/>
  <c r="AS269" i="12"/>
  <c r="AS274" i="12" s="1"/>
  <c r="AU67" i="12"/>
  <c r="AU72" i="12" s="1"/>
  <c r="AV981" i="1"/>
  <c r="AV983" i="1" s="1"/>
  <c r="AU981" i="1"/>
  <c r="AU983" i="1" s="1"/>
  <c r="AT853" i="1"/>
  <c r="AT857" i="1" s="1"/>
  <c r="AT867" i="1" s="1"/>
  <c r="Q981" i="1"/>
  <c r="Q983" i="1" s="1"/>
  <c r="K981" i="1"/>
  <c r="K983" i="1" s="1"/>
  <c r="K991" i="1" s="1"/>
  <c r="K992" i="1" s="1"/>
  <c r="K996" i="1" s="1"/>
  <c r="AS981" i="1"/>
  <c r="AS995" i="1" s="1"/>
  <c r="N981" i="1"/>
  <c r="N983" i="1" s="1"/>
  <c r="AJ981" i="1"/>
  <c r="AJ995" i="1" s="1"/>
  <c r="AF981" i="1"/>
  <c r="AF983" i="1" s="1"/>
  <c r="AL981" i="1"/>
  <c r="AL995" i="1" s="1"/>
  <c r="W981" i="1"/>
  <c r="W995" i="1" s="1"/>
  <c r="Z981" i="1"/>
  <c r="Z995" i="1" s="1"/>
  <c r="AK981" i="1"/>
  <c r="AK983" i="1" s="1"/>
  <c r="L981" i="1"/>
  <c r="AB981" i="1"/>
  <c r="AN981" i="1"/>
  <c r="U981" i="1"/>
  <c r="T981" i="1"/>
  <c r="R981" i="1"/>
  <c r="AR981" i="1"/>
  <c r="Y981" i="1"/>
  <c r="AO981" i="1"/>
  <c r="AI981" i="1"/>
  <c r="M981" i="1"/>
  <c r="AE981" i="1"/>
  <c r="S981" i="1"/>
  <c r="AT981" i="1"/>
  <c r="AQ981" i="1"/>
  <c r="AM981" i="1"/>
  <c r="AH981" i="1"/>
  <c r="AD981" i="1"/>
  <c r="P981" i="1"/>
  <c r="AC981" i="1"/>
  <c r="AA981" i="1"/>
  <c r="X981" i="1"/>
  <c r="V981" i="1"/>
  <c r="AG981" i="1"/>
  <c r="AP981" i="1"/>
  <c r="O981" i="1"/>
  <c r="AT1004" i="1"/>
  <c r="AT707" i="1"/>
  <c r="AW598" i="1"/>
  <c r="AV758" i="1"/>
  <c r="AV892" i="1"/>
  <c r="AU532" i="1"/>
  <c r="AU305" i="1"/>
  <c r="AU703" i="1"/>
  <c r="AU502" i="1"/>
  <c r="AU504" i="1" s="1"/>
  <c r="AX1120" i="1"/>
  <c r="AT765" i="1"/>
  <c r="AT868" i="1" s="1"/>
  <c r="AT764" i="1"/>
  <c r="AT776" i="1" s="1"/>
  <c r="F259" i="31"/>
  <c r="I239" i="31"/>
  <c r="AX967" i="1"/>
  <c r="AX977" i="1" s="1"/>
  <c r="I977" i="1" s="1"/>
  <c r="AX24" i="12"/>
  <c r="AX89" i="12" s="1"/>
  <c r="AX308" i="1"/>
  <c r="AX597" i="1"/>
  <c r="AX723" i="1"/>
  <c r="AX333" i="1"/>
  <c r="AX468" i="1"/>
  <c r="AW895" i="1"/>
  <c r="AW870" i="1"/>
  <c r="AU167" i="12"/>
  <c r="AU217" i="12"/>
  <c r="AU230" i="12" s="1"/>
  <c r="AU185" i="12"/>
  <c r="AX496" i="1"/>
  <c r="I478" i="1"/>
  <c r="I496" i="1" s="1"/>
  <c r="I1103" i="1"/>
  <c r="I312" i="1"/>
  <c r="I474" i="1"/>
  <c r="I727" i="1"/>
  <c r="AU1042" i="1"/>
  <c r="AU706" i="1"/>
  <c r="AV697" i="1"/>
  <c r="I238" i="31"/>
  <c r="F258" i="31"/>
  <c r="AX307" i="1"/>
  <c r="AX966" i="1"/>
  <c r="AX976" i="1" s="1"/>
  <c r="AX488" i="1"/>
  <c r="AX23" i="12"/>
  <c r="AX88" i="12" s="1"/>
  <c r="AX722" i="1"/>
  <c r="AX596" i="1"/>
  <c r="I240" i="31"/>
  <c r="F260" i="31"/>
  <c r="AX249" i="31"/>
  <c r="AX724" i="1"/>
  <c r="AX734" i="1" s="1"/>
  <c r="AX469" i="1"/>
  <c r="AX588" i="1"/>
  <c r="AX25" i="12"/>
  <c r="AX90" i="12" s="1"/>
  <c r="AX309" i="1"/>
  <c r="AX968" i="1"/>
  <c r="AX978" i="1" s="1"/>
  <c r="I978" i="1" s="1"/>
  <c r="AU764" i="1"/>
  <c r="AU776" i="1" s="1"/>
  <c r="AU765" i="1"/>
  <c r="AU868" i="1" s="1"/>
  <c r="AV33" i="12"/>
  <c r="AV130" i="12" s="1"/>
  <c r="AV155" i="1"/>
  <c r="AV1151" i="1"/>
  <c r="AV30" i="12"/>
  <c r="AV95" i="12" s="1"/>
  <c r="AV65" i="12"/>
  <c r="AT430" i="1"/>
  <c r="AX28" i="12"/>
  <c r="AX93" i="12" s="1"/>
  <c r="I243" i="31"/>
  <c r="I28" i="12" s="1"/>
  <c r="AW732" i="1"/>
  <c r="AW742" i="1" s="1"/>
  <c r="AW981" i="1"/>
  <c r="AV692" i="1"/>
  <c r="I234" i="31"/>
  <c r="F255" i="31"/>
  <c r="AX19" i="12"/>
  <c r="AX84" i="12" s="1"/>
  <c r="AX177" i="1"/>
  <c r="AX236" i="31"/>
  <c r="AX20" i="12"/>
  <c r="AX85" i="12" s="1"/>
  <c r="I235" i="31"/>
  <c r="I20" i="12" s="1"/>
  <c r="F256" i="31"/>
  <c r="AS867" i="1"/>
  <c r="AS891" i="1"/>
  <c r="AW893" i="1"/>
  <c r="AW778" i="1"/>
  <c r="AW894" i="1"/>
  <c r="AW779" i="1"/>
  <c r="AV429" i="1"/>
  <c r="AV222" i="1"/>
  <c r="AV438" i="1" s="1"/>
  <c r="AV441" i="1" s="1"/>
  <c r="AV218" i="1"/>
  <c r="AV219" i="1" s="1"/>
  <c r="AV304" i="1"/>
  <c r="AV1104" i="1"/>
  <c r="AV193" i="12"/>
  <c r="AV225" i="12"/>
  <c r="AV238" i="12" s="1"/>
  <c r="AV293" i="12" s="1"/>
  <c r="AX28" i="7"/>
  <c r="F64" i="7"/>
  <c r="AW116" i="1"/>
  <c r="AW298" i="1"/>
  <c r="AW245" i="31"/>
  <c r="AW178" i="1"/>
  <c r="AW185" i="1" s="1"/>
  <c r="AW212" i="1" s="1"/>
  <c r="AW214" i="1" s="1"/>
  <c r="AW217" i="1"/>
  <c r="AW248" i="31"/>
  <c r="AW252" i="31" s="1"/>
  <c r="AW41" i="12" s="1"/>
  <c r="AW138" i="12" s="1"/>
  <c r="AW21" i="12"/>
  <c r="AW86" i="12" s="1"/>
  <c r="AT13" i="7"/>
  <c r="AT27" i="7" s="1"/>
  <c r="F62" i="35"/>
  <c r="J62" i="35" s="1"/>
  <c r="I62" i="35" s="1"/>
  <c r="T68" i="5"/>
  <c r="AX768" i="1"/>
  <c r="AX772" i="1" s="1"/>
  <c r="I747" i="1"/>
  <c r="I768" i="1" s="1"/>
  <c r="AU223" i="1"/>
  <c r="AU439" i="1" s="1"/>
  <c r="AU442" i="1" s="1"/>
  <c r="AU1121" i="1"/>
  <c r="I242" i="31"/>
  <c r="F262" i="31"/>
  <c r="AX104" i="1"/>
  <c r="AV109" i="1" s="1"/>
  <c r="AV130" i="1" s="1"/>
  <c r="AX27" i="12"/>
  <c r="AX92" i="12" s="1"/>
  <c r="AX970" i="1"/>
  <c r="AX980" i="1" s="1"/>
  <c r="I980" i="1" s="1"/>
  <c r="AX251" i="31"/>
  <c r="AX145" i="1"/>
  <c r="I241" i="31"/>
  <c r="F261" i="31"/>
  <c r="AX26" i="12"/>
  <c r="AX91" i="12" s="1"/>
  <c r="AX489" i="1"/>
  <c r="AX250" i="31"/>
  <c r="AX589" i="1"/>
  <c r="AX725" i="1"/>
  <c r="AX735" i="1" s="1"/>
  <c r="AX310" i="1"/>
  <c r="AX969" i="1"/>
  <c r="AX979" i="1" s="1"/>
  <c r="I979" i="1" s="1"/>
  <c r="AT267" i="12"/>
  <c r="AT285" i="12"/>
  <c r="AW435" i="1" l="1"/>
  <c r="AX428" i="1"/>
  <c r="AX434" i="1" s="1"/>
  <c r="AX303" i="1"/>
  <c r="AW599" i="1"/>
  <c r="AU169" i="12"/>
  <c r="AU174" i="12" s="1"/>
  <c r="AT269" i="12"/>
  <c r="AT274" i="12" s="1"/>
  <c r="AV67" i="12"/>
  <c r="AV72" i="12" s="1"/>
  <c r="AU995" i="1"/>
  <c r="AT891" i="1"/>
  <c r="AV995" i="1"/>
  <c r="K995" i="1"/>
  <c r="K997" i="1" s="1"/>
  <c r="Z983" i="1"/>
  <c r="Q995" i="1"/>
  <c r="W983" i="1"/>
  <c r="N995" i="1"/>
  <c r="AJ983" i="1"/>
  <c r="AK991" i="1" s="1"/>
  <c r="AK992" i="1" s="1"/>
  <c r="AK996" i="1" s="1"/>
  <c r="AK995" i="1"/>
  <c r="AF995" i="1"/>
  <c r="AL983" i="1"/>
  <c r="AL991" i="1" s="1"/>
  <c r="AL992" i="1" s="1"/>
  <c r="AL996" i="1" s="1"/>
  <c r="AL997" i="1" s="1"/>
  <c r="AS983" i="1"/>
  <c r="X995" i="1"/>
  <c r="X983" i="1"/>
  <c r="AD995" i="1"/>
  <c r="AD983" i="1"/>
  <c r="AI995" i="1"/>
  <c r="AI983" i="1"/>
  <c r="R983" i="1"/>
  <c r="R995" i="1"/>
  <c r="AB995" i="1"/>
  <c r="AB983" i="1"/>
  <c r="AP983" i="1"/>
  <c r="AP995" i="1"/>
  <c r="AA983" i="1"/>
  <c r="AA995" i="1"/>
  <c r="AH995" i="1"/>
  <c r="AH983" i="1"/>
  <c r="S983" i="1"/>
  <c r="S995" i="1"/>
  <c r="AO983" i="1"/>
  <c r="AO995" i="1"/>
  <c r="T995" i="1"/>
  <c r="T983" i="1"/>
  <c r="L995" i="1"/>
  <c r="L983" i="1"/>
  <c r="AG995" i="1"/>
  <c r="AG983" i="1"/>
  <c r="AC983" i="1"/>
  <c r="AC995" i="1"/>
  <c r="AM995" i="1"/>
  <c r="AM983" i="1"/>
  <c r="AE983" i="1"/>
  <c r="AE995" i="1"/>
  <c r="Y983" i="1"/>
  <c r="Y995" i="1"/>
  <c r="U983" i="1"/>
  <c r="U995" i="1"/>
  <c r="O995" i="1"/>
  <c r="O983" i="1"/>
  <c r="O991" i="1" s="1"/>
  <c r="O992" i="1" s="1"/>
  <c r="O996" i="1" s="1"/>
  <c r="AT995" i="1"/>
  <c r="AT983" i="1"/>
  <c r="V983" i="1"/>
  <c r="V995" i="1"/>
  <c r="P983" i="1"/>
  <c r="Q991" i="1" s="1"/>
  <c r="Q992" i="1" s="1"/>
  <c r="Q996" i="1" s="1"/>
  <c r="P995" i="1"/>
  <c r="AQ995" i="1"/>
  <c r="AQ983" i="1"/>
  <c r="M983" i="1"/>
  <c r="N991" i="1" s="1"/>
  <c r="N992" i="1" s="1"/>
  <c r="N996" i="1" s="1"/>
  <c r="M995" i="1"/>
  <c r="AR995" i="1"/>
  <c r="AR983" i="1"/>
  <c r="AN995" i="1"/>
  <c r="AN983" i="1"/>
  <c r="AV223" i="1"/>
  <c r="AV439" i="1" s="1"/>
  <c r="AV442" i="1" s="1"/>
  <c r="AV1004" i="1" s="1"/>
  <c r="AX598" i="1"/>
  <c r="I598" i="1" s="1"/>
  <c r="AU109" i="1"/>
  <c r="AU130" i="1" s="1"/>
  <c r="AV305" i="1"/>
  <c r="AV703" i="1"/>
  <c r="AV532" i="1"/>
  <c r="AV502" i="1"/>
  <c r="AV504" i="1" s="1"/>
  <c r="AV991" i="1"/>
  <c r="AV992" i="1" s="1"/>
  <c r="AV996" i="1" s="1"/>
  <c r="I92" i="12"/>
  <c r="F105" i="12"/>
  <c r="I88" i="12"/>
  <c r="F101" i="12"/>
  <c r="F105" i="1"/>
  <c r="L109" i="1"/>
  <c r="L130" i="1" s="1"/>
  <c r="K109" i="1"/>
  <c r="M109" i="1"/>
  <c r="M130" i="1" s="1"/>
  <c r="N109" i="1"/>
  <c r="N130" i="1" s="1"/>
  <c r="O109" i="1"/>
  <c r="O130" i="1" s="1"/>
  <c r="P109" i="1"/>
  <c r="P130" i="1" s="1"/>
  <c r="Q109" i="1"/>
  <c r="Q130" i="1" s="1"/>
  <c r="R109" i="1"/>
  <c r="R130" i="1" s="1"/>
  <c r="T109" i="1"/>
  <c r="T130" i="1" s="1"/>
  <c r="S109" i="1"/>
  <c r="S130" i="1" s="1"/>
  <c r="U109" i="1"/>
  <c r="U130" i="1" s="1"/>
  <c r="W109" i="1"/>
  <c r="W130" i="1" s="1"/>
  <c r="V109" i="1"/>
  <c r="V130" i="1" s="1"/>
  <c r="X109" i="1"/>
  <c r="X130" i="1" s="1"/>
  <c r="Y109" i="1"/>
  <c r="Y130" i="1" s="1"/>
  <c r="AA109" i="1"/>
  <c r="AA130" i="1" s="1"/>
  <c r="AB109" i="1"/>
  <c r="AB130" i="1" s="1"/>
  <c r="AD109" i="1"/>
  <c r="AD130" i="1" s="1"/>
  <c r="Z109" i="1"/>
  <c r="Z130" i="1" s="1"/>
  <c r="AC109" i="1"/>
  <c r="AC130" i="1" s="1"/>
  <c r="AF109" i="1"/>
  <c r="AF130" i="1" s="1"/>
  <c r="AE109" i="1"/>
  <c r="AE130" i="1" s="1"/>
  <c r="AX109" i="1"/>
  <c r="AX130" i="1" s="1"/>
  <c r="AW109" i="1"/>
  <c r="AW130" i="1" s="1"/>
  <c r="AX116" i="1"/>
  <c r="AH109" i="1"/>
  <c r="AH130" i="1" s="1"/>
  <c r="AG109" i="1"/>
  <c r="AG130" i="1" s="1"/>
  <c r="AI109" i="1"/>
  <c r="AI130" i="1" s="1"/>
  <c r="AL109" i="1"/>
  <c r="AL130" i="1" s="1"/>
  <c r="AK109" i="1"/>
  <c r="AK130" i="1" s="1"/>
  <c r="AJ109" i="1"/>
  <c r="AJ130" i="1" s="1"/>
  <c r="AO109" i="1"/>
  <c r="AO130" i="1" s="1"/>
  <c r="AM109" i="1"/>
  <c r="AM130" i="1" s="1"/>
  <c r="AN109" i="1"/>
  <c r="AN130" i="1" s="1"/>
  <c r="AS109" i="1"/>
  <c r="AS130" i="1" s="1"/>
  <c r="AP109" i="1"/>
  <c r="AP130" i="1" s="1"/>
  <c r="AU13" i="7"/>
  <c r="AU27" i="7" s="1"/>
  <c r="AW193" i="12"/>
  <c r="AW225" i="12"/>
  <c r="AW238" i="12" s="1"/>
  <c r="AW293" i="12" s="1"/>
  <c r="AV706" i="1"/>
  <c r="AV1042" i="1"/>
  <c r="I19" i="12"/>
  <c r="I177" i="1"/>
  <c r="AW892" i="1"/>
  <c r="AW758" i="1"/>
  <c r="I724" i="1"/>
  <c r="I309" i="1"/>
  <c r="I469" i="1"/>
  <c r="I968" i="1"/>
  <c r="I25" i="12"/>
  <c r="I249" i="31"/>
  <c r="I588" i="1"/>
  <c r="I966" i="1"/>
  <c r="I722" i="1"/>
  <c r="I23" i="12"/>
  <c r="I596" i="1"/>
  <c r="I307" i="1"/>
  <c r="I488" i="1"/>
  <c r="AU267" i="12"/>
  <c r="AU285" i="12"/>
  <c r="AX733" i="1"/>
  <c r="I733" i="1" s="1"/>
  <c r="AW1151" i="1"/>
  <c r="AW65" i="12"/>
  <c r="AW30" i="12"/>
  <c r="AW95" i="12" s="1"/>
  <c r="AW155" i="1"/>
  <c r="AW33" i="12"/>
  <c r="AW130" i="12" s="1"/>
  <c r="I236" i="31"/>
  <c r="AX245" i="31"/>
  <c r="AX298" i="1"/>
  <c r="AX248" i="31"/>
  <c r="AX252" i="31" s="1"/>
  <c r="AX178" i="1"/>
  <c r="AX185" i="1" s="1"/>
  <c r="AX21" i="12"/>
  <c r="AX86" i="12" s="1"/>
  <c r="AX217" i="1"/>
  <c r="AW995" i="1"/>
  <c r="AW983" i="1"/>
  <c r="AW991" i="1" s="1"/>
  <c r="AW992" i="1" s="1"/>
  <c r="AW996" i="1" s="1"/>
  <c r="AW692" i="1"/>
  <c r="F102" i="12"/>
  <c r="I89" i="12"/>
  <c r="AT109" i="1"/>
  <c r="AT130" i="1" s="1"/>
  <c r="AX745" i="1"/>
  <c r="I735" i="1"/>
  <c r="AX127" i="7"/>
  <c r="AX128" i="7" s="1"/>
  <c r="F104" i="12"/>
  <c r="I91" i="12"/>
  <c r="I127" i="7" s="1"/>
  <c r="AU707" i="1"/>
  <c r="AU1004" i="1"/>
  <c r="AU853" i="1"/>
  <c r="AU857" i="1" s="1"/>
  <c r="AU446" i="1"/>
  <c r="AR109" i="1"/>
  <c r="AR130" i="1" s="1"/>
  <c r="AV1121" i="1"/>
  <c r="F98" i="12"/>
  <c r="I85" i="12"/>
  <c r="I84" i="12"/>
  <c r="F97" i="12"/>
  <c r="AV445" i="1"/>
  <c r="F106" i="12"/>
  <c r="I93" i="12"/>
  <c r="AX744" i="1"/>
  <c r="I734" i="1"/>
  <c r="AX981" i="1"/>
  <c r="I976" i="1"/>
  <c r="I723" i="1"/>
  <c r="I333" i="1"/>
  <c r="I967" i="1"/>
  <c r="I308" i="1"/>
  <c r="I597" i="1"/>
  <c r="I24" i="12"/>
  <c r="I468" i="1"/>
  <c r="AU430" i="1"/>
  <c r="I26" i="12"/>
  <c r="I589" i="1"/>
  <c r="I489" i="1"/>
  <c r="I310" i="1"/>
  <c r="I725" i="1"/>
  <c r="I969" i="1"/>
  <c r="I250" i="31"/>
  <c r="I27" i="12"/>
  <c r="I970" i="1"/>
  <c r="I104" i="1"/>
  <c r="I145" i="1"/>
  <c r="I251" i="31"/>
  <c r="I772" i="1"/>
  <c r="AX897" i="1"/>
  <c r="AX777" i="1"/>
  <c r="AQ109" i="1"/>
  <c r="AQ130" i="1" s="1"/>
  <c r="AW429" i="1"/>
  <c r="AW1104" i="1"/>
  <c r="AW304" i="1"/>
  <c r="AW218" i="1"/>
  <c r="AW219" i="1" s="1"/>
  <c r="AW222" i="1"/>
  <c r="AW438" i="1" s="1"/>
  <c r="AW441" i="1" s="1"/>
  <c r="AW445" i="1" s="1"/>
  <c r="AW697" i="1"/>
  <c r="AV185" i="12"/>
  <c r="AV217" i="12"/>
  <c r="AV230" i="12" s="1"/>
  <c r="AV167" i="12"/>
  <c r="F103" i="12"/>
  <c r="I90" i="12"/>
  <c r="AX732" i="1"/>
  <c r="AX742" i="1" s="1"/>
  <c r="F1134" i="1"/>
  <c r="I1120" i="1"/>
  <c r="I12" i="7" s="1"/>
  <c r="I26" i="7" s="1"/>
  <c r="AX12" i="7"/>
  <c r="AV765" i="1"/>
  <c r="AV868" i="1" s="1"/>
  <c r="AV764" i="1"/>
  <c r="AV776" i="1" s="1"/>
  <c r="AX435" i="1" l="1"/>
  <c r="I428" i="1"/>
  <c r="I303" i="1"/>
  <c r="AU269" i="12"/>
  <c r="AU274" i="12" s="1"/>
  <c r="AV169" i="12"/>
  <c r="AV174" i="12" s="1"/>
  <c r="AW67" i="12"/>
  <c r="AW72" i="12" s="1"/>
  <c r="AV853" i="1"/>
  <c r="AV857" i="1" s="1"/>
  <c r="AV867" i="1" s="1"/>
  <c r="AV997" i="1"/>
  <c r="AV998" i="1" s="1"/>
  <c r="AV1111" i="1" s="1"/>
  <c r="AV1128" i="1" s="1"/>
  <c r="AV20" i="7" s="1"/>
  <c r="AV34" i="7" s="1"/>
  <c r="X991" i="1"/>
  <c r="X992" i="1" s="1"/>
  <c r="X996" i="1" s="1"/>
  <c r="X997" i="1" s="1"/>
  <c r="X1010" i="1" s="1"/>
  <c r="AM991" i="1"/>
  <c r="AM992" i="1" s="1"/>
  <c r="AM996" i="1" s="1"/>
  <c r="AM997" i="1" s="1"/>
  <c r="AM998" i="1" s="1"/>
  <c r="AM1111" i="1" s="1"/>
  <c r="AM1128" i="1" s="1"/>
  <c r="AM20" i="7" s="1"/>
  <c r="AM34" i="7" s="1"/>
  <c r="AA991" i="1"/>
  <c r="AA992" i="1" s="1"/>
  <c r="AA996" i="1" s="1"/>
  <c r="AA997" i="1" s="1"/>
  <c r="AA998" i="1" s="1"/>
  <c r="AA1111" i="1" s="1"/>
  <c r="AA1128" i="1" s="1"/>
  <c r="AA20" i="7" s="1"/>
  <c r="AA34" i="7" s="1"/>
  <c r="Z991" i="1"/>
  <c r="Z992" i="1" s="1"/>
  <c r="Z996" i="1" s="1"/>
  <c r="Z997" i="1" s="1"/>
  <c r="Z1010" i="1" s="1"/>
  <c r="AJ991" i="1"/>
  <c r="AJ992" i="1" s="1"/>
  <c r="AJ996" i="1" s="1"/>
  <c r="AJ997" i="1" s="1"/>
  <c r="AJ1010" i="1" s="1"/>
  <c r="Q997" i="1"/>
  <c r="Q1010" i="1" s="1"/>
  <c r="N997" i="1"/>
  <c r="N1010" i="1" s="1"/>
  <c r="AK997" i="1"/>
  <c r="AK1010" i="1" s="1"/>
  <c r="AS991" i="1"/>
  <c r="AS992" i="1" s="1"/>
  <c r="AS996" i="1" s="1"/>
  <c r="AS997" i="1" s="1"/>
  <c r="AS1010" i="1" s="1"/>
  <c r="AV446" i="1"/>
  <c r="AV707" i="1"/>
  <c r="AT991" i="1"/>
  <c r="AT992" i="1" s="1"/>
  <c r="AT996" i="1" s="1"/>
  <c r="AT997" i="1" s="1"/>
  <c r="AT1010" i="1" s="1"/>
  <c r="AX599" i="1"/>
  <c r="O997" i="1"/>
  <c r="O1010" i="1" s="1"/>
  <c r="Y991" i="1"/>
  <c r="Y992" i="1" s="1"/>
  <c r="Y996" i="1" s="1"/>
  <c r="Y997" i="1" s="1"/>
  <c r="U991" i="1"/>
  <c r="U992" i="1" s="1"/>
  <c r="U996" i="1" s="1"/>
  <c r="U997" i="1" s="1"/>
  <c r="AG991" i="1"/>
  <c r="AG992" i="1" s="1"/>
  <c r="AG996" i="1" s="1"/>
  <c r="AG997" i="1" s="1"/>
  <c r="AH991" i="1"/>
  <c r="AH992" i="1" s="1"/>
  <c r="AH996" i="1" s="1"/>
  <c r="AH997" i="1" s="1"/>
  <c r="AR991" i="1"/>
  <c r="AR992" i="1" s="1"/>
  <c r="AR996" i="1" s="1"/>
  <c r="AR997" i="1" s="1"/>
  <c r="T991" i="1"/>
  <c r="T992" i="1" s="1"/>
  <c r="T996" i="1" s="1"/>
  <c r="T997" i="1" s="1"/>
  <c r="AQ991" i="1"/>
  <c r="AQ992" i="1" s="1"/>
  <c r="AQ996" i="1" s="1"/>
  <c r="AQ997" i="1" s="1"/>
  <c r="R991" i="1"/>
  <c r="R992" i="1" s="1"/>
  <c r="R996" i="1" s="1"/>
  <c r="R997" i="1" s="1"/>
  <c r="S991" i="1"/>
  <c r="S992" i="1" s="1"/>
  <c r="S996" i="1" s="1"/>
  <c r="S997" i="1" s="1"/>
  <c r="P991" i="1"/>
  <c r="P992" i="1" s="1"/>
  <c r="P996" i="1" s="1"/>
  <c r="P997" i="1" s="1"/>
  <c r="L991" i="1"/>
  <c r="L992" i="1" s="1"/>
  <c r="L996" i="1" s="1"/>
  <c r="L997" i="1" s="1"/>
  <c r="M991" i="1"/>
  <c r="M992" i="1" s="1"/>
  <c r="M996" i="1" s="1"/>
  <c r="M997" i="1" s="1"/>
  <c r="AB991" i="1"/>
  <c r="AB992" i="1" s="1"/>
  <c r="AB996" i="1" s="1"/>
  <c r="AB997" i="1" s="1"/>
  <c r="AC991" i="1"/>
  <c r="AC992" i="1" s="1"/>
  <c r="AC996" i="1" s="1"/>
  <c r="AC997" i="1" s="1"/>
  <c r="AI991" i="1"/>
  <c r="AI992" i="1" s="1"/>
  <c r="AI996" i="1" s="1"/>
  <c r="AI997" i="1" s="1"/>
  <c r="K998" i="1"/>
  <c r="K1111" i="1" s="1"/>
  <c r="K1128" i="1" s="1"/>
  <c r="K20" i="7" s="1"/>
  <c r="K34" i="7" s="1"/>
  <c r="K1010" i="1"/>
  <c r="AU991" i="1"/>
  <c r="AU992" i="1" s="1"/>
  <c r="AU996" i="1" s="1"/>
  <c r="AU997" i="1" s="1"/>
  <c r="AE991" i="1"/>
  <c r="AE992" i="1" s="1"/>
  <c r="AE996" i="1" s="1"/>
  <c r="AE997" i="1" s="1"/>
  <c r="AN991" i="1"/>
  <c r="AN992" i="1" s="1"/>
  <c r="AN996" i="1" s="1"/>
  <c r="AN997" i="1" s="1"/>
  <c r="AO991" i="1"/>
  <c r="AO992" i="1" s="1"/>
  <c r="AO996" i="1" s="1"/>
  <c r="AO997" i="1" s="1"/>
  <c r="AF991" i="1"/>
  <c r="AF992" i="1" s="1"/>
  <c r="AF996" i="1" s="1"/>
  <c r="AF997" i="1" s="1"/>
  <c r="V991" i="1"/>
  <c r="V992" i="1" s="1"/>
  <c r="V996" i="1" s="1"/>
  <c r="V997" i="1" s="1"/>
  <c r="W991" i="1"/>
  <c r="W992" i="1" s="1"/>
  <c r="W996" i="1" s="1"/>
  <c r="W997" i="1" s="1"/>
  <c r="AL998" i="1"/>
  <c r="AL1111" i="1" s="1"/>
  <c r="AL1128" i="1" s="1"/>
  <c r="AL20" i="7" s="1"/>
  <c r="AL34" i="7" s="1"/>
  <c r="AL1010" i="1"/>
  <c r="AD991" i="1"/>
  <c r="AD992" i="1" s="1"/>
  <c r="AD996" i="1" s="1"/>
  <c r="AD997" i="1" s="1"/>
  <c r="AP991" i="1"/>
  <c r="AP992" i="1" s="1"/>
  <c r="AP996" i="1" s="1"/>
  <c r="AP997" i="1" s="1"/>
  <c r="AU120" i="1"/>
  <c r="AU136" i="1" s="1"/>
  <c r="AU147" i="1" s="1"/>
  <c r="AS120" i="1"/>
  <c r="AS136" i="1" s="1"/>
  <c r="AS151" i="1" s="1"/>
  <c r="AV120" i="1"/>
  <c r="AV136" i="1" s="1"/>
  <c r="AV147" i="1" s="1"/>
  <c r="AT120" i="1"/>
  <c r="AT136" i="1" s="1"/>
  <c r="AT151" i="1" s="1"/>
  <c r="AW120" i="1"/>
  <c r="AW136" i="1" s="1"/>
  <c r="AW151" i="1" s="1"/>
  <c r="AW223" i="1"/>
  <c r="AW439" i="1" s="1"/>
  <c r="AW442" i="1" s="1"/>
  <c r="AW446" i="1" s="1"/>
  <c r="AW997" i="1"/>
  <c r="AW998" i="1" s="1"/>
  <c r="AW1111" i="1" s="1"/>
  <c r="AW1128" i="1" s="1"/>
  <c r="AW20" i="7" s="1"/>
  <c r="AW34" i="7" s="1"/>
  <c r="I732" i="1"/>
  <c r="I435" i="1"/>
  <c r="I697" i="1" s="1"/>
  <c r="AX697" i="1"/>
  <c r="AW706" i="1"/>
  <c r="AW1042" i="1"/>
  <c r="I777" i="1"/>
  <c r="I897" i="1"/>
  <c r="I981" i="1"/>
  <c r="I995" i="1" s="1"/>
  <c r="AX995" i="1"/>
  <c r="AX983" i="1"/>
  <c r="I744" i="1"/>
  <c r="AX779" i="1"/>
  <c r="AX894" i="1"/>
  <c r="O6" i="5"/>
  <c r="F44" i="35" s="1"/>
  <c r="J44" i="35" s="1"/>
  <c r="I44" i="35" s="1"/>
  <c r="F116" i="12"/>
  <c r="P6" i="5" s="1"/>
  <c r="F121" i="12"/>
  <c r="P11" i="5" s="1"/>
  <c r="O11" i="5"/>
  <c r="F48" i="35" s="1"/>
  <c r="J48" i="35" s="1"/>
  <c r="I48" i="35" s="1"/>
  <c r="AX212" i="1"/>
  <c r="AX214" i="1" s="1"/>
  <c r="I185" i="1"/>
  <c r="I212" i="1" s="1"/>
  <c r="I178" i="1"/>
  <c r="I217" i="1"/>
  <c r="I248" i="31"/>
  <c r="I298" i="1"/>
  <c r="F299" i="1" s="1"/>
  <c r="F10" i="12" s="1"/>
  <c r="F13" i="12" s="1"/>
  <c r="I21" i="12"/>
  <c r="F112" i="1"/>
  <c r="I109" i="1"/>
  <c r="I130" i="1" s="1"/>
  <c r="K111" i="1"/>
  <c r="L111" i="1" s="1"/>
  <c r="M111" i="1" s="1"/>
  <c r="N111" i="1" s="1"/>
  <c r="O111" i="1" s="1"/>
  <c r="P111" i="1" s="1"/>
  <c r="Q111" i="1" s="1"/>
  <c r="R111" i="1" s="1"/>
  <c r="S111" i="1" s="1"/>
  <c r="T111" i="1" s="1"/>
  <c r="U111" i="1" s="1"/>
  <c r="V111" i="1" s="1"/>
  <c r="W111" i="1" s="1"/>
  <c r="X111" i="1" s="1"/>
  <c r="Y111" i="1" s="1"/>
  <c r="Z111" i="1" s="1"/>
  <c r="AA111" i="1" s="1"/>
  <c r="AB111" i="1" s="1"/>
  <c r="AC111" i="1" s="1"/>
  <c r="AD111" i="1" s="1"/>
  <c r="AE111" i="1" s="1"/>
  <c r="AF111" i="1" s="1"/>
  <c r="AG111" i="1" s="1"/>
  <c r="AH111" i="1" s="1"/>
  <c r="AI111" i="1" s="1"/>
  <c r="AJ111" i="1" s="1"/>
  <c r="AK111" i="1" s="1"/>
  <c r="AL111" i="1" s="1"/>
  <c r="K130" i="1"/>
  <c r="K131" i="1" s="1"/>
  <c r="AX26" i="7"/>
  <c r="F62" i="7"/>
  <c r="I742" i="1"/>
  <c r="AX892" i="1"/>
  <c r="AX758" i="1"/>
  <c r="AW1121" i="1"/>
  <c r="AW502" i="1"/>
  <c r="AW504" i="1" s="1"/>
  <c r="AW305" i="1"/>
  <c r="AW703" i="1"/>
  <c r="AW532" i="1"/>
  <c r="O14" i="5"/>
  <c r="F51" i="35" s="1"/>
  <c r="J51" i="35" s="1"/>
  <c r="I51" i="35" s="1"/>
  <c r="F124" i="12"/>
  <c r="P14" i="5" s="1"/>
  <c r="I434" i="1"/>
  <c r="I692" i="1" s="1"/>
  <c r="AX692" i="1"/>
  <c r="I745" i="1"/>
  <c r="AX895" i="1"/>
  <c r="AX870" i="1"/>
  <c r="AX41" i="12"/>
  <c r="I252" i="31"/>
  <c r="I41" i="12" s="1"/>
  <c r="AW167" i="12"/>
  <c r="AW185" i="12"/>
  <c r="AW217" i="12"/>
  <c r="AW230" i="12" s="1"/>
  <c r="AX120" i="1"/>
  <c r="AX136" i="1" s="1"/>
  <c r="AR120" i="1"/>
  <c r="AR136" i="1" s="1"/>
  <c r="O10" i="5"/>
  <c r="F47" i="35" s="1"/>
  <c r="J47" i="35" s="1"/>
  <c r="I47" i="35" s="1"/>
  <c r="F120" i="12"/>
  <c r="P10" i="5" s="1"/>
  <c r="F122" i="12"/>
  <c r="P12" i="5" s="1"/>
  <c r="O12" i="5"/>
  <c r="F49" i="35" s="1"/>
  <c r="J49" i="35" s="1"/>
  <c r="I49" i="35" s="1"/>
  <c r="O7" i="5"/>
  <c r="F45" i="35" s="1"/>
  <c r="J45" i="35" s="1"/>
  <c r="I45" i="35" s="1"/>
  <c r="F117" i="12"/>
  <c r="P7" i="5" s="1"/>
  <c r="I86" i="12"/>
  <c r="F99" i="12"/>
  <c r="I245" i="31"/>
  <c r="F264" i="31"/>
  <c r="F266" i="31" s="1"/>
  <c r="F289" i="31" s="1"/>
  <c r="F291" i="31" s="1"/>
  <c r="K10" i="34" s="1"/>
  <c r="F97" i="35" s="1"/>
  <c r="J97" i="35" s="1"/>
  <c r="I97" i="35" s="1"/>
  <c r="AX155" i="1"/>
  <c r="AX33" i="12"/>
  <c r="AX65" i="12"/>
  <c r="AX30" i="12"/>
  <c r="AX95" i="12" s="1"/>
  <c r="AX1151" i="1"/>
  <c r="O20" i="5"/>
  <c r="AV285" i="12"/>
  <c r="AV267" i="12"/>
  <c r="F125" i="12"/>
  <c r="P15" i="5" s="1"/>
  <c r="O15" i="5"/>
  <c r="F52" i="35" s="1"/>
  <c r="J52" i="35" s="1"/>
  <c r="I52" i="35" s="1"/>
  <c r="AV13" i="7"/>
  <c r="AV27" i="7" s="1"/>
  <c r="AU867" i="1"/>
  <c r="AU891" i="1"/>
  <c r="O13" i="5"/>
  <c r="F50" i="35" s="1"/>
  <c r="J50" i="35" s="1"/>
  <c r="I50" i="35" s="1"/>
  <c r="F123" i="12"/>
  <c r="P13" i="5" s="1"/>
  <c r="AX743" i="1"/>
  <c r="AW764" i="1"/>
  <c r="AW776" i="1" s="1"/>
  <c r="AW765" i="1"/>
  <c r="AW868" i="1" s="1"/>
  <c r="AV430" i="1"/>
  <c r="AX67" i="12" l="1"/>
  <c r="AX72" i="12" s="1"/>
  <c r="F75" i="12" s="1"/>
  <c r="AV269" i="12"/>
  <c r="AV274" i="12" s="1"/>
  <c r="T64" i="5"/>
  <c r="AW169" i="12"/>
  <c r="AW174" i="12" s="1"/>
  <c r="AV891" i="1"/>
  <c r="AV1010" i="1"/>
  <c r="AJ998" i="1"/>
  <c r="AJ1111" i="1" s="1"/>
  <c r="AJ1128" i="1" s="1"/>
  <c r="AJ20" i="7" s="1"/>
  <c r="AJ34" i="7" s="1"/>
  <c r="Z998" i="1"/>
  <c r="Z1111" i="1" s="1"/>
  <c r="Z1128" i="1" s="1"/>
  <c r="Z20" i="7" s="1"/>
  <c r="Z34" i="7" s="1"/>
  <c r="Q998" i="1"/>
  <c r="Q1111" i="1" s="1"/>
  <c r="Q1128" i="1" s="1"/>
  <c r="Q20" i="7" s="1"/>
  <c r="Q34" i="7" s="1"/>
  <c r="AK998" i="1"/>
  <c r="AK1111" i="1" s="1"/>
  <c r="AK1128" i="1" s="1"/>
  <c r="AK20" i="7" s="1"/>
  <c r="AK34" i="7" s="1"/>
  <c r="X998" i="1"/>
  <c r="X1111" i="1" s="1"/>
  <c r="X1128" i="1" s="1"/>
  <c r="X20" i="7" s="1"/>
  <c r="X34" i="7" s="1"/>
  <c r="N998" i="1"/>
  <c r="N1111" i="1" s="1"/>
  <c r="N1128" i="1" s="1"/>
  <c r="N20" i="7" s="1"/>
  <c r="N34" i="7" s="1"/>
  <c r="AM1010" i="1"/>
  <c r="AA1010" i="1"/>
  <c r="AS998" i="1"/>
  <c r="AS1111" i="1" s="1"/>
  <c r="AS1128" i="1" s="1"/>
  <c r="AS20" i="7" s="1"/>
  <c r="AS34" i="7" s="1"/>
  <c r="O998" i="1"/>
  <c r="O1111" i="1" s="1"/>
  <c r="O1128" i="1" s="1"/>
  <c r="O20" i="7" s="1"/>
  <c r="O34" i="7" s="1"/>
  <c r="AT998" i="1"/>
  <c r="AT1111" i="1" s="1"/>
  <c r="AT1128" i="1" s="1"/>
  <c r="AT20" i="7" s="1"/>
  <c r="AT34" i="7" s="1"/>
  <c r="AW707" i="1"/>
  <c r="AF1010" i="1"/>
  <c r="AF998" i="1"/>
  <c r="AF1111" i="1" s="1"/>
  <c r="AF1128" i="1" s="1"/>
  <c r="AF20" i="7" s="1"/>
  <c r="AF34" i="7" s="1"/>
  <c r="L1010" i="1"/>
  <c r="L998" i="1"/>
  <c r="L1111" i="1" s="1"/>
  <c r="L1128" i="1" s="1"/>
  <c r="L20" i="7" s="1"/>
  <c r="L34" i="7" s="1"/>
  <c r="AR998" i="1"/>
  <c r="AR1111" i="1" s="1"/>
  <c r="AR1128" i="1" s="1"/>
  <c r="AR20" i="7" s="1"/>
  <c r="AR34" i="7" s="1"/>
  <c r="AR1010" i="1"/>
  <c r="AW147" i="1"/>
  <c r="AW1004" i="1"/>
  <c r="AP1010" i="1"/>
  <c r="AP998" i="1"/>
  <c r="AP1111" i="1" s="1"/>
  <c r="AP1128" i="1" s="1"/>
  <c r="AP20" i="7" s="1"/>
  <c r="AP34" i="7" s="1"/>
  <c r="AO998" i="1"/>
  <c r="AO1111" i="1" s="1"/>
  <c r="AO1128" i="1" s="1"/>
  <c r="AO20" i="7" s="1"/>
  <c r="AO34" i="7" s="1"/>
  <c r="AO1010" i="1"/>
  <c r="AC998" i="1"/>
  <c r="AC1111" i="1" s="1"/>
  <c r="AC1128" i="1" s="1"/>
  <c r="AC20" i="7" s="1"/>
  <c r="AC34" i="7" s="1"/>
  <c r="AC1010" i="1"/>
  <c r="T1010" i="1"/>
  <c r="T998" i="1"/>
  <c r="T1111" i="1" s="1"/>
  <c r="T1128" i="1" s="1"/>
  <c r="T20" i="7" s="1"/>
  <c r="T34" i="7" s="1"/>
  <c r="AH1010" i="1"/>
  <c r="AH998" i="1"/>
  <c r="AH1111" i="1" s="1"/>
  <c r="AH1128" i="1" s="1"/>
  <c r="AH20" i="7" s="1"/>
  <c r="AH34" i="7" s="1"/>
  <c r="Y1010" i="1"/>
  <c r="Y998" i="1"/>
  <c r="Y1111" i="1" s="1"/>
  <c r="Y1128" i="1" s="1"/>
  <c r="Y20" i="7" s="1"/>
  <c r="Y34" i="7" s="1"/>
  <c r="V998" i="1"/>
  <c r="V1111" i="1" s="1"/>
  <c r="V1128" i="1" s="1"/>
  <c r="V20" i="7" s="1"/>
  <c r="V34" i="7" s="1"/>
  <c r="V1010" i="1"/>
  <c r="AE1010" i="1"/>
  <c r="AE998" i="1"/>
  <c r="AE1111" i="1" s="1"/>
  <c r="AE1128" i="1" s="1"/>
  <c r="AE20" i="7" s="1"/>
  <c r="AE34" i="7" s="1"/>
  <c r="AU998" i="1"/>
  <c r="AU1111" i="1" s="1"/>
  <c r="AU1128" i="1" s="1"/>
  <c r="AU20" i="7" s="1"/>
  <c r="AU34" i="7" s="1"/>
  <c r="AU1010" i="1"/>
  <c r="M998" i="1"/>
  <c r="M1111" i="1" s="1"/>
  <c r="M1128" i="1" s="1"/>
  <c r="M20" i="7" s="1"/>
  <c r="M34" i="7" s="1"/>
  <c r="M1010" i="1"/>
  <c r="P1010" i="1"/>
  <c r="P998" i="1"/>
  <c r="P1111" i="1" s="1"/>
  <c r="P1128" i="1" s="1"/>
  <c r="P20" i="7" s="1"/>
  <c r="P34" i="7" s="1"/>
  <c r="R998" i="1"/>
  <c r="R1111" i="1" s="1"/>
  <c r="R1128" i="1" s="1"/>
  <c r="R20" i="7" s="1"/>
  <c r="R34" i="7" s="1"/>
  <c r="R1010" i="1"/>
  <c r="AI1010" i="1"/>
  <c r="AI998" i="1"/>
  <c r="AI1111" i="1" s="1"/>
  <c r="AI1128" i="1" s="1"/>
  <c r="AI20" i="7" s="1"/>
  <c r="AI34" i="7" s="1"/>
  <c r="AQ998" i="1"/>
  <c r="AQ1111" i="1" s="1"/>
  <c r="AQ1128" i="1" s="1"/>
  <c r="AQ20" i="7" s="1"/>
  <c r="AQ34" i="7" s="1"/>
  <c r="AQ1010" i="1"/>
  <c r="AD998" i="1"/>
  <c r="AD1111" i="1" s="1"/>
  <c r="AD1128" i="1" s="1"/>
  <c r="AD20" i="7" s="1"/>
  <c r="AD34" i="7" s="1"/>
  <c r="AD1010" i="1"/>
  <c r="W1010" i="1"/>
  <c r="W998" i="1"/>
  <c r="W1111" i="1" s="1"/>
  <c r="W1128" i="1" s="1"/>
  <c r="W20" i="7" s="1"/>
  <c r="W34" i="7" s="1"/>
  <c r="AN998" i="1"/>
  <c r="AN1111" i="1" s="1"/>
  <c r="AN1128" i="1" s="1"/>
  <c r="AN20" i="7" s="1"/>
  <c r="AN34" i="7" s="1"/>
  <c r="AN1010" i="1"/>
  <c r="U998" i="1"/>
  <c r="U1111" i="1" s="1"/>
  <c r="U1128" i="1" s="1"/>
  <c r="U20" i="7" s="1"/>
  <c r="U34" i="7" s="1"/>
  <c r="U1010" i="1"/>
  <c r="AB1010" i="1"/>
  <c r="AB998" i="1"/>
  <c r="AB1111" i="1" s="1"/>
  <c r="AB1128" i="1" s="1"/>
  <c r="AB20" i="7" s="1"/>
  <c r="AB34" i="7" s="1"/>
  <c r="S1010" i="1"/>
  <c r="S998" i="1"/>
  <c r="S1111" i="1" s="1"/>
  <c r="S1128" i="1" s="1"/>
  <c r="S20" i="7" s="1"/>
  <c r="S34" i="7" s="1"/>
  <c r="AG998" i="1"/>
  <c r="AG1111" i="1" s="1"/>
  <c r="AG1128" i="1" s="1"/>
  <c r="AG20" i="7" s="1"/>
  <c r="AG34" i="7" s="1"/>
  <c r="AG1010" i="1"/>
  <c r="AW853" i="1"/>
  <c r="AW857" i="1" s="1"/>
  <c r="AW867" i="1" s="1"/>
  <c r="AU151" i="1"/>
  <c r="AT147" i="1"/>
  <c r="AV151" i="1"/>
  <c r="AS147" i="1"/>
  <c r="AW1010" i="1"/>
  <c r="F45" i="12"/>
  <c r="F58" i="12"/>
  <c r="AX130" i="12"/>
  <c r="O8" i="5"/>
  <c r="F46" i="35" s="1"/>
  <c r="J46" i="35" s="1"/>
  <c r="I46" i="35" s="1"/>
  <c r="F118" i="12"/>
  <c r="P8" i="5" s="1"/>
  <c r="AW430" i="1"/>
  <c r="AR147" i="1"/>
  <c r="AR151" i="1"/>
  <c r="AX764" i="1"/>
  <c r="AX765" i="1"/>
  <c r="I95" i="12"/>
  <c r="F108" i="12"/>
  <c r="AX151" i="1"/>
  <c r="AX147" i="1"/>
  <c r="I870" i="1"/>
  <c r="I895" i="1"/>
  <c r="K134" i="1"/>
  <c r="AX304" i="1"/>
  <c r="AX222" i="1"/>
  <c r="AX223" i="1" s="1"/>
  <c r="AX218" i="1"/>
  <c r="AX219" i="1" s="1"/>
  <c r="AX429" i="1"/>
  <c r="AX1104" i="1"/>
  <c r="I214" i="1"/>
  <c r="I894" i="1"/>
  <c r="I779" i="1"/>
  <c r="I743" i="1"/>
  <c r="AX778" i="1"/>
  <c r="AX893" i="1"/>
  <c r="F60" i="35"/>
  <c r="J60" i="35" s="1"/>
  <c r="I60" i="35" s="1"/>
  <c r="T66" i="5"/>
  <c r="I65" i="12"/>
  <c r="I155" i="1"/>
  <c r="I30" i="12"/>
  <c r="I33" i="12"/>
  <c r="I1151" i="1"/>
  <c r="AW267" i="12"/>
  <c r="AW285" i="12"/>
  <c r="AX138" i="12"/>
  <c r="F53" i="12"/>
  <c r="AW13" i="7"/>
  <c r="AW27" i="7" s="1"/>
  <c r="I758" i="1"/>
  <c r="I892" i="1"/>
  <c r="AM111" i="1"/>
  <c r="AN111" i="1" s="1"/>
  <c r="AO111" i="1" s="1"/>
  <c r="AP111" i="1" s="1"/>
  <c r="AL116" i="1"/>
  <c r="AX991" i="1"/>
  <c r="I983" i="1"/>
  <c r="AW269" i="12" l="1"/>
  <c r="AW274" i="12" s="1"/>
  <c r="AW891" i="1"/>
  <c r="I304" i="1"/>
  <c r="I1104" i="1"/>
  <c r="I218" i="1"/>
  <c r="I429" i="1"/>
  <c r="F160" i="12"/>
  <c r="G6" i="5" s="1"/>
  <c r="I130" i="12"/>
  <c r="F142" i="12"/>
  <c r="AX167" i="12"/>
  <c r="AX169" i="12" s="1"/>
  <c r="AX174" i="12" s="1"/>
  <c r="F177" i="12" s="1"/>
  <c r="AX185" i="12"/>
  <c r="F197" i="12" s="1"/>
  <c r="AX217" i="12"/>
  <c r="AX230" i="12" s="1"/>
  <c r="AQ111" i="1"/>
  <c r="AP116" i="1"/>
  <c r="I778" i="1"/>
  <c r="I893" i="1"/>
  <c r="I219" i="1"/>
  <c r="AX305" i="1"/>
  <c r="AX502" i="1"/>
  <c r="AX504" i="1" s="1"/>
  <c r="I504" i="1" s="1"/>
  <c r="AX532" i="1"/>
  <c r="AX703" i="1"/>
  <c r="AX992" i="1"/>
  <c r="I991" i="1"/>
  <c r="AX1121" i="1"/>
  <c r="AX438" i="1"/>
  <c r="AX441" i="1" s="1"/>
  <c r="I222" i="1"/>
  <c r="I438" i="1" s="1"/>
  <c r="AX868" i="1"/>
  <c r="I765" i="1"/>
  <c r="I868" i="1" s="1"/>
  <c r="AX439" i="1"/>
  <c r="AX442" i="1" s="1"/>
  <c r="I223" i="1"/>
  <c r="I439" i="1" s="1"/>
  <c r="I138" i="12"/>
  <c r="I225" i="12" s="1"/>
  <c r="F150" i="12"/>
  <c r="AX225" i="12"/>
  <c r="AX238" i="12" s="1"/>
  <c r="AX193" i="12"/>
  <c r="F205" i="12" s="1"/>
  <c r="U201" i="5" s="1"/>
  <c r="O17" i="5"/>
  <c r="F54" i="35" s="1"/>
  <c r="J54" i="35" s="1"/>
  <c r="I54" i="35" s="1"/>
  <c r="F127" i="12"/>
  <c r="P17" i="5" s="1"/>
  <c r="F110" i="12"/>
  <c r="F319" i="12" s="1"/>
  <c r="AX776" i="1"/>
  <c r="I764" i="1"/>
  <c r="I776" i="1" s="1"/>
  <c r="AX1004" i="1" l="1"/>
  <c r="AX707" i="1"/>
  <c r="AX853" i="1"/>
  <c r="AX857" i="1" s="1"/>
  <c r="I442" i="1"/>
  <c r="AX446" i="1"/>
  <c r="AX1042" i="1"/>
  <c r="AX706" i="1"/>
  <c r="I441" i="1"/>
  <c r="AX445" i="1"/>
  <c r="I502" i="1"/>
  <c r="I703" i="1"/>
  <c r="I532" i="1"/>
  <c r="I305" i="1"/>
  <c r="I430" i="1" s="1"/>
  <c r="AR111" i="1"/>
  <c r="AS111" i="1" s="1"/>
  <c r="AT111" i="1" s="1"/>
  <c r="AU111" i="1" s="1"/>
  <c r="AV111" i="1" s="1"/>
  <c r="AW111" i="1" s="1"/>
  <c r="AX111" i="1" s="1"/>
  <c r="AQ116" i="1"/>
  <c r="AQ120" i="1" s="1"/>
  <c r="AQ136" i="1" s="1"/>
  <c r="I6" i="5"/>
  <c r="AX996" i="1"/>
  <c r="AX997" i="1" s="1"/>
  <c r="I992" i="1"/>
  <c r="I996" i="1" s="1"/>
  <c r="AX430" i="1"/>
  <c r="F449" i="1" s="1"/>
  <c r="AX13" i="7"/>
  <c r="I1121" i="1"/>
  <c r="I13" i="7" s="1"/>
  <c r="I27" i="7" s="1"/>
  <c r="F1135" i="1"/>
  <c r="F260" i="12"/>
  <c r="H6" i="5" s="1"/>
  <c r="T79" i="5" s="1"/>
  <c r="F242" i="12"/>
  <c r="AX267" i="12"/>
  <c r="AX269" i="12" s="1"/>
  <c r="AX274" i="12" s="1"/>
  <c r="F277" i="12" s="1"/>
  <c r="AX285" i="12"/>
  <c r="F297" i="12" s="1"/>
  <c r="L6" i="5" s="1"/>
  <c r="T82" i="5" s="1"/>
  <c r="I217" i="12"/>
  <c r="I167" i="12"/>
  <c r="AX293" i="12"/>
  <c r="F305" i="12" s="1"/>
  <c r="F250" i="12"/>
  <c r="K6" i="5"/>
  <c r="F32" i="35" s="1"/>
  <c r="J32" i="35" s="1"/>
  <c r="I32" i="35" s="1"/>
  <c r="U193" i="5"/>
  <c r="Q120" i="1" l="1"/>
  <c r="Q136" i="1" s="1"/>
  <c r="Q147" i="1" s="1"/>
  <c r="T120" i="1"/>
  <c r="T136" i="1" s="1"/>
  <c r="T147" i="1" s="1"/>
  <c r="AJ120" i="1"/>
  <c r="AJ136" i="1" s="1"/>
  <c r="AJ147" i="1" s="1"/>
  <c r="AL120" i="1"/>
  <c r="AL136" i="1" s="1"/>
  <c r="AL147" i="1" s="1"/>
  <c r="AB120" i="1"/>
  <c r="AB136" i="1" s="1"/>
  <c r="AB151" i="1" s="1"/>
  <c r="N120" i="1"/>
  <c r="N136" i="1" s="1"/>
  <c r="N147" i="1" s="1"/>
  <c r="AO120" i="1"/>
  <c r="AO136" i="1" s="1"/>
  <c r="AO147" i="1" s="1"/>
  <c r="L120" i="1"/>
  <c r="L136" i="1" s="1"/>
  <c r="L151" i="1" s="1"/>
  <c r="AA120" i="1"/>
  <c r="AA136" i="1" s="1"/>
  <c r="AA147" i="1" s="1"/>
  <c r="S156" i="5"/>
  <c r="T175" i="5"/>
  <c r="AX27" i="7"/>
  <c r="F63" i="7"/>
  <c r="P120" i="1"/>
  <c r="P136" i="1" s="1"/>
  <c r="AN120" i="1"/>
  <c r="AN136" i="1" s="1"/>
  <c r="I706" i="1"/>
  <c r="I1042" i="1"/>
  <c r="I707" i="1"/>
  <c r="I853" i="1"/>
  <c r="I1004" i="1"/>
  <c r="AK120" i="1"/>
  <c r="AK136" i="1" s="1"/>
  <c r="O120" i="1"/>
  <c r="O136" i="1" s="1"/>
  <c r="U120" i="1"/>
  <c r="U136" i="1" s="1"/>
  <c r="AG120" i="1"/>
  <c r="AG136" i="1" s="1"/>
  <c r="S120" i="1"/>
  <c r="S136" i="1" s="1"/>
  <c r="O21" i="5"/>
  <c r="AI120" i="1"/>
  <c r="AI136" i="1" s="1"/>
  <c r="AH120" i="1"/>
  <c r="AH136" i="1" s="1"/>
  <c r="AP120" i="1"/>
  <c r="AP136" i="1" s="1"/>
  <c r="I997" i="1"/>
  <c r="I1010" i="1" s="1"/>
  <c r="AX998" i="1"/>
  <c r="AX1010" i="1"/>
  <c r="K120" i="1"/>
  <c r="F20" i="35"/>
  <c r="J20" i="35" s="1"/>
  <c r="I20" i="35" s="1"/>
  <c r="AC120" i="1"/>
  <c r="AC136" i="1" s="1"/>
  <c r="AX891" i="1"/>
  <c r="AX867" i="1"/>
  <c r="I857" i="1"/>
  <c r="AF120" i="1"/>
  <c r="AF136" i="1" s="1"/>
  <c r="M120" i="1"/>
  <c r="M136" i="1" s="1"/>
  <c r="W120" i="1"/>
  <c r="W136" i="1" s="1"/>
  <c r="J6" i="5"/>
  <c r="Y120" i="1"/>
  <c r="Y136" i="1" s="1"/>
  <c r="AM120" i="1"/>
  <c r="AM136" i="1" s="1"/>
  <c r="V120" i="1"/>
  <c r="V136" i="1" s="1"/>
  <c r="AD120" i="1"/>
  <c r="AD136" i="1" s="1"/>
  <c r="AE120" i="1"/>
  <c r="AE136" i="1" s="1"/>
  <c r="AQ151" i="1"/>
  <c r="AQ147" i="1"/>
  <c r="F450" i="1"/>
  <c r="I445" i="1"/>
  <c r="F451" i="1"/>
  <c r="I446" i="1"/>
  <c r="R120" i="1"/>
  <c r="R136" i="1" s="1"/>
  <c r="X120" i="1"/>
  <c r="X136" i="1" s="1"/>
  <c r="Z120" i="1"/>
  <c r="Z136" i="1" s="1"/>
  <c r="Q151" i="1" l="1"/>
  <c r="T151" i="1"/>
  <c r="AJ151" i="1"/>
  <c r="L147" i="1"/>
  <c r="AB147" i="1"/>
  <c r="AL151" i="1"/>
  <c r="N151" i="1"/>
  <c r="AA151" i="1"/>
  <c r="AO151" i="1"/>
  <c r="F452" i="1"/>
  <c r="Z147" i="1"/>
  <c r="Z151" i="1"/>
  <c r="AM151" i="1"/>
  <c r="AM147" i="1"/>
  <c r="I891" i="1"/>
  <c r="I867" i="1"/>
  <c r="R151" i="1"/>
  <c r="R147" i="1"/>
  <c r="AE151" i="1"/>
  <c r="AE147" i="1"/>
  <c r="Y147" i="1"/>
  <c r="Y151" i="1"/>
  <c r="W151" i="1"/>
  <c r="W147" i="1"/>
  <c r="U147" i="1"/>
  <c r="U151" i="1"/>
  <c r="AN151" i="1"/>
  <c r="AN147" i="1"/>
  <c r="AD151" i="1"/>
  <c r="AD147" i="1"/>
  <c r="M151" i="1"/>
  <c r="M147" i="1"/>
  <c r="K136" i="1"/>
  <c r="I120" i="1"/>
  <c r="I136" i="1" s="1"/>
  <c r="AP151" i="1"/>
  <c r="AP147" i="1"/>
  <c r="F61" i="35"/>
  <c r="J61" i="35" s="1"/>
  <c r="I61" i="35" s="1"/>
  <c r="T67" i="5"/>
  <c r="O151" i="1"/>
  <c r="O147" i="1"/>
  <c r="P151" i="1"/>
  <c r="P147" i="1"/>
  <c r="V151" i="1"/>
  <c r="V147" i="1"/>
  <c r="AF151" i="1"/>
  <c r="AF147" i="1"/>
  <c r="AC151" i="1"/>
  <c r="AC147" i="1"/>
  <c r="AH147" i="1"/>
  <c r="AH151" i="1"/>
  <c r="S147" i="1"/>
  <c r="S151" i="1"/>
  <c r="AK147" i="1"/>
  <c r="AK151" i="1"/>
  <c r="X147" i="1"/>
  <c r="X151" i="1"/>
  <c r="AX1111" i="1"/>
  <c r="AX1128" i="1" s="1"/>
  <c r="I998" i="1"/>
  <c r="I1111" i="1" s="1"/>
  <c r="AI151" i="1"/>
  <c r="AI147" i="1"/>
  <c r="AG151" i="1"/>
  <c r="AG147" i="1"/>
  <c r="K147" i="1" l="1"/>
  <c r="K148" i="1" s="1"/>
  <c r="F141" i="1"/>
  <c r="K151" i="1"/>
  <c r="K152" i="1" s="1"/>
  <c r="K137" i="1"/>
  <c r="L133" i="1" s="1"/>
  <c r="AX20" i="7"/>
  <c r="F1142" i="1"/>
  <c r="O28" i="5" s="1"/>
  <c r="I1128" i="1"/>
  <c r="I20" i="7" s="1"/>
  <c r="I34" i="7" s="1"/>
  <c r="I151" i="1"/>
  <c r="I147" i="1"/>
  <c r="K1152" i="1" l="1"/>
  <c r="K1153" i="1" s="1"/>
  <c r="K154" i="1"/>
  <c r="K156" i="1" s="1"/>
  <c r="K34" i="12"/>
  <c r="F68" i="35"/>
  <c r="J68" i="35" s="1"/>
  <c r="I68" i="35" s="1"/>
  <c r="T74" i="5"/>
  <c r="L124" i="1"/>
  <c r="L125" i="1" s="1"/>
  <c r="L128" i="1"/>
  <c r="L131" i="1" s="1"/>
  <c r="AX34" i="7"/>
  <c r="F70" i="7"/>
  <c r="K490" i="1"/>
  <c r="K491" i="1" s="1"/>
  <c r="K498" i="1" s="1"/>
  <c r="K311" i="1"/>
  <c r="K314" i="1" s="1"/>
  <c r="K726" i="1"/>
  <c r="K751" i="1" l="1"/>
  <c r="K316" i="1"/>
  <c r="L134" i="1"/>
  <c r="K590" i="1"/>
  <c r="L135" i="1"/>
  <c r="K131" i="12"/>
  <c r="K736" i="1"/>
  <c r="K746" i="1" s="1"/>
  <c r="K729" i="1"/>
  <c r="L137" i="1" l="1"/>
  <c r="M133" i="1" s="1"/>
  <c r="L146" i="1"/>
  <c r="L148" i="1" s="1"/>
  <c r="L150" i="1"/>
  <c r="L152" i="1" s="1"/>
  <c r="K218" i="12"/>
  <c r="K231" i="12" s="1"/>
  <c r="K186" i="12"/>
  <c r="K871" i="1"/>
  <c r="K896" i="1"/>
  <c r="K900" i="1" s="1"/>
  <c r="K749" i="1"/>
  <c r="K739" i="1"/>
  <c r="K323" i="1"/>
  <c r="K752" i="1" l="1"/>
  <c r="L1152" i="1"/>
  <c r="L1153" i="1" s="1"/>
  <c r="L154" i="1"/>
  <c r="L156" i="1" s="1"/>
  <c r="L34" i="12"/>
  <c r="K1005" i="1"/>
  <c r="L311" i="1"/>
  <c r="L314" i="1" s="1"/>
  <c r="L726" i="1"/>
  <c r="L490" i="1"/>
  <c r="K1043" i="1"/>
  <c r="K286" i="12"/>
  <c r="M128" i="1"/>
  <c r="M131" i="1" s="1"/>
  <c r="M124" i="1"/>
  <c r="M125" i="1" s="1"/>
  <c r="M135" i="1" l="1"/>
  <c r="L131" i="12"/>
  <c r="M134" i="1"/>
  <c r="L736" i="1"/>
  <c r="L746" i="1" s="1"/>
  <c r="L729" i="1"/>
  <c r="L590" i="1"/>
  <c r="L491" i="1"/>
  <c r="L751" i="1"/>
  <c r="L316" i="1"/>
  <c r="L498" i="1" l="1"/>
  <c r="L186" i="12"/>
  <c r="L218" i="12"/>
  <c r="L231" i="12" s="1"/>
  <c r="M137" i="1"/>
  <c r="N133" i="1" s="1"/>
  <c r="L871" i="1"/>
  <c r="L896" i="1"/>
  <c r="L749" i="1"/>
  <c r="L323" i="1"/>
  <c r="K324" i="1" s="1"/>
  <c r="L739" i="1"/>
  <c r="M146" i="1"/>
  <c r="M148" i="1" s="1"/>
  <c r="M150" i="1"/>
  <c r="M152" i="1" s="1"/>
  <c r="L1043" i="1" l="1"/>
  <c r="N124" i="1"/>
  <c r="N125" i="1" s="1"/>
  <c r="N128" i="1"/>
  <c r="N131" i="1" s="1"/>
  <c r="M1152" i="1"/>
  <c r="M1153" i="1" s="1"/>
  <c r="M34" i="12"/>
  <c r="M154" i="1"/>
  <c r="M156" i="1" s="1"/>
  <c r="L1005" i="1"/>
  <c r="M490" i="1"/>
  <c r="M726" i="1"/>
  <c r="M311" i="1"/>
  <c r="M314" i="1" s="1"/>
  <c r="L286" i="12"/>
  <c r="L752" i="1"/>
  <c r="M590" i="1" l="1"/>
  <c r="M491" i="1"/>
  <c r="M751" i="1"/>
  <c r="M316" i="1"/>
  <c r="N135" i="1"/>
  <c r="M736" i="1"/>
  <c r="M729" i="1"/>
  <c r="M131" i="12"/>
  <c r="N134" i="1"/>
  <c r="M218" i="12" l="1"/>
  <c r="M231" i="12" s="1"/>
  <c r="M186" i="12"/>
  <c r="M498" i="1"/>
  <c r="N137" i="1"/>
  <c r="O133" i="1" s="1"/>
  <c r="N146" i="1"/>
  <c r="N148" i="1" s="1"/>
  <c r="N150" i="1"/>
  <c r="N152" i="1" s="1"/>
  <c r="M746" i="1"/>
  <c r="M739" i="1"/>
  <c r="M323" i="1"/>
  <c r="L324" i="1" s="1"/>
  <c r="M871" i="1" l="1"/>
  <c r="M896" i="1"/>
  <c r="M749" i="1"/>
  <c r="O128" i="1"/>
  <c r="O131" i="1" s="1"/>
  <c r="O124" i="1"/>
  <c r="O125" i="1" s="1"/>
  <c r="N1152" i="1"/>
  <c r="N1153" i="1" s="1"/>
  <c r="N34" i="12"/>
  <c r="N154" i="1"/>
  <c r="N156" i="1" s="1"/>
  <c r="M1043" i="1"/>
  <c r="N726" i="1"/>
  <c r="N311" i="1"/>
  <c r="N314" i="1" s="1"/>
  <c r="N490" i="1"/>
  <c r="M286" i="12"/>
  <c r="O135" i="1" l="1"/>
  <c r="N590" i="1"/>
  <c r="N491" i="1"/>
  <c r="N131" i="12"/>
  <c r="O134" i="1"/>
  <c r="N736" i="1"/>
  <c r="N746" i="1" s="1"/>
  <c r="N729" i="1"/>
  <c r="M1005" i="1"/>
  <c r="N751" i="1"/>
  <c r="N316" i="1"/>
  <c r="M752" i="1"/>
  <c r="O137" i="1" l="1"/>
  <c r="P133" i="1" s="1"/>
  <c r="P124" i="1" s="1"/>
  <c r="P125" i="1" s="1"/>
  <c r="P135" i="1" s="1"/>
  <c r="N896" i="1"/>
  <c r="N871" i="1"/>
  <c r="N749" i="1"/>
  <c r="N323" i="1"/>
  <c r="M324" i="1" s="1"/>
  <c r="N186" i="12"/>
  <c r="N218" i="12"/>
  <c r="N231" i="12" s="1"/>
  <c r="O150" i="1"/>
  <c r="O152" i="1" s="1"/>
  <c r="O146" i="1"/>
  <c r="O148" i="1" s="1"/>
  <c r="N739" i="1"/>
  <c r="N498" i="1"/>
  <c r="P128" i="1" l="1"/>
  <c r="P131" i="1" s="1"/>
  <c r="P134" i="1" s="1"/>
  <c r="P137" i="1" s="1"/>
  <c r="Q133" i="1" s="1"/>
  <c r="Q124" i="1" s="1"/>
  <c r="Q125" i="1" s="1"/>
  <c r="Q135" i="1" s="1"/>
  <c r="N752" i="1"/>
  <c r="N1005" i="1"/>
  <c r="O311" i="1"/>
  <c r="O314" i="1" s="1"/>
  <c r="O490" i="1"/>
  <c r="O726" i="1"/>
  <c r="N286" i="12"/>
  <c r="P146" i="1"/>
  <c r="P148" i="1" s="1"/>
  <c r="P150" i="1"/>
  <c r="P152" i="1" s="1"/>
  <c r="N1043" i="1"/>
  <c r="O1152" i="1"/>
  <c r="O1153" i="1" s="1"/>
  <c r="O34" i="12"/>
  <c r="O154" i="1"/>
  <c r="O156" i="1" s="1"/>
  <c r="Q128" i="1" l="1"/>
  <c r="Q131" i="1" s="1"/>
  <c r="Q134" i="1" s="1"/>
  <c r="Q137" i="1" s="1"/>
  <c r="R133" i="1" s="1"/>
  <c r="R124" i="1" s="1"/>
  <c r="R125" i="1" s="1"/>
  <c r="R135" i="1" s="1"/>
  <c r="P311" i="1"/>
  <c r="P314" i="1" s="1"/>
  <c r="P490" i="1"/>
  <c r="P726" i="1"/>
  <c r="O736" i="1"/>
  <c r="O729" i="1"/>
  <c r="O590" i="1"/>
  <c r="O491" i="1"/>
  <c r="O131" i="12"/>
  <c r="P1152" i="1"/>
  <c r="P1153" i="1" s="1"/>
  <c r="P154" i="1"/>
  <c r="P156" i="1" s="1"/>
  <c r="P34" i="12"/>
  <c r="Q146" i="1"/>
  <c r="Q148" i="1" s="1"/>
  <c r="Q150" i="1"/>
  <c r="Q152" i="1" s="1"/>
  <c r="O751" i="1"/>
  <c r="O316" i="1"/>
  <c r="R128" i="1" l="1"/>
  <c r="R131" i="1" s="1"/>
  <c r="R134" i="1" s="1"/>
  <c r="R137" i="1" s="1"/>
  <c r="S133" i="1" s="1"/>
  <c r="O323" i="1"/>
  <c r="N324" i="1" s="1"/>
  <c r="Q311" i="1"/>
  <c r="Q314" i="1" s="1"/>
  <c r="Q726" i="1"/>
  <c r="Q490" i="1"/>
  <c r="O746" i="1"/>
  <c r="O739" i="1"/>
  <c r="O218" i="12"/>
  <c r="O231" i="12" s="1"/>
  <c r="O186" i="12"/>
  <c r="P590" i="1"/>
  <c r="P491" i="1"/>
  <c r="P498" i="1" s="1"/>
  <c r="Q1152" i="1"/>
  <c r="Q1153" i="1" s="1"/>
  <c r="Q154" i="1"/>
  <c r="Q156" i="1" s="1"/>
  <c r="Q34" i="12"/>
  <c r="P751" i="1"/>
  <c r="P316" i="1"/>
  <c r="P323" i="1" s="1"/>
  <c r="P131" i="12"/>
  <c r="O498" i="1"/>
  <c r="P736" i="1"/>
  <c r="P739" i="1" s="1"/>
  <c r="P1043" i="1" s="1"/>
  <c r="P729" i="1"/>
  <c r="R146" i="1"/>
  <c r="R148" i="1" s="1"/>
  <c r="R150" i="1"/>
  <c r="R152" i="1" s="1"/>
  <c r="P746" i="1" l="1"/>
  <c r="P896" i="1" s="1"/>
  <c r="O324" i="1"/>
  <c r="S128" i="1"/>
  <c r="S131" i="1" s="1"/>
  <c r="S134" i="1" s="1"/>
  <c r="S124" i="1"/>
  <c r="S125" i="1" s="1"/>
  <c r="S135" i="1" s="1"/>
  <c r="S150" i="1" s="1"/>
  <c r="S152" i="1" s="1"/>
  <c r="Q590" i="1"/>
  <c r="Q491" i="1"/>
  <c r="Q498" i="1" s="1"/>
  <c r="R154" i="1"/>
  <c r="R156" i="1" s="1"/>
  <c r="R1152" i="1"/>
  <c r="R1153" i="1" s="1"/>
  <c r="R34" i="12"/>
  <c r="P218" i="12"/>
  <c r="P231" i="12" s="1"/>
  <c r="P186" i="12"/>
  <c r="O286" i="12"/>
  <c r="O1043" i="1"/>
  <c r="Q751" i="1"/>
  <c r="Q316" i="1"/>
  <c r="Q323" i="1" s="1"/>
  <c r="Q131" i="12"/>
  <c r="Q736" i="1"/>
  <c r="Q746" i="1" s="1"/>
  <c r="Q729" i="1"/>
  <c r="R490" i="1"/>
  <c r="R726" i="1"/>
  <c r="R311" i="1"/>
  <c r="R314" i="1" s="1"/>
  <c r="O871" i="1"/>
  <c r="O896" i="1"/>
  <c r="O749" i="1"/>
  <c r="O752" i="1" s="1"/>
  <c r="P324" i="1" l="1"/>
  <c r="P749" i="1"/>
  <c r="P1005" i="1" s="1"/>
  <c r="P871" i="1"/>
  <c r="S146" i="1"/>
  <c r="S148" i="1" s="1"/>
  <c r="S490" i="1" s="1"/>
  <c r="S137" i="1"/>
  <c r="T133" i="1" s="1"/>
  <c r="Q896" i="1"/>
  <c r="Q871" i="1"/>
  <c r="Q749" i="1"/>
  <c r="Q1005" i="1" s="1"/>
  <c r="Q186" i="12"/>
  <c r="Q218" i="12"/>
  <c r="Q231" i="12" s="1"/>
  <c r="S154" i="1"/>
  <c r="S156" i="1" s="1"/>
  <c r="S1152" i="1"/>
  <c r="S1153" i="1" s="1"/>
  <c r="S34" i="12"/>
  <c r="O1005" i="1"/>
  <c r="R736" i="1"/>
  <c r="R739" i="1" s="1"/>
  <c r="R1043" i="1" s="1"/>
  <c r="R729" i="1"/>
  <c r="P286" i="12"/>
  <c r="R751" i="1"/>
  <c r="R316" i="1"/>
  <c r="R323" i="1" s="1"/>
  <c r="Q739" i="1"/>
  <c r="Q1043" i="1" s="1"/>
  <c r="R590" i="1"/>
  <c r="R491" i="1"/>
  <c r="R498" i="1" s="1"/>
  <c r="R131" i="12"/>
  <c r="S311" i="1" l="1"/>
  <c r="S314" i="1" s="1"/>
  <c r="S316" i="1" s="1"/>
  <c r="S323" i="1" s="1"/>
  <c r="S726" i="1"/>
  <c r="S736" i="1" s="1"/>
  <c r="S739" i="1" s="1"/>
  <c r="S1043" i="1" s="1"/>
  <c r="P752" i="1"/>
  <c r="Q324" i="1"/>
  <c r="T128" i="1"/>
  <c r="T131" i="1" s="1"/>
  <c r="T134" i="1" s="1"/>
  <c r="T124" i="1"/>
  <c r="T125" i="1" s="1"/>
  <c r="T135" i="1" s="1"/>
  <c r="S590" i="1"/>
  <c r="S491" i="1"/>
  <c r="S498" i="1" s="1"/>
  <c r="S131" i="12"/>
  <c r="Q752" i="1"/>
  <c r="Q286" i="12"/>
  <c r="R186" i="12"/>
  <c r="R218" i="12"/>
  <c r="R231" i="12" s="1"/>
  <c r="R746" i="1"/>
  <c r="S751" i="1" l="1"/>
  <c r="S729" i="1"/>
  <c r="R324" i="1"/>
  <c r="T150" i="1"/>
  <c r="T152" i="1" s="1"/>
  <c r="T146" i="1"/>
  <c r="T148" i="1" s="1"/>
  <c r="T137" i="1"/>
  <c r="U133" i="1" s="1"/>
  <c r="R896" i="1"/>
  <c r="R871" i="1"/>
  <c r="R749" i="1"/>
  <c r="S746" i="1"/>
  <c r="R286" i="12"/>
  <c r="S186" i="12"/>
  <c r="S218" i="12"/>
  <c r="S231" i="12" s="1"/>
  <c r="U128" i="1" l="1"/>
  <c r="U131" i="1" s="1"/>
  <c r="U134" i="1" s="1"/>
  <c r="U124" i="1"/>
  <c r="U125" i="1" s="1"/>
  <c r="U135" i="1" s="1"/>
  <c r="T490" i="1"/>
  <c r="T311" i="1"/>
  <c r="T314" i="1" s="1"/>
  <c r="T726" i="1"/>
  <c r="T1152" i="1"/>
  <c r="T1153" i="1" s="1"/>
  <c r="T154" i="1"/>
  <c r="T156" i="1" s="1"/>
  <c r="T34" i="12"/>
  <c r="T131" i="12" s="1"/>
  <c r="T218" i="12" s="1"/>
  <c r="T231" i="12" s="1"/>
  <c r="R1005" i="1"/>
  <c r="R752" i="1"/>
  <c r="S286" i="12"/>
  <c r="S896" i="1"/>
  <c r="S871" i="1"/>
  <c r="S749" i="1"/>
  <c r="T186" i="12" l="1"/>
  <c r="T316" i="1"/>
  <c r="T323" i="1" s="1"/>
  <c r="S324" i="1" s="1"/>
  <c r="T751" i="1"/>
  <c r="T491" i="1"/>
  <c r="T498" i="1" s="1"/>
  <c r="T590" i="1"/>
  <c r="U150" i="1"/>
  <c r="U152" i="1" s="1"/>
  <c r="U146" i="1"/>
  <c r="U148" i="1" s="1"/>
  <c r="T736" i="1"/>
  <c r="T729" i="1"/>
  <c r="U137" i="1"/>
  <c r="V133" i="1" s="1"/>
  <c r="S1005" i="1"/>
  <c r="S752" i="1"/>
  <c r="T286" i="12"/>
  <c r="U154" i="1" l="1"/>
  <c r="U156" i="1" s="1"/>
  <c r="U1152" i="1"/>
  <c r="U1153" i="1" s="1"/>
  <c r="U34" i="12"/>
  <c r="U131" i="12" s="1"/>
  <c r="U218" i="12" s="1"/>
  <c r="U231" i="12" s="1"/>
  <c r="T739" i="1"/>
  <c r="T1043" i="1" s="1"/>
  <c r="T746" i="1"/>
  <c r="U311" i="1"/>
  <c r="U314" i="1" s="1"/>
  <c r="U490" i="1"/>
  <c r="U726" i="1"/>
  <c r="V128" i="1"/>
  <c r="V131" i="1" s="1"/>
  <c r="V134" i="1" s="1"/>
  <c r="V124" i="1"/>
  <c r="V125" i="1" s="1"/>
  <c r="V135" i="1" s="1"/>
  <c r="U186" i="12" l="1"/>
  <c r="U736" i="1"/>
  <c r="U729" i="1"/>
  <c r="U491" i="1"/>
  <c r="U498" i="1" s="1"/>
  <c r="U590" i="1"/>
  <c r="V137" i="1"/>
  <c r="W133" i="1" s="1"/>
  <c r="V146" i="1"/>
  <c r="V148" i="1" s="1"/>
  <c r="V150" i="1"/>
  <c r="V152" i="1" s="1"/>
  <c r="U751" i="1"/>
  <c r="U316" i="1"/>
  <c r="U323" i="1" s="1"/>
  <c r="T324" i="1" s="1"/>
  <c r="T749" i="1"/>
  <c r="T871" i="1"/>
  <c r="T896" i="1"/>
  <c r="U286" i="12"/>
  <c r="V34" i="12" l="1"/>
  <c r="V131" i="12" s="1"/>
  <c r="V218" i="12" s="1"/>
  <c r="V231" i="12" s="1"/>
  <c r="V154" i="1"/>
  <c r="V156" i="1" s="1"/>
  <c r="V1152" i="1"/>
  <c r="V1153" i="1" s="1"/>
  <c r="T1005" i="1"/>
  <c r="T752" i="1"/>
  <c r="V726" i="1"/>
  <c r="V311" i="1"/>
  <c r="V314" i="1" s="1"/>
  <c r="V490" i="1"/>
  <c r="W128" i="1"/>
  <c r="W131" i="1" s="1"/>
  <c r="W134" i="1" s="1"/>
  <c r="W124" i="1"/>
  <c r="W125" i="1" s="1"/>
  <c r="W135" i="1" s="1"/>
  <c r="U739" i="1"/>
  <c r="U1043" i="1" s="1"/>
  <c r="U746" i="1"/>
  <c r="V186" i="12" l="1"/>
  <c r="W137" i="1"/>
  <c r="X133" i="1" s="1"/>
  <c r="X128" i="1" s="1"/>
  <c r="X131" i="1" s="1"/>
  <c r="X134" i="1" s="1"/>
  <c r="V590" i="1"/>
  <c r="V491" i="1"/>
  <c r="V498" i="1" s="1"/>
  <c r="U896" i="1"/>
  <c r="U749" i="1"/>
  <c r="U871" i="1"/>
  <c r="V751" i="1"/>
  <c r="V316" i="1"/>
  <c r="V323" i="1" s="1"/>
  <c r="U324" i="1" s="1"/>
  <c r="W150" i="1"/>
  <c r="W152" i="1" s="1"/>
  <c r="W146" i="1"/>
  <c r="W148" i="1" s="1"/>
  <c r="V736" i="1"/>
  <c r="V729" i="1"/>
  <c r="V286" i="12"/>
  <c r="X124" i="1" l="1"/>
  <c r="X125" i="1" s="1"/>
  <c r="X135" i="1" s="1"/>
  <c r="X137" i="1" s="1"/>
  <c r="Y133" i="1" s="1"/>
  <c r="Y128" i="1" s="1"/>
  <c r="Y131" i="1" s="1"/>
  <c r="Y134" i="1" s="1"/>
  <c r="W726" i="1"/>
  <c r="W490" i="1"/>
  <c r="W311" i="1"/>
  <c r="W314" i="1" s="1"/>
  <c r="W154" i="1"/>
  <c r="W156" i="1" s="1"/>
  <c r="W1152" i="1"/>
  <c r="W1153" i="1" s="1"/>
  <c r="W34" i="12"/>
  <c r="W131" i="12" s="1"/>
  <c r="U752" i="1"/>
  <c r="U1005" i="1"/>
  <c r="V739" i="1"/>
  <c r="V1043" i="1" s="1"/>
  <c r="V746" i="1"/>
  <c r="X150" i="1" l="1"/>
  <c r="X152" i="1" s="1"/>
  <c r="X1152" i="1" s="1"/>
  <c r="X1153" i="1" s="1"/>
  <c r="X146" i="1"/>
  <c r="X148" i="1" s="1"/>
  <c r="X726" i="1" s="1"/>
  <c r="Y124" i="1"/>
  <c r="Y125" i="1" s="1"/>
  <c r="Y135" i="1" s="1"/>
  <c r="Y146" i="1" s="1"/>
  <c r="Y148" i="1" s="1"/>
  <c r="V871" i="1"/>
  <c r="V896" i="1"/>
  <c r="V749" i="1"/>
  <c r="W218" i="12"/>
  <c r="W231" i="12" s="1"/>
  <c r="W286" i="12" s="1"/>
  <c r="W186" i="12"/>
  <c r="W590" i="1"/>
  <c r="W491" i="1"/>
  <c r="W498" i="1" s="1"/>
  <c r="W736" i="1"/>
  <c r="W739" i="1" s="1"/>
  <c r="W1043" i="1" s="1"/>
  <c r="W729" i="1"/>
  <c r="W751" i="1"/>
  <c r="W316" i="1"/>
  <c r="W323" i="1" s="1"/>
  <c r="V324" i="1" s="1"/>
  <c r="X490" i="1" l="1"/>
  <c r="X491" i="1" s="1"/>
  <c r="X498" i="1" s="1"/>
  <c r="X34" i="12"/>
  <c r="X131" i="12" s="1"/>
  <c r="X218" i="12" s="1"/>
  <c r="X231" i="12" s="1"/>
  <c r="X286" i="12" s="1"/>
  <c r="X154" i="1"/>
  <c r="X156" i="1" s="1"/>
  <c r="X311" i="1"/>
  <c r="X314" i="1" s="1"/>
  <c r="X751" i="1" s="1"/>
  <c r="Y150" i="1"/>
  <c r="Y152" i="1" s="1"/>
  <c r="Y34" i="12" s="1"/>
  <c r="Y131" i="12" s="1"/>
  <c r="Y137" i="1"/>
  <c r="Z133" i="1" s="1"/>
  <c r="Z124" i="1" s="1"/>
  <c r="Z125" i="1" s="1"/>
  <c r="Z135" i="1" s="1"/>
  <c r="V1005" i="1"/>
  <c r="V752" i="1"/>
  <c r="Y490" i="1"/>
  <c r="Y726" i="1"/>
  <c r="Y311" i="1"/>
  <c r="Y314" i="1" s="1"/>
  <c r="W746" i="1"/>
  <c r="X736" i="1"/>
  <c r="X739" i="1" s="1"/>
  <c r="X1043" i="1" s="1"/>
  <c r="X729" i="1"/>
  <c r="X590" i="1" l="1"/>
  <c r="X186" i="12"/>
  <c r="Z128" i="1"/>
  <c r="Z131" i="1" s="1"/>
  <c r="Z134" i="1" s="1"/>
  <c r="Z137" i="1" s="1"/>
  <c r="AA133" i="1" s="1"/>
  <c r="Y1152" i="1"/>
  <c r="Y1153" i="1" s="1"/>
  <c r="X316" i="1"/>
  <c r="X323" i="1" s="1"/>
  <c r="W324" i="1" s="1"/>
  <c r="Y218" i="12"/>
  <c r="Y231" i="12" s="1"/>
  <c r="Y286" i="12" s="1"/>
  <c r="Y186" i="12"/>
  <c r="Y154" i="1"/>
  <c r="Y156" i="1" s="1"/>
  <c r="X746" i="1"/>
  <c r="Z150" i="1"/>
  <c r="Z152" i="1" s="1"/>
  <c r="Z146" i="1"/>
  <c r="Z148" i="1" s="1"/>
  <c r="Y491" i="1"/>
  <c r="Y498" i="1" s="1"/>
  <c r="Y590" i="1"/>
  <c r="W896" i="1"/>
  <c r="W871" i="1"/>
  <c r="W749" i="1"/>
  <c r="Y751" i="1"/>
  <c r="Y316" i="1"/>
  <c r="Y323" i="1" s="1"/>
  <c r="Y729" i="1"/>
  <c r="Y736" i="1"/>
  <c r="X324" i="1" l="1"/>
  <c r="W752" i="1"/>
  <c r="W1005" i="1"/>
  <c r="AA124" i="1"/>
  <c r="AA125" i="1" s="1"/>
  <c r="AA135" i="1" s="1"/>
  <c r="AA128" i="1"/>
  <c r="AA131" i="1" s="1"/>
  <c r="AA134" i="1" s="1"/>
  <c r="Z726" i="1"/>
  <c r="Z311" i="1"/>
  <c r="Z314" i="1" s="1"/>
  <c r="Z490" i="1"/>
  <c r="Z154" i="1"/>
  <c r="Z156" i="1" s="1"/>
  <c r="Z34" i="12"/>
  <c r="Z131" i="12" s="1"/>
  <c r="Z1152" i="1"/>
  <c r="Z1153" i="1" s="1"/>
  <c r="Y739" i="1"/>
  <c r="Y1043" i="1" s="1"/>
  <c r="Y746" i="1"/>
  <c r="X871" i="1"/>
  <c r="X749" i="1"/>
  <c r="X896" i="1"/>
  <c r="AA137" i="1" l="1"/>
  <c r="AB133" i="1" s="1"/>
  <c r="AB124" i="1" s="1"/>
  <c r="AB125" i="1" s="1"/>
  <c r="AB135" i="1" s="1"/>
  <c r="Z491" i="1"/>
  <c r="Z498" i="1" s="1"/>
  <c r="Z590" i="1"/>
  <c r="X1005" i="1"/>
  <c r="X752" i="1"/>
  <c r="Z751" i="1"/>
  <c r="Z316" i="1"/>
  <c r="Z323" i="1" s="1"/>
  <c r="Y324" i="1" s="1"/>
  <c r="AA146" i="1"/>
  <c r="AA148" i="1" s="1"/>
  <c r="AA150" i="1"/>
  <c r="AA152" i="1" s="1"/>
  <c r="Z186" i="12"/>
  <c r="Z218" i="12"/>
  <c r="Z231" i="12" s="1"/>
  <c r="Z286" i="12" s="1"/>
  <c r="Z729" i="1"/>
  <c r="Z736" i="1"/>
  <c r="Z739" i="1" s="1"/>
  <c r="Z1043" i="1" s="1"/>
  <c r="Y896" i="1"/>
  <c r="Y749" i="1"/>
  <c r="Y871" i="1"/>
  <c r="AB128" i="1" l="1"/>
  <c r="AB131" i="1" s="1"/>
  <c r="AB134" i="1" s="1"/>
  <c r="AB137" i="1" s="1"/>
  <c r="AC133" i="1" s="1"/>
  <c r="Z746" i="1"/>
  <c r="AA154" i="1"/>
  <c r="AA156" i="1" s="1"/>
  <c r="AA1152" i="1"/>
  <c r="AA1153" i="1" s="1"/>
  <c r="AA34" i="12"/>
  <c r="AA131" i="12" s="1"/>
  <c r="Y1005" i="1"/>
  <c r="Y752" i="1"/>
  <c r="AA311" i="1"/>
  <c r="AA314" i="1" s="1"/>
  <c r="AA490" i="1"/>
  <c r="AA726" i="1"/>
  <c r="AB146" i="1"/>
  <c r="AB148" i="1" s="1"/>
  <c r="AB150" i="1"/>
  <c r="AB152" i="1" s="1"/>
  <c r="AC124" i="1" l="1"/>
  <c r="AC125" i="1" s="1"/>
  <c r="AC135" i="1" s="1"/>
  <c r="AC150" i="1" s="1"/>
  <c r="AC152" i="1" s="1"/>
  <c r="AC128" i="1"/>
  <c r="AC131" i="1" s="1"/>
  <c r="AC134" i="1" s="1"/>
  <c r="AB311" i="1"/>
  <c r="AB314" i="1" s="1"/>
  <c r="AB490" i="1"/>
  <c r="AB726" i="1"/>
  <c r="AA491" i="1"/>
  <c r="AA498" i="1" s="1"/>
  <c r="AA590" i="1"/>
  <c r="AB154" i="1"/>
  <c r="AB156" i="1" s="1"/>
  <c r="AB1152" i="1"/>
  <c r="AB1153" i="1" s="1"/>
  <c r="AB34" i="12"/>
  <c r="AB131" i="12" s="1"/>
  <c r="AA751" i="1"/>
  <c r="AA316" i="1"/>
  <c r="AA323" i="1" s="1"/>
  <c r="Z324" i="1" s="1"/>
  <c r="Z896" i="1"/>
  <c r="Z871" i="1"/>
  <c r="Z749" i="1"/>
  <c r="AA736" i="1"/>
  <c r="AA739" i="1" s="1"/>
  <c r="AA1043" i="1" s="1"/>
  <c r="AA729" i="1"/>
  <c r="AA218" i="12"/>
  <c r="AA231" i="12" s="1"/>
  <c r="AA286" i="12" s="1"/>
  <c r="AA186" i="12"/>
  <c r="AC146" i="1" l="1"/>
  <c r="AC148" i="1" s="1"/>
  <c r="AC311" i="1" s="1"/>
  <c r="AC314" i="1" s="1"/>
  <c r="AC137" i="1"/>
  <c r="AD133" i="1" s="1"/>
  <c r="AD128" i="1" s="1"/>
  <c r="AD131" i="1" s="1"/>
  <c r="AD134" i="1" s="1"/>
  <c r="AB751" i="1"/>
  <c r="AB316" i="1"/>
  <c r="AB323" i="1" s="1"/>
  <c r="AA324" i="1" s="1"/>
  <c r="AB218" i="12"/>
  <c r="AB231" i="12" s="1"/>
  <c r="AB286" i="12" s="1"/>
  <c r="AB186" i="12"/>
  <c r="Z1005" i="1"/>
  <c r="Z752" i="1"/>
  <c r="AC34" i="12"/>
  <c r="AC131" i="12" s="1"/>
  <c r="AC1152" i="1"/>
  <c r="AC1153" i="1" s="1"/>
  <c r="AC154" i="1"/>
  <c r="AC156" i="1" s="1"/>
  <c r="AB736" i="1"/>
  <c r="AB739" i="1" s="1"/>
  <c r="AB1043" i="1" s="1"/>
  <c r="AB729" i="1"/>
  <c r="AA746" i="1"/>
  <c r="AB590" i="1"/>
  <c r="AB491" i="1"/>
  <c r="AB498" i="1" s="1"/>
  <c r="AC726" i="1" l="1"/>
  <c r="AC736" i="1" s="1"/>
  <c r="AC739" i="1" s="1"/>
  <c r="AC1043" i="1" s="1"/>
  <c r="AC490" i="1"/>
  <c r="AC590" i="1" s="1"/>
  <c r="AD124" i="1"/>
  <c r="AD125" i="1" s="1"/>
  <c r="AD135" i="1" s="1"/>
  <c r="AD146" i="1" s="1"/>
  <c r="AD148" i="1" s="1"/>
  <c r="AB746" i="1"/>
  <c r="AB749" i="1" s="1"/>
  <c r="AB1005" i="1" s="1"/>
  <c r="AC751" i="1"/>
  <c r="AC316" i="1"/>
  <c r="AC323" i="1" s="1"/>
  <c r="AB324" i="1" s="1"/>
  <c r="AA871" i="1"/>
  <c r="AA896" i="1"/>
  <c r="AA749" i="1"/>
  <c r="AC186" i="12"/>
  <c r="AC218" i="12"/>
  <c r="AC231" i="12" s="1"/>
  <c r="AC286" i="12" s="1"/>
  <c r="AC729" i="1" l="1"/>
  <c r="AB871" i="1"/>
  <c r="AC491" i="1"/>
  <c r="AC498" i="1" s="1"/>
  <c r="AB896" i="1"/>
  <c r="AD311" i="1"/>
  <c r="AD314" i="1" s="1"/>
  <c r="AD316" i="1" s="1"/>
  <c r="AD323" i="1" s="1"/>
  <c r="AC324" i="1" s="1"/>
  <c r="AD726" i="1"/>
  <c r="AD729" i="1" s="1"/>
  <c r="AD490" i="1"/>
  <c r="AD491" i="1" s="1"/>
  <c r="AD498" i="1" s="1"/>
  <c r="AD137" i="1"/>
  <c r="AE133" i="1" s="1"/>
  <c r="AD150" i="1"/>
  <c r="AD152" i="1" s="1"/>
  <c r="AC746" i="1"/>
  <c r="AB752" i="1"/>
  <c r="AA1005" i="1"/>
  <c r="AA752" i="1"/>
  <c r="AD751" i="1" l="1"/>
  <c r="AD590" i="1"/>
  <c r="AD736" i="1"/>
  <c r="AD739" i="1" s="1"/>
  <c r="AD1043" i="1" s="1"/>
  <c r="AE124" i="1"/>
  <c r="AE125" i="1" s="1"/>
  <c r="AE135" i="1" s="1"/>
  <c r="AE128" i="1"/>
  <c r="AE131" i="1" s="1"/>
  <c r="AE134" i="1" s="1"/>
  <c r="AD154" i="1"/>
  <c r="AD156" i="1" s="1"/>
  <c r="AD34" i="12"/>
  <c r="AD131" i="12" s="1"/>
  <c r="AD1152" i="1"/>
  <c r="AD1153" i="1" s="1"/>
  <c r="AC749" i="1"/>
  <c r="AC871" i="1"/>
  <c r="AC896" i="1"/>
  <c r="AD746" i="1" l="1"/>
  <c r="AD896" i="1" s="1"/>
  <c r="AD186" i="12"/>
  <c r="AD218" i="12"/>
  <c r="AD231" i="12" s="1"/>
  <c r="AD286" i="12" s="1"/>
  <c r="AE137" i="1"/>
  <c r="AF133" i="1" s="1"/>
  <c r="AE146" i="1"/>
  <c r="AE148" i="1" s="1"/>
  <c r="AE150" i="1"/>
  <c r="AE152" i="1" s="1"/>
  <c r="AC1005" i="1"/>
  <c r="AC752" i="1"/>
  <c r="AD871" i="1" l="1"/>
  <c r="AD749" i="1"/>
  <c r="AD752" i="1" s="1"/>
  <c r="AE490" i="1"/>
  <c r="AE726" i="1"/>
  <c r="AE311" i="1"/>
  <c r="AE314" i="1" s="1"/>
  <c r="AF124" i="1"/>
  <c r="AF125" i="1" s="1"/>
  <c r="AF135" i="1" s="1"/>
  <c r="AF128" i="1"/>
  <c r="AF131" i="1" s="1"/>
  <c r="AF134" i="1" s="1"/>
  <c r="AE154" i="1"/>
  <c r="AE156" i="1" s="1"/>
  <c r="AE34" i="12"/>
  <c r="AE131" i="12" s="1"/>
  <c r="AE1152" i="1"/>
  <c r="AE1153" i="1" s="1"/>
  <c r="AD1005" i="1" l="1"/>
  <c r="AF137" i="1"/>
  <c r="AG133" i="1" s="1"/>
  <c r="AG128" i="1" s="1"/>
  <c r="AG131" i="1" s="1"/>
  <c r="AG134" i="1" s="1"/>
  <c r="AF146" i="1"/>
  <c r="AF148" i="1" s="1"/>
  <c r="AF150" i="1"/>
  <c r="AF152" i="1" s="1"/>
  <c r="AE316" i="1"/>
  <c r="AE323" i="1" s="1"/>
  <c r="AD324" i="1" s="1"/>
  <c r="AE751" i="1"/>
  <c r="AE186" i="12"/>
  <c r="AE218" i="12"/>
  <c r="AE231" i="12" s="1"/>
  <c r="AE286" i="12" s="1"/>
  <c r="AE729" i="1"/>
  <c r="AE736" i="1"/>
  <c r="AE739" i="1" s="1"/>
  <c r="AE1043" i="1" s="1"/>
  <c r="AE590" i="1"/>
  <c r="AE491" i="1"/>
  <c r="AE498" i="1" s="1"/>
  <c r="AG124" i="1" l="1"/>
  <c r="AG125" i="1" s="1"/>
  <c r="AG135" i="1" s="1"/>
  <c r="AG137" i="1" s="1"/>
  <c r="AH133" i="1" s="1"/>
  <c r="AE746" i="1"/>
  <c r="AE871" i="1" s="1"/>
  <c r="AF726" i="1"/>
  <c r="AF490" i="1"/>
  <c r="AF311" i="1"/>
  <c r="AF314" i="1" s="1"/>
  <c r="AF34" i="12"/>
  <c r="AF131" i="12" s="1"/>
  <c r="AF1152" i="1"/>
  <c r="AF1153" i="1" s="1"/>
  <c r="AF154" i="1"/>
  <c r="AF156" i="1" s="1"/>
  <c r="AE749" i="1" l="1"/>
  <c r="AE1005" i="1" s="1"/>
  <c r="AE896" i="1"/>
  <c r="AH128" i="1"/>
  <c r="AH131" i="1" s="1"/>
  <c r="AH134" i="1" s="1"/>
  <c r="AH124" i="1"/>
  <c r="AH125" i="1" s="1"/>
  <c r="AH135" i="1" s="1"/>
  <c r="AH146" i="1" s="1"/>
  <c r="AH148" i="1" s="1"/>
  <c r="AG150" i="1"/>
  <c r="AG152" i="1" s="1"/>
  <c r="AG154" i="1" s="1"/>
  <c r="AG156" i="1" s="1"/>
  <c r="AG146" i="1"/>
  <c r="AG148" i="1" s="1"/>
  <c r="AG490" i="1" s="1"/>
  <c r="AF590" i="1"/>
  <c r="AF491" i="1"/>
  <c r="AF498" i="1" s="1"/>
  <c r="AF736" i="1"/>
  <c r="AF739" i="1" s="1"/>
  <c r="AF1043" i="1" s="1"/>
  <c r="AF729" i="1"/>
  <c r="AF186" i="12"/>
  <c r="AF218" i="12"/>
  <c r="AF231" i="12" s="1"/>
  <c r="AF286" i="12" s="1"/>
  <c r="AF316" i="1"/>
  <c r="AF323" i="1" s="1"/>
  <c r="AE324" i="1" s="1"/>
  <c r="AF751" i="1"/>
  <c r="AG311" i="1" l="1"/>
  <c r="AG314" i="1" s="1"/>
  <c r="AG316" i="1" s="1"/>
  <c r="AG323" i="1" s="1"/>
  <c r="AF324" i="1" s="1"/>
  <c r="AG1152" i="1"/>
  <c r="AG1153" i="1" s="1"/>
  <c r="AH150" i="1"/>
  <c r="AH152" i="1" s="1"/>
  <c r="AH34" i="12" s="1"/>
  <c r="AH131" i="12" s="1"/>
  <c r="AG726" i="1"/>
  <c r="AG729" i="1" s="1"/>
  <c r="AG34" i="12"/>
  <c r="AG131" i="12" s="1"/>
  <c r="AG218" i="12" s="1"/>
  <c r="AG231" i="12" s="1"/>
  <c r="AG286" i="12" s="1"/>
  <c r="AE752" i="1"/>
  <c r="AH137" i="1"/>
  <c r="AI133" i="1" s="1"/>
  <c r="AI128" i="1" s="1"/>
  <c r="AI131" i="1" s="1"/>
  <c r="AI134" i="1" s="1"/>
  <c r="AH311" i="1"/>
  <c r="AH314" i="1" s="1"/>
  <c r="AH490" i="1"/>
  <c r="AH726" i="1"/>
  <c r="AF746" i="1"/>
  <c r="AG590" i="1"/>
  <c r="AG491" i="1"/>
  <c r="AG498" i="1" s="1"/>
  <c r="AG736" i="1" l="1"/>
  <c r="AG739" i="1" s="1"/>
  <c r="AG1043" i="1" s="1"/>
  <c r="AG751" i="1"/>
  <c r="AH1152" i="1"/>
  <c r="AH1153" i="1" s="1"/>
  <c r="AH154" i="1"/>
  <c r="AH156" i="1" s="1"/>
  <c r="AG186" i="12"/>
  <c r="AI124" i="1"/>
  <c r="AI125" i="1" s="1"/>
  <c r="AI135" i="1" s="1"/>
  <c r="AI137" i="1" s="1"/>
  <c r="AJ133" i="1" s="1"/>
  <c r="AH316" i="1"/>
  <c r="AH323" i="1" s="1"/>
  <c r="AG324" i="1" s="1"/>
  <c r="AH751" i="1"/>
  <c r="AH186" i="12"/>
  <c r="AH218" i="12"/>
  <c r="AH231" i="12" s="1"/>
  <c r="AH286" i="12" s="1"/>
  <c r="AF871" i="1"/>
  <c r="AF749" i="1"/>
  <c r="AF896" i="1"/>
  <c r="AH736" i="1"/>
  <c r="AH739" i="1" s="1"/>
  <c r="AH1043" i="1" s="1"/>
  <c r="AH729" i="1"/>
  <c r="AH590" i="1"/>
  <c r="AH491" i="1"/>
  <c r="AH498" i="1" s="1"/>
  <c r="AG746" i="1" l="1"/>
  <c r="AG896" i="1" s="1"/>
  <c r="AH746" i="1"/>
  <c r="AH871" i="1" s="1"/>
  <c r="AI146" i="1"/>
  <c r="AI148" i="1" s="1"/>
  <c r="AI150" i="1"/>
  <c r="AI152" i="1" s="1"/>
  <c r="AJ124" i="1"/>
  <c r="AJ125" i="1" s="1"/>
  <c r="AJ135" i="1" s="1"/>
  <c r="AJ128" i="1"/>
  <c r="AJ131" i="1" s="1"/>
  <c r="AJ134" i="1" s="1"/>
  <c r="AF1005" i="1"/>
  <c r="AF752" i="1"/>
  <c r="AH749" i="1" l="1"/>
  <c r="AH1005" i="1" s="1"/>
  <c r="AG871" i="1"/>
  <c r="AG749" i="1"/>
  <c r="AG1005" i="1" s="1"/>
  <c r="AH896" i="1"/>
  <c r="AI1152" i="1"/>
  <c r="AI1153" i="1" s="1"/>
  <c r="AI154" i="1"/>
  <c r="AI156" i="1" s="1"/>
  <c r="AI34" i="12"/>
  <c r="AI131" i="12" s="1"/>
  <c r="AI726" i="1"/>
  <c r="AI311" i="1"/>
  <c r="AI314" i="1" s="1"/>
  <c r="AI490" i="1"/>
  <c r="AJ137" i="1"/>
  <c r="AK133" i="1" s="1"/>
  <c r="AK128" i="1" s="1"/>
  <c r="AK131" i="1" s="1"/>
  <c r="AK134" i="1" s="1"/>
  <c r="AJ150" i="1"/>
  <c r="AJ152" i="1" s="1"/>
  <c r="AJ146" i="1"/>
  <c r="AJ148" i="1" s="1"/>
  <c r="AG752" i="1" l="1"/>
  <c r="AH752" i="1"/>
  <c r="AI729" i="1"/>
  <c r="AI736" i="1"/>
  <c r="AI739" i="1" s="1"/>
  <c r="AI1043" i="1" s="1"/>
  <c r="AI186" i="12"/>
  <c r="AI218" i="12"/>
  <c r="AI231" i="12" s="1"/>
  <c r="AI286" i="12" s="1"/>
  <c r="AI590" i="1"/>
  <c r="AI491" i="1"/>
  <c r="AI498" i="1" s="1"/>
  <c r="AI751" i="1"/>
  <c r="AI316" i="1"/>
  <c r="AI323" i="1" s="1"/>
  <c r="AH324" i="1" s="1"/>
  <c r="AK124" i="1"/>
  <c r="AK125" i="1" s="1"/>
  <c r="AK135" i="1" s="1"/>
  <c r="AK137" i="1" s="1"/>
  <c r="AL133" i="1" s="1"/>
  <c r="AJ34" i="12"/>
  <c r="AJ131" i="12" s="1"/>
  <c r="AJ1152" i="1"/>
  <c r="AJ1153" i="1" s="1"/>
  <c r="AJ154" i="1"/>
  <c r="AJ156" i="1" s="1"/>
  <c r="AJ726" i="1"/>
  <c r="AJ311" i="1"/>
  <c r="AJ314" i="1" s="1"/>
  <c r="AJ490" i="1"/>
  <c r="AI746" i="1" l="1"/>
  <c r="AL124" i="1"/>
  <c r="AL125" i="1" s="1"/>
  <c r="AL135" i="1" s="1"/>
  <c r="AL150" i="1" s="1"/>
  <c r="AL152" i="1" s="1"/>
  <c r="AL128" i="1"/>
  <c r="AL131" i="1" s="1"/>
  <c r="AL134" i="1" s="1"/>
  <c r="AK150" i="1"/>
  <c r="AK152" i="1" s="1"/>
  <c r="AK1152" i="1" s="1"/>
  <c r="AK1153" i="1" s="1"/>
  <c r="AK146" i="1"/>
  <c r="AK148" i="1" s="1"/>
  <c r="AK726" i="1" s="1"/>
  <c r="AJ729" i="1"/>
  <c r="AJ736" i="1"/>
  <c r="AJ739" i="1" s="1"/>
  <c r="AJ1043" i="1" s="1"/>
  <c r="AJ186" i="12"/>
  <c r="AJ218" i="12"/>
  <c r="AJ231" i="12" s="1"/>
  <c r="AJ286" i="12" s="1"/>
  <c r="AJ590" i="1"/>
  <c r="AJ491" i="1"/>
  <c r="AJ498" i="1" s="1"/>
  <c r="AJ751" i="1"/>
  <c r="AJ316" i="1"/>
  <c r="AJ323" i="1" s="1"/>
  <c r="AI324" i="1" s="1"/>
  <c r="AK311" i="1" l="1"/>
  <c r="AK314" i="1" s="1"/>
  <c r="AK751" i="1" s="1"/>
  <c r="AK490" i="1"/>
  <c r="AK491" i="1" s="1"/>
  <c r="AK498" i="1" s="1"/>
  <c r="AK34" i="12"/>
  <c r="AK131" i="12" s="1"/>
  <c r="AK218" i="12" s="1"/>
  <c r="AK231" i="12" s="1"/>
  <c r="AK286" i="12" s="1"/>
  <c r="AL146" i="1"/>
  <c r="AL148" i="1" s="1"/>
  <c r="AL311" i="1" s="1"/>
  <c r="AL314" i="1" s="1"/>
  <c r="AK154" i="1"/>
  <c r="AK156" i="1" s="1"/>
  <c r="AL137" i="1"/>
  <c r="AM133" i="1" s="1"/>
  <c r="AM124" i="1" s="1"/>
  <c r="AM125" i="1" s="1"/>
  <c r="AM135" i="1" s="1"/>
  <c r="AI896" i="1"/>
  <c r="AI871" i="1"/>
  <c r="AI749" i="1"/>
  <c r="AL154" i="1"/>
  <c r="AL156" i="1" s="1"/>
  <c r="AL1152" i="1"/>
  <c r="AL1153" i="1" s="1"/>
  <c r="AL34" i="12"/>
  <c r="AL131" i="12" s="1"/>
  <c r="AJ746" i="1"/>
  <c r="AK729" i="1"/>
  <c r="AK736" i="1"/>
  <c r="AK316" i="1" l="1"/>
  <c r="AK323" i="1" s="1"/>
  <c r="AJ324" i="1" s="1"/>
  <c r="AL490" i="1"/>
  <c r="AL590" i="1" s="1"/>
  <c r="AK186" i="12"/>
  <c r="AL726" i="1"/>
  <c r="AL729" i="1" s="1"/>
  <c r="AK590" i="1"/>
  <c r="AM128" i="1"/>
  <c r="AM131" i="1" s="1"/>
  <c r="AM134" i="1" s="1"/>
  <c r="AM137" i="1" s="1"/>
  <c r="AN133" i="1" s="1"/>
  <c r="AN128" i="1" s="1"/>
  <c r="AN131" i="1" s="1"/>
  <c r="AN134" i="1" s="1"/>
  <c r="AI1005" i="1"/>
  <c r="AI752" i="1"/>
  <c r="AM146" i="1"/>
  <c r="AM148" i="1" s="1"/>
  <c r="AM150" i="1"/>
  <c r="AM152" i="1" s="1"/>
  <c r="AK739" i="1"/>
  <c r="AK1043" i="1" s="1"/>
  <c r="AK746" i="1"/>
  <c r="AL186" i="12"/>
  <c r="AL218" i="12"/>
  <c r="AL231" i="12" s="1"/>
  <c r="AL286" i="12" s="1"/>
  <c r="AJ871" i="1"/>
  <c r="AJ749" i="1"/>
  <c r="AJ896" i="1"/>
  <c r="AL751" i="1"/>
  <c r="AL316" i="1"/>
  <c r="AL323" i="1" s="1"/>
  <c r="AK324" i="1" l="1"/>
  <c r="AL736" i="1"/>
  <c r="AL739" i="1" s="1"/>
  <c r="AL1043" i="1" s="1"/>
  <c r="AL491" i="1"/>
  <c r="AL498" i="1" s="1"/>
  <c r="AN124" i="1"/>
  <c r="AN125" i="1" s="1"/>
  <c r="AN135" i="1" s="1"/>
  <c r="AN146" i="1" s="1"/>
  <c r="AN148" i="1" s="1"/>
  <c r="AM490" i="1"/>
  <c r="AM726" i="1"/>
  <c r="AM311" i="1"/>
  <c r="AM314" i="1" s="1"/>
  <c r="AM154" i="1"/>
  <c r="AM156" i="1" s="1"/>
  <c r="AM34" i="12"/>
  <c r="AM131" i="12" s="1"/>
  <c r="AM1152" i="1"/>
  <c r="AM1153" i="1" s="1"/>
  <c r="AJ1005" i="1"/>
  <c r="AJ752" i="1"/>
  <c r="AK896" i="1"/>
  <c r="AK871" i="1"/>
  <c r="AK749" i="1"/>
  <c r="AL746" i="1" l="1"/>
  <c r="AL749" i="1" s="1"/>
  <c r="AN490" i="1"/>
  <c r="AN491" i="1" s="1"/>
  <c r="AN498" i="1" s="1"/>
  <c r="AN726" i="1"/>
  <c r="AN736" i="1" s="1"/>
  <c r="AN311" i="1"/>
  <c r="AN314" i="1" s="1"/>
  <c r="AN316" i="1" s="1"/>
  <c r="AN323" i="1" s="1"/>
  <c r="AN150" i="1"/>
  <c r="AN152" i="1" s="1"/>
  <c r="AN137" i="1"/>
  <c r="AO133" i="1" s="1"/>
  <c r="AM751" i="1"/>
  <c r="AM316" i="1"/>
  <c r="AM323" i="1" s="1"/>
  <c r="AL324" i="1" s="1"/>
  <c r="AM736" i="1"/>
  <c r="AM729" i="1"/>
  <c r="AM186" i="12"/>
  <c r="AM218" i="12"/>
  <c r="AM231" i="12" s="1"/>
  <c r="AM286" i="12" s="1"/>
  <c r="AM590" i="1"/>
  <c r="AM491" i="1"/>
  <c r="AM498" i="1" s="1"/>
  <c r="AK1005" i="1"/>
  <c r="AK752" i="1"/>
  <c r="AL871" i="1" l="1"/>
  <c r="AN751" i="1"/>
  <c r="AL896" i="1"/>
  <c r="AN590" i="1"/>
  <c r="AN729" i="1"/>
  <c r="AN1152" i="1"/>
  <c r="AN1153" i="1" s="1"/>
  <c r="AN154" i="1"/>
  <c r="AN156" i="1" s="1"/>
  <c r="AN34" i="12"/>
  <c r="AN131" i="12" s="1"/>
  <c r="AO128" i="1"/>
  <c r="AO131" i="1" s="1"/>
  <c r="AO134" i="1" s="1"/>
  <c r="AO124" i="1"/>
  <c r="AO125" i="1" s="1"/>
  <c r="AO135" i="1" s="1"/>
  <c r="AM324" i="1"/>
  <c r="AM739" i="1"/>
  <c r="AM1043" i="1" s="1"/>
  <c r="AM746" i="1"/>
  <c r="AL1005" i="1"/>
  <c r="AL752" i="1"/>
  <c r="AN746" i="1"/>
  <c r="AN739" i="1"/>
  <c r="AN1043" i="1" s="1"/>
  <c r="AO137" i="1" l="1"/>
  <c r="AP133" i="1" s="1"/>
  <c r="AP124" i="1" s="1"/>
  <c r="AP125" i="1" s="1"/>
  <c r="AP135" i="1" s="1"/>
  <c r="AP150" i="1" s="1"/>
  <c r="AP152" i="1" s="1"/>
  <c r="AP1152" i="1" s="1"/>
  <c r="AP1153" i="1" s="1"/>
  <c r="AN186" i="12"/>
  <c r="AN218" i="12"/>
  <c r="AN231" i="12" s="1"/>
  <c r="AN286" i="12" s="1"/>
  <c r="AO150" i="1"/>
  <c r="AO152" i="1" s="1"/>
  <c r="AO146" i="1"/>
  <c r="AO148" i="1" s="1"/>
  <c r="AM871" i="1"/>
  <c r="AM896" i="1"/>
  <c r="AM749" i="1"/>
  <c r="AN896" i="1"/>
  <c r="AN871" i="1"/>
  <c r="AN749" i="1"/>
  <c r="AP34" i="12" l="1"/>
  <c r="AP131" i="12" s="1"/>
  <c r="AP186" i="12" s="1"/>
  <c r="AP154" i="1"/>
  <c r="AP156" i="1" s="1"/>
  <c r="AP128" i="1"/>
  <c r="AP131" i="1" s="1"/>
  <c r="AP134" i="1" s="1"/>
  <c r="AP137" i="1" s="1"/>
  <c r="AQ133" i="1" s="1"/>
  <c r="AP146" i="1"/>
  <c r="AP148" i="1" s="1"/>
  <c r="AP311" i="1" s="1"/>
  <c r="AP314" i="1" s="1"/>
  <c r="AP751" i="1" s="1"/>
  <c r="AO34" i="12"/>
  <c r="AO131" i="12" s="1"/>
  <c r="AO154" i="1"/>
  <c r="AO156" i="1" s="1"/>
  <c r="AO1152" i="1"/>
  <c r="AO1153" i="1" s="1"/>
  <c r="AO726" i="1"/>
  <c r="AO311" i="1"/>
  <c r="AO314" i="1" s="1"/>
  <c r="AO490" i="1"/>
  <c r="AM1005" i="1"/>
  <c r="AM752" i="1"/>
  <c r="AN1005" i="1"/>
  <c r="AN752" i="1"/>
  <c r="AP218" i="12" l="1"/>
  <c r="AP231" i="12" s="1"/>
  <c r="AP286" i="12" s="1"/>
  <c r="AP316" i="1"/>
  <c r="AP323" i="1" s="1"/>
  <c r="AP726" i="1"/>
  <c r="AP490" i="1"/>
  <c r="AQ128" i="1"/>
  <c r="AQ131" i="1" s="1"/>
  <c r="AQ134" i="1" s="1"/>
  <c r="AQ124" i="1"/>
  <c r="AQ125" i="1" s="1"/>
  <c r="AQ135" i="1" s="1"/>
  <c r="AO736" i="1"/>
  <c r="AO729" i="1"/>
  <c r="AO491" i="1"/>
  <c r="AO498" i="1" s="1"/>
  <c r="AO590" i="1"/>
  <c r="AO751" i="1"/>
  <c r="AO316" i="1"/>
  <c r="AO323" i="1" s="1"/>
  <c r="AN324" i="1" s="1"/>
  <c r="AO186" i="12"/>
  <c r="AO218" i="12"/>
  <c r="AO231" i="12" s="1"/>
  <c r="AO286" i="12" s="1"/>
  <c r="AP590" i="1" l="1"/>
  <c r="AP491" i="1"/>
  <c r="AP498" i="1" s="1"/>
  <c r="AP736" i="1"/>
  <c r="AP729" i="1"/>
  <c r="AQ137" i="1"/>
  <c r="AR133" i="1" s="1"/>
  <c r="AQ150" i="1"/>
  <c r="AQ152" i="1" s="1"/>
  <c r="AQ146" i="1"/>
  <c r="AQ148" i="1" s="1"/>
  <c r="AO324" i="1"/>
  <c r="AO739" i="1"/>
  <c r="AO1043" i="1" s="1"/>
  <c r="AO746" i="1"/>
  <c r="AQ490" i="1" l="1"/>
  <c r="AQ726" i="1"/>
  <c r="AQ311" i="1"/>
  <c r="AQ314" i="1" s="1"/>
  <c r="AP739" i="1"/>
  <c r="AP1043" i="1" s="1"/>
  <c r="AP746" i="1"/>
  <c r="AQ34" i="12"/>
  <c r="AQ131" i="12" s="1"/>
  <c r="AQ154" i="1"/>
  <c r="AQ156" i="1" s="1"/>
  <c r="AQ1152" i="1"/>
  <c r="AQ1153" i="1" s="1"/>
  <c r="AR124" i="1"/>
  <c r="AR125" i="1" s="1"/>
  <c r="AR135" i="1" s="1"/>
  <c r="AR128" i="1"/>
  <c r="AR131" i="1" s="1"/>
  <c r="AR134" i="1" s="1"/>
  <c r="AO896" i="1"/>
  <c r="AO749" i="1"/>
  <c r="AO871" i="1"/>
  <c r="AR137" i="1" l="1"/>
  <c r="AS133" i="1" s="1"/>
  <c r="AS124" i="1" s="1"/>
  <c r="AS125" i="1" s="1"/>
  <c r="AS135" i="1" s="1"/>
  <c r="AQ751" i="1"/>
  <c r="AQ316" i="1"/>
  <c r="AQ323" i="1" s="1"/>
  <c r="AP324" i="1" s="1"/>
  <c r="AR150" i="1"/>
  <c r="AR152" i="1" s="1"/>
  <c r="AR146" i="1"/>
  <c r="AR148" i="1" s="1"/>
  <c r="AQ218" i="12"/>
  <c r="AQ231" i="12" s="1"/>
  <c r="AQ286" i="12" s="1"/>
  <c r="AQ186" i="12"/>
  <c r="AQ736" i="1"/>
  <c r="AQ739" i="1" s="1"/>
  <c r="AQ1043" i="1" s="1"/>
  <c r="AQ729" i="1"/>
  <c r="AP749" i="1"/>
  <c r="AP871" i="1"/>
  <c r="AP896" i="1"/>
  <c r="AQ491" i="1"/>
  <c r="AQ498" i="1" s="1"/>
  <c r="AQ590" i="1"/>
  <c r="AO752" i="1"/>
  <c r="AO1005" i="1"/>
  <c r="AS128" i="1" l="1"/>
  <c r="AS131" i="1" s="1"/>
  <c r="AS134" i="1" s="1"/>
  <c r="AS137" i="1" s="1"/>
  <c r="AT133" i="1" s="1"/>
  <c r="AP1005" i="1"/>
  <c r="AP752" i="1"/>
  <c r="AQ746" i="1"/>
  <c r="AR311" i="1"/>
  <c r="AR314" i="1" s="1"/>
  <c r="AR726" i="1"/>
  <c r="AR490" i="1"/>
  <c r="AR1152" i="1"/>
  <c r="AR1153" i="1" s="1"/>
  <c r="AR154" i="1"/>
  <c r="AR156" i="1" s="1"/>
  <c r="AR34" i="12"/>
  <c r="AR131" i="12" s="1"/>
  <c r="AS146" i="1"/>
  <c r="AS148" i="1" s="1"/>
  <c r="AS150" i="1"/>
  <c r="AS152" i="1" s="1"/>
  <c r="AT124" i="1" l="1"/>
  <c r="AT125" i="1" s="1"/>
  <c r="AT135" i="1" s="1"/>
  <c r="AT146" i="1" s="1"/>
  <c r="AT148" i="1" s="1"/>
  <c r="AT128" i="1"/>
  <c r="AT131" i="1" s="1"/>
  <c r="AT134" i="1" s="1"/>
  <c r="AR316" i="1"/>
  <c r="AR323" i="1" s="1"/>
  <c r="AQ324" i="1" s="1"/>
  <c r="AR751" i="1"/>
  <c r="AR186" i="12"/>
  <c r="AR218" i="12"/>
  <c r="AR231" i="12" s="1"/>
  <c r="AR286" i="12" s="1"/>
  <c r="AQ896" i="1"/>
  <c r="AQ871" i="1"/>
  <c r="AQ749" i="1"/>
  <c r="AR590" i="1"/>
  <c r="AR491" i="1"/>
  <c r="AR498" i="1" s="1"/>
  <c r="AS490" i="1"/>
  <c r="AS726" i="1"/>
  <c r="AS311" i="1"/>
  <c r="AS314" i="1" s="1"/>
  <c r="AS1152" i="1"/>
  <c r="AS1153" i="1" s="1"/>
  <c r="AS34" i="12"/>
  <c r="AS131" i="12" s="1"/>
  <c r="AS154" i="1"/>
  <c r="AS156" i="1" s="1"/>
  <c r="AR736" i="1"/>
  <c r="AR739" i="1" s="1"/>
  <c r="AR1043" i="1" s="1"/>
  <c r="AR729" i="1"/>
  <c r="AT150" i="1" l="1"/>
  <c r="AT152" i="1" s="1"/>
  <c r="AT1152" i="1" s="1"/>
  <c r="AT1153" i="1" s="1"/>
  <c r="AT137" i="1"/>
  <c r="AU133" i="1" s="1"/>
  <c r="AU124" i="1" s="1"/>
  <c r="AU125" i="1" s="1"/>
  <c r="AU135" i="1" s="1"/>
  <c r="AU146" i="1" s="1"/>
  <c r="AU148" i="1" s="1"/>
  <c r="AR746" i="1"/>
  <c r="AS186" i="12"/>
  <c r="AS218" i="12"/>
  <c r="AS231" i="12" s="1"/>
  <c r="AS286" i="12" s="1"/>
  <c r="AS736" i="1"/>
  <c r="AS739" i="1" s="1"/>
  <c r="AS1043" i="1" s="1"/>
  <c r="AS729" i="1"/>
  <c r="AS751" i="1"/>
  <c r="AS316" i="1"/>
  <c r="AS323" i="1" s="1"/>
  <c r="AR324" i="1" s="1"/>
  <c r="AS590" i="1"/>
  <c r="AS491" i="1"/>
  <c r="AS498" i="1" s="1"/>
  <c r="AQ1005" i="1"/>
  <c r="AQ752" i="1"/>
  <c r="AT311" i="1"/>
  <c r="AT314" i="1" s="1"/>
  <c r="AT726" i="1"/>
  <c r="AT490" i="1"/>
  <c r="AT154" i="1" l="1"/>
  <c r="AT156" i="1" s="1"/>
  <c r="AT34" i="12"/>
  <c r="AT131" i="12" s="1"/>
  <c r="AT186" i="12" s="1"/>
  <c r="AU150" i="1"/>
  <c r="AU152" i="1" s="1"/>
  <c r="AU34" i="12" s="1"/>
  <c r="AU131" i="12" s="1"/>
  <c r="AU128" i="1"/>
  <c r="AU131" i="1" s="1"/>
  <c r="AU134" i="1" s="1"/>
  <c r="AU137" i="1" s="1"/>
  <c r="AV133" i="1" s="1"/>
  <c r="AV128" i="1" s="1"/>
  <c r="AV131" i="1" s="1"/>
  <c r="AV134" i="1" s="1"/>
  <c r="AT751" i="1"/>
  <c r="AT316" i="1"/>
  <c r="AT323" i="1" s="1"/>
  <c r="AS324" i="1" s="1"/>
  <c r="AU726" i="1"/>
  <c r="AU490" i="1"/>
  <c r="AU311" i="1"/>
  <c r="AU314" i="1" s="1"/>
  <c r="AT590" i="1"/>
  <c r="AT491" i="1"/>
  <c r="AT498" i="1" s="1"/>
  <c r="AS746" i="1"/>
  <c r="AT736" i="1"/>
  <c r="AT739" i="1" s="1"/>
  <c r="AT1043" i="1" s="1"/>
  <c r="AT729" i="1"/>
  <c r="AR896" i="1"/>
  <c r="AR871" i="1"/>
  <c r="AR749" i="1"/>
  <c r="AT218" i="12" l="1"/>
  <c r="AT231" i="12" s="1"/>
  <c r="AT286" i="12" s="1"/>
  <c r="AU154" i="1"/>
  <c r="AU156" i="1" s="1"/>
  <c r="AU1152" i="1"/>
  <c r="AU1153" i="1" s="1"/>
  <c r="AV124" i="1"/>
  <c r="AV125" i="1" s="1"/>
  <c r="AV135" i="1" s="1"/>
  <c r="AV146" i="1" s="1"/>
  <c r="AV148" i="1" s="1"/>
  <c r="AR1005" i="1"/>
  <c r="AR752" i="1"/>
  <c r="AU186" i="12"/>
  <c r="AU218" i="12"/>
  <c r="AU231" i="12" s="1"/>
  <c r="AU286" i="12" s="1"/>
  <c r="AS896" i="1"/>
  <c r="AS749" i="1"/>
  <c r="AS871" i="1"/>
  <c r="AU751" i="1"/>
  <c r="AU316" i="1"/>
  <c r="AU323" i="1" s="1"/>
  <c r="AT324" i="1" s="1"/>
  <c r="AT746" i="1"/>
  <c r="AU590" i="1"/>
  <c r="AU491" i="1"/>
  <c r="AU498" i="1" s="1"/>
  <c r="AU729" i="1"/>
  <c r="AU736" i="1"/>
  <c r="AV150" i="1" l="1"/>
  <c r="AV152" i="1" s="1"/>
  <c r="AV1152" i="1" s="1"/>
  <c r="AV1153" i="1" s="1"/>
  <c r="AV137" i="1"/>
  <c r="AW133" i="1" s="1"/>
  <c r="AW128" i="1" s="1"/>
  <c r="AW131" i="1" s="1"/>
  <c r="AW134" i="1" s="1"/>
  <c r="AV490" i="1"/>
  <c r="AV726" i="1"/>
  <c r="AV311" i="1"/>
  <c r="AV314" i="1" s="1"/>
  <c r="AU739" i="1"/>
  <c r="AU1043" i="1" s="1"/>
  <c r="AU746" i="1"/>
  <c r="AT896" i="1"/>
  <c r="AT871" i="1"/>
  <c r="AT749" i="1"/>
  <c r="AS1005" i="1"/>
  <c r="AS752" i="1"/>
  <c r="AW124" i="1" l="1"/>
  <c r="AW125" i="1" s="1"/>
  <c r="AW135" i="1" s="1"/>
  <c r="AW137" i="1" s="1"/>
  <c r="AX133" i="1" s="1"/>
  <c r="AX128" i="1" s="1"/>
  <c r="AX131" i="1" s="1"/>
  <c r="AV154" i="1"/>
  <c r="AV156" i="1" s="1"/>
  <c r="AV34" i="12"/>
  <c r="AV131" i="12" s="1"/>
  <c r="AV186" i="12" s="1"/>
  <c r="AV590" i="1"/>
  <c r="AV491" i="1"/>
  <c r="AV498" i="1" s="1"/>
  <c r="AV751" i="1"/>
  <c r="AV316" i="1"/>
  <c r="AV323" i="1" s="1"/>
  <c r="AU324" i="1" s="1"/>
  <c r="AV736" i="1"/>
  <c r="AV729" i="1"/>
  <c r="AU896" i="1"/>
  <c r="AU871" i="1"/>
  <c r="AU749" i="1"/>
  <c r="AT1005" i="1"/>
  <c r="AT752" i="1"/>
  <c r="AV218" i="12" l="1"/>
  <c r="AV231" i="12" s="1"/>
  <c r="AV286" i="12" s="1"/>
  <c r="AW146" i="1"/>
  <c r="AW148" i="1" s="1"/>
  <c r="AW311" i="1" s="1"/>
  <c r="AW314" i="1" s="1"/>
  <c r="AW150" i="1"/>
  <c r="AW152" i="1" s="1"/>
  <c r="AW154" i="1" s="1"/>
  <c r="AW156" i="1" s="1"/>
  <c r="AX124" i="1"/>
  <c r="AX125" i="1" s="1"/>
  <c r="I125" i="1" s="1"/>
  <c r="I135" i="1" s="1"/>
  <c r="AV739" i="1"/>
  <c r="AV746" i="1"/>
  <c r="I131" i="1"/>
  <c r="I134" i="1" s="1"/>
  <c r="AX134" i="1"/>
  <c r="AU1005" i="1"/>
  <c r="AU752" i="1"/>
  <c r="AW490" i="1" l="1"/>
  <c r="AW491" i="1" s="1"/>
  <c r="AW498" i="1" s="1"/>
  <c r="AW726" i="1"/>
  <c r="AW736" i="1" s="1"/>
  <c r="AW739" i="1" s="1"/>
  <c r="AW1043" i="1" s="1"/>
  <c r="AW34" i="12"/>
  <c r="AW131" i="12" s="1"/>
  <c r="AW218" i="12" s="1"/>
  <c r="AW231" i="12" s="1"/>
  <c r="AW286" i="12" s="1"/>
  <c r="AW1152" i="1"/>
  <c r="AW1153" i="1" s="1"/>
  <c r="AX135" i="1"/>
  <c r="AX146" i="1" s="1"/>
  <c r="AX148" i="1" s="1"/>
  <c r="I146" i="1"/>
  <c r="I150" i="1"/>
  <c r="AV749" i="1"/>
  <c r="AV1005" i="1" s="1"/>
  <c r="AV871" i="1"/>
  <c r="AV896" i="1"/>
  <c r="AW751" i="1"/>
  <c r="AW316" i="1"/>
  <c r="AW323" i="1" s="1"/>
  <c r="AV324" i="1" s="1"/>
  <c r="F139" i="1"/>
  <c r="AV1043" i="1"/>
  <c r="AX137" i="1" l="1"/>
  <c r="AW590" i="1"/>
  <c r="AW729" i="1"/>
  <c r="F140" i="1"/>
  <c r="F142" i="1" s="1"/>
  <c r="F1166" i="1" s="1"/>
  <c r="AV752" i="1"/>
  <c r="AW186" i="12"/>
  <c r="AX150" i="1"/>
  <c r="AX152" i="1" s="1"/>
  <c r="AX154" i="1" s="1"/>
  <c r="AX156" i="1" s="1"/>
  <c r="I156" i="1" s="1"/>
  <c r="AX311" i="1"/>
  <c r="AX314" i="1" s="1"/>
  <c r="AX490" i="1"/>
  <c r="AX726" i="1"/>
  <c r="I148" i="1"/>
  <c r="AW746" i="1"/>
  <c r="I152" i="1" l="1"/>
  <c r="I154" i="1" s="1"/>
  <c r="AX1152" i="1"/>
  <c r="AX1153" i="1" s="1"/>
  <c r="I1153" i="1" s="1"/>
  <c r="AX34" i="12"/>
  <c r="F46" i="12" s="1"/>
  <c r="AX590" i="1"/>
  <c r="AX491" i="1"/>
  <c r="AW871" i="1"/>
  <c r="AW896" i="1"/>
  <c r="AW749" i="1"/>
  <c r="AX316" i="1"/>
  <c r="AX751" i="1"/>
  <c r="I314" i="1"/>
  <c r="I751" i="1" s="1"/>
  <c r="I311" i="1"/>
  <c r="I490" i="1"/>
  <c r="I590" i="1" s="1"/>
  <c r="I726" i="1"/>
  <c r="AX736" i="1"/>
  <c r="AX746" i="1" s="1"/>
  <c r="AX729" i="1"/>
  <c r="I729" i="1" s="1"/>
  <c r="I1152" i="1" l="1"/>
  <c r="I34" i="12"/>
  <c r="AX131" i="12"/>
  <c r="AX186" i="12" s="1"/>
  <c r="F198" i="12" s="1"/>
  <c r="AX871" i="1"/>
  <c r="AX896" i="1"/>
  <c r="AX749" i="1"/>
  <c r="I746" i="1"/>
  <c r="AX323" i="1"/>
  <c r="I316" i="1"/>
  <c r="I323" i="1" s="1"/>
  <c r="AW1005" i="1"/>
  <c r="AW752" i="1"/>
  <c r="I491" i="1"/>
  <c r="I498" i="1" s="1"/>
  <c r="AX498" i="1"/>
  <c r="AX739" i="1"/>
  <c r="I736" i="1"/>
  <c r="I131" i="12" l="1"/>
  <c r="I218" i="12" s="1"/>
  <c r="F143" i="12"/>
  <c r="I15" i="5" s="1"/>
  <c r="F27" i="35" s="1"/>
  <c r="J27" i="35" s="1"/>
  <c r="I27" i="35" s="1"/>
  <c r="AX218" i="12"/>
  <c r="AX231" i="12" s="1"/>
  <c r="F243" i="12" s="1"/>
  <c r="J15" i="5" s="1"/>
  <c r="I871" i="1"/>
  <c r="I896" i="1"/>
  <c r="I739" i="1"/>
  <c r="I1043" i="1" s="1"/>
  <c r="AX1043" i="1"/>
  <c r="AX752" i="1"/>
  <c r="I749" i="1"/>
  <c r="I1005" i="1" s="1"/>
  <c r="AX1005" i="1"/>
  <c r="U194" i="5"/>
  <c r="K15" i="5"/>
  <c r="F39" i="35" s="1"/>
  <c r="J39" i="35" s="1"/>
  <c r="I39" i="35" s="1"/>
  <c r="AW324" i="1"/>
  <c r="AX324" i="1" s="1"/>
  <c r="AX286" i="12" l="1"/>
  <c r="F298" i="12" s="1"/>
  <c r="L15" i="5" s="1"/>
  <c r="I324" i="1"/>
  <c r="O325" i="1"/>
  <c r="R325" i="1"/>
  <c r="V325" i="1"/>
  <c r="Z325" i="1"/>
  <c r="AD325" i="1"/>
  <c r="AL325" i="1"/>
  <c r="AU325" i="1"/>
  <c r="K325" i="1"/>
  <c r="P325" i="1"/>
  <c r="S325" i="1"/>
  <c r="Y325" i="1"/>
  <c r="AB325" i="1"/>
  <c r="AE325" i="1"/>
  <c r="AI325" i="1"/>
  <c r="AM325" i="1"/>
  <c r="AQ325" i="1"/>
  <c r="AP325" i="1"/>
  <c r="AT325" i="1"/>
  <c r="L325" i="1"/>
  <c r="N325" i="1"/>
  <c r="U325" i="1"/>
  <c r="W325" i="1"/>
  <c r="AA325" i="1"/>
  <c r="AG325" i="1"/>
  <c r="AK325" i="1"/>
  <c r="AR325" i="1"/>
  <c r="M325" i="1"/>
  <c r="Q325" i="1"/>
  <c r="T325" i="1"/>
  <c r="X325" i="1"/>
  <c r="AC325" i="1"/>
  <c r="AF325" i="1"/>
  <c r="AJ325" i="1"/>
  <c r="AN325" i="1"/>
  <c r="AW325" i="1"/>
  <c r="AS325" i="1"/>
  <c r="AH325" i="1"/>
  <c r="AO325" i="1"/>
  <c r="AV325" i="1"/>
  <c r="AX325" i="1"/>
  <c r="I752" i="1"/>
  <c r="F752" i="1"/>
  <c r="F1177" i="1" s="1"/>
  <c r="AV328" i="1" l="1"/>
  <c r="AV334" i="1"/>
  <c r="AV336" i="1" s="1"/>
  <c r="AV349" i="1" s="1"/>
  <c r="AV365" i="1" s="1"/>
  <c r="AW334" i="1"/>
  <c r="AW336" i="1" s="1"/>
  <c r="AW349" i="1" s="1"/>
  <c r="AW365" i="1" s="1"/>
  <c r="AW328" i="1"/>
  <c r="AC334" i="1"/>
  <c r="AC336" i="1" s="1"/>
  <c r="AC349" i="1" s="1"/>
  <c r="AC365" i="1" s="1"/>
  <c r="AC328" i="1"/>
  <c r="M334" i="1"/>
  <c r="M336" i="1" s="1"/>
  <c r="M349" i="1" s="1"/>
  <c r="M365" i="1" s="1"/>
  <c r="M328" i="1"/>
  <c r="AA328" i="1"/>
  <c r="AA334" i="1"/>
  <c r="AA336" i="1" s="1"/>
  <c r="AA349" i="1" s="1"/>
  <c r="AA365" i="1" s="1"/>
  <c r="L328" i="1"/>
  <c r="L334" i="1"/>
  <c r="L336" i="1" s="1"/>
  <c r="L349" i="1" s="1"/>
  <c r="L365" i="1" s="1"/>
  <c r="AM334" i="1"/>
  <c r="AM336" i="1" s="1"/>
  <c r="AM349" i="1" s="1"/>
  <c r="AM365" i="1" s="1"/>
  <c r="AM328" i="1"/>
  <c r="Y334" i="1"/>
  <c r="Y336" i="1" s="1"/>
  <c r="Y349" i="1" s="1"/>
  <c r="Y365" i="1" s="1"/>
  <c r="Y328" i="1"/>
  <c r="AU328" i="1"/>
  <c r="AU334" i="1"/>
  <c r="AU336" i="1" s="1"/>
  <c r="AU349" i="1" s="1"/>
  <c r="AU365" i="1" s="1"/>
  <c r="V328" i="1"/>
  <c r="V334" i="1"/>
  <c r="V336" i="1" s="1"/>
  <c r="V349" i="1" s="1"/>
  <c r="V365" i="1" s="1"/>
  <c r="AO334" i="1"/>
  <c r="AO336" i="1" s="1"/>
  <c r="AO349" i="1" s="1"/>
  <c r="AO365" i="1" s="1"/>
  <c r="AO328" i="1"/>
  <c r="AN328" i="1"/>
  <c r="AN334" i="1"/>
  <c r="AN336" i="1" s="1"/>
  <c r="AN349" i="1" s="1"/>
  <c r="AN365" i="1" s="1"/>
  <c r="X328" i="1"/>
  <c r="X334" i="1"/>
  <c r="X336" i="1" s="1"/>
  <c r="X349" i="1" s="1"/>
  <c r="X365" i="1" s="1"/>
  <c r="AR328" i="1"/>
  <c r="AR334" i="1"/>
  <c r="AR336" i="1" s="1"/>
  <c r="AR349" i="1" s="1"/>
  <c r="AR365" i="1" s="1"/>
  <c r="W328" i="1"/>
  <c r="W334" i="1"/>
  <c r="W336" i="1" s="1"/>
  <c r="W349" i="1" s="1"/>
  <c r="W365" i="1" s="1"/>
  <c r="AT328" i="1"/>
  <c r="AT334" i="1"/>
  <c r="AT336" i="1" s="1"/>
  <c r="AT349" i="1" s="1"/>
  <c r="AT365" i="1" s="1"/>
  <c r="AI328" i="1"/>
  <c r="AI334" i="1"/>
  <c r="AI336" i="1" s="1"/>
  <c r="AI349" i="1" s="1"/>
  <c r="AI365" i="1" s="1"/>
  <c r="S328" i="1"/>
  <c r="S334" i="1"/>
  <c r="S336" i="1" s="1"/>
  <c r="S349" i="1" s="1"/>
  <c r="S365" i="1" s="1"/>
  <c r="AL328" i="1"/>
  <c r="AL334" i="1"/>
  <c r="AL336" i="1" s="1"/>
  <c r="AL349" i="1" s="1"/>
  <c r="AL365" i="1" s="1"/>
  <c r="R334" i="1"/>
  <c r="R336" i="1" s="1"/>
  <c r="R349" i="1" s="1"/>
  <c r="R365" i="1" s="1"/>
  <c r="R328" i="1"/>
  <c r="AH334" i="1"/>
  <c r="AH336" i="1" s="1"/>
  <c r="AH349" i="1" s="1"/>
  <c r="AH365" i="1" s="1"/>
  <c r="AH328" i="1"/>
  <c r="AJ334" i="1"/>
  <c r="AJ336" i="1" s="1"/>
  <c r="AJ349" i="1" s="1"/>
  <c r="AJ365" i="1" s="1"/>
  <c r="AJ328" i="1"/>
  <c r="T334" i="1"/>
  <c r="T336" i="1" s="1"/>
  <c r="T349" i="1" s="1"/>
  <c r="T365" i="1" s="1"/>
  <c r="T328" i="1"/>
  <c r="AK328" i="1"/>
  <c r="AK334" i="1"/>
  <c r="AK336" i="1" s="1"/>
  <c r="AK349" i="1" s="1"/>
  <c r="AK365" i="1" s="1"/>
  <c r="U328" i="1"/>
  <c r="U334" i="1"/>
  <c r="U336" i="1" s="1"/>
  <c r="U349" i="1" s="1"/>
  <c r="U365" i="1" s="1"/>
  <c r="AP334" i="1"/>
  <c r="AP336" i="1" s="1"/>
  <c r="AP349" i="1" s="1"/>
  <c r="AP365" i="1" s="1"/>
  <c r="AP328" i="1"/>
  <c r="AE328" i="1"/>
  <c r="AE334" i="1"/>
  <c r="AE336" i="1" s="1"/>
  <c r="AE349" i="1" s="1"/>
  <c r="AE365" i="1" s="1"/>
  <c r="P334" i="1"/>
  <c r="P336" i="1" s="1"/>
  <c r="P349" i="1" s="1"/>
  <c r="P365" i="1" s="1"/>
  <c r="P328" i="1"/>
  <c r="AD328" i="1"/>
  <c r="AD334" i="1"/>
  <c r="AD336" i="1" s="1"/>
  <c r="AD349" i="1" s="1"/>
  <c r="AD365" i="1" s="1"/>
  <c r="O328" i="1"/>
  <c r="O334" i="1"/>
  <c r="O336" i="1" s="1"/>
  <c r="O349" i="1" s="1"/>
  <c r="O365" i="1" s="1"/>
  <c r="AX328" i="1"/>
  <c r="AX334" i="1"/>
  <c r="AX336" i="1" s="1"/>
  <c r="AX349" i="1" s="1"/>
  <c r="AX365" i="1" s="1"/>
  <c r="AS328" i="1"/>
  <c r="AS334" i="1"/>
  <c r="AS336" i="1" s="1"/>
  <c r="AS349" i="1" s="1"/>
  <c r="AS365" i="1" s="1"/>
  <c r="AF328" i="1"/>
  <c r="AF334" i="1"/>
  <c r="AF336" i="1" s="1"/>
  <c r="AF349" i="1" s="1"/>
  <c r="AF365" i="1" s="1"/>
  <c r="Q328" i="1"/>
  <c r="Q334" i="1"/>
  <c r="Q336" i="1" s="1"/>
  <c r="Q349" i="1" s="1"/>
  <c r="Q365" i="1" s="1"/>
  <c r="AG334" i="1"/>
  <c r="AG336" i="1" s="1"/>
  <c r="AG349" i="1" s="1"/>
  <c r="AG365" i="1" s="1"/>
  <c r="AG328" i="1"/>
  <c r="N334" i="1"/>
  <c r="N336" i="1" s="1"/>
  <c r="N349" i="1" s="1"/>
  <c r="N365" i="1" s="1"/>
  <c r="N328" i="1"/>
  <c r="AQ328" i="1"/>
  <c r="AQ334" i="1"/>
  <c r="AQ336" i="1" s="1"/>
  <c r="AQ349" i="1" s="1"/>
  <c r="AQ365" i="1" s="1"/>
  <c r="AB328" i="1"/>
  <c r="AB334" i="1"/>
  <c r="AB336" i="1" s="1"/>
  <c r="AB349" i="1" s="1"/>
  <c r="AB365" i="1" s="1"/>
  <c r="I325" i="1"/>
  <c r="K328" i="1"/>
  <c r="K334" i="1"/>
  <c r="Z328" i="1"/>
  <c r="Z334" i="1"/>
  <c r="Z336" i="1" s="1"/>
  <c r="Z349" i="1" s="1"/>
  <c r="Z365" i="1" s="1"/>
  <c r="I334" i="1" l="1"/>
  <c r="K336" i="1"/>
  <c r="K330" i="1"/>
  <c r="I328" i="1"/>
  <c r="L330" i="1" l="1"/>
  <c r="K339" i="1"/>
  <c r="K341" i="1" s="1"/>
  <c r="K349" i="1"/>
  <c r="I336" i="1"/>
  <c r="I349" i="1" s="1"/>
  <c r="I365" i="1" s="1"/>
  <c r="K350" i="1" l="1"/>
  <c r="K365" i="1"/>
  <c r="F357" i="1"/>
  <c r="M330" i="1"/>
  <c r="L339" i="1"/>
  <c r="L341" i="1" s="1"/>
  <c r="N330" i="1" l="1"/>
  <c r="M339" i="1"/>
  <c r="M341" i="1" s="1"/>
  <c r="K376" i="1"/>
  <c r="K351" i="1"/>
  <c r="O330" i="1" l="1"/>
  <c r="N339" i="1"/>
  <c r="N341" i="1" s="1"/>
  <c r="K352" i="1"/>
  <c r="K368" i="1"/>
  <c r="K370" i="1" s="1"/>
  <c r="K1110" i="1" s="1"/>
  <c r="K1127" i="1" s="1"/>
  <c r="K19" i="7" s="1"/>
  <c r="K364" i="1"/>
  <c r="K378" i="1"/>
  <c r="K379" i="1"/>
  <c r="K394" i="1" l="1"/>
  <c r="K459" i="1"/>
  <c r="K464" i="1" s="1"/>
  <c r="K470" i="1" s="1"/>
  <c r="K471" i="1" s="1"/>
  <c r="K495" i="1" s="1"/>
  <c r="K398" i="1"/>
  <c r="O339" i="1"/>
  <c r="O341" i="1" s="1"/>
  <c r="P330" i="1"/>
  <c r="K399" i="1"/>
  <c r="K872" i="1" s="1"/>
  <c r="K875" i="1" s="1"/>
  <c r="K460" i="1"/>
  <c r="K465" i="1" s="1"/>
  <c r="K395" i="1"/>
  <c r="K33" i="7"/>
  <c r="K494" i="1" l="1"/>
  <c r="K907" i="1"/>
  <c r="K786" i="1"/>
  <c r="K780" i="1"/>
  <c r="K781" i="1" s="1"/>
  <c r="P339" i="1"/>
  <c r="P341" i="1" s="1"/>
  <c r="Q330" i="1"/>
  <c r="K499" i="1" l="1"/>
  <c r="K519" i="1" s="1"/>
  <c r="K520" i="1" s="1"/>
  <c r="Q339" i="1"/>
  <c r="Q341" i="1" s="1"/>
  <c r="R330" i="1"/>
  <c r="K782" i="1"/>
  <c r="K785" i="1"/>
  <c r="K787" i="1" s="1"/>
  <c r="K909" i="1" s="1"/>
  <c r="K831" i="1"/>
  <c r="K834" i="1" s="1"/>
  <c r="L830" i="1" s="1"/>
  <c r="S330" i="1" l="1"/>
  <c r="R339" i="1"/>
  <c r="R341" i="1" s="1"/>
  <c r="K521" i="1"/>
  <c r="T330" i="1" l="1"/>
  <c r="S339" i="1"/>
  <c r="S341" i="1" s="1"/>
  <c r="K533" i="1"/>
  <c r="K534" i="1" s="1"/>
  <c r="K537" i="1"/>
  <c r="K586" i="1"/>
  <c r="K676" i="1"/>
  <c r="K522" i="1"/>
  <c r="L517" i="1" s="1"/>
  <c r="T339" i="1" l="1"/>
  <c r="T341" i="1" s="1"/>
  <c r="U330" i="1"/>
  <c r="L518" i="1"/>
  <c r="K543" i="1"/>
  <c r="K544" i="1" s="1"/>
  <c r="K587" i="1"/>
  <c r="K592" i="1" s="1"/>
  <c r="K682" i="1"/>
  <c r="K655" i="1"/>
  <c r="V330" i="1" l="1"/>
  <c r="U339" i="1"/>
  <c r="U341" i="1" s="1"/>
  <c r="K698" i="1"/>
  <c r="K678" i="1"/>
  <c r="K593" i="1"/>
  <c r="K602" i="1" s="1"/>
  <c r="L603" i="1" s="1"/>
  <c r="K657" i="1"/>
  <c r="K656" i="1"/>
  <c r="K693" i="1"/>
  <c r="K677" i="1"/>
  <c r="W330" i="1" l="1"/>
  <c r="V339" i="1"/>
  <c r="V341" i="1" s="1"/>
  <c r="K679" i="1"/>
  <c r="K683" i="1"/>
  <c r="K708" i="1"/>
  <c r="K1106" i="1"/>
  <c r="L613" i="1"/>
  <c r="U133" i="5"/>
  <c r="L611" i="1"/>
  <c r="L612" i="1"/>
  <c r="L615" i="1"/>
  <c r="L614" i="1"/>
  <c r="K666" i="1"/>
  <c r="K665" i="1"/>
  <c r="W339" i="1" l="1"/>
  <c r="W341" i="1" s="1"/>
  <c r="X330" i="1"/>
  <c r="K699" i="1"/>
  <c r="K700" i="1" s="1"/>
  <c r="K685" i="1"/>
  <c r="L628" i="1"/>
  <c r="L635" i="1" s="1"/>
  <c r="L651" i="1" s="1"/>
  <c r="L617" i="1"/>
  <c r="K1123" i="1"/>
  <c r="K684" i="1"/>
  <c r="K694" i="1"/>
  <c r="K695" i="1" s="1"/>
  <c r="L652" i="1" l="1"/>
  <c r="U121" i="5"/>
  <c r="U124" i="5" s="1"/>
  <c r="K686" i="1"/>
  <c r="X339" i="1"/>
  <c r="X341" i="1" s="1"/>
  <c r="Y330" i="1"/>
  <c r="L619" i="1"/>
  <c r="K1041" i="1"/>
  <c r="K704" i="1"/>
  <c r="K1003" i="1"/>
  <c r="K889" i="1"/>
  <c r="K902" i="1" s="1"/>
  <c r="K849" i="1"/>
  <c r="K705" i="1"/>
  <c r="K15" i="7"/>
  <c r="Z330" i="1" l="1"/>
  <c r="Y339" i="1"/>
  <c r="Y341" i="1" s="1"/>
  <c r="K709" i="1"/>
  <c r="K927" i="1"/>
  <c r="K29" i="7"/>
  <c r="AA330" i="1" l="1"/>
  <c r="Z339" i="1"/>
  <c r="Z341" i="1" s="1"/>
  <c r="AA339" i="1" l="1"/>
  <c r="AA341" i="1" s="1"/>
  <c r="AB330" i="1"/>
  <c r="AC330" i="1" l="1"/>
  <c r="AB339" i="1"/>
  <c r="AB341" i="1" s="1"/>
  <c r="AC339" i="1" l="1"/>
  <c r="AC341" i="1" s="1"/>
  <c r="AD330" i="1"/>
  <c r="AE330" i="1" l="1"/>
  <c r="AD339" i="1"/>
  <c r="AD341" i="1" s="1"/>
  <c r="AE339" i="1" l="1"/>
  <c r="AE341" i="1" s="1"/>
  <c r="AF330" i="1"/>
  <c r="AF339" i="1" l="1"/>
  <c r="AF341" i="1" s="1"/>
  <c r="AG330" i="1"/>
  <c r="AG339" i="1" l="1"/>
  <c r="AG341" i="1" s="1"/>
  <c r="AH330" i="1"/>
  <c r="AI330" i="1" l="1"/>
  <c r="AH339" i="1"/>
  <c r="AH341" i="1" s="1"/>
  <c r="AI339" i="1" l="1"/>
  <c r="AI341" i="1" s="1"/>
  <c r="AJ330" i="1"/>
  <c r="AK330" i="1" l="1"/>
  <c r="AJ339" i="1"/>
  <c r="AJ341" i="1" s="1"/>
  <c r="AK339" i="1" l="1"/>
  <c r="AK341" i="1" s="1"/>
  <c r="AL330" i="1"/>
  <c r="AM330" i="1" l="1"/>
  <c r="AL339" i="1"/>
  <c r="AL341" i="1" s="1"/>
  <c r="AM339" i="1" l="1"/>
  <c r="AM341" i="1" s="1"/>
  <c r="AN330" i="1"/>
  <c r="AN339" i="1" l="1"/>
  <c r="AN341" i="1" s="1"/>
  <c r="AO330" i="1"/>
  <c r="AP330" i="1" l="1"/>
  <c r="AO339" i="1"/>
  <c r="AO341" i="1" s="1"/>
  <c r="AQ330" i="1" l="1"/>
  <c r="AP339" i="1"/>
  <c r="AP341" i="1" s="1"/>
  <c r="AR330" i="1" l="1"/>
  <c r="AQ339" i="1"/>
  <c r="AQ341" i="1" s="1"/>
  <c r="AS330" i="1" l="1"/>
  <c r="AR339" i="1"/>
  <c r="AR341" i="1" s="1"/>
  <c r="AS339" i="1" l="1"/>
  <c r="AS341" i="1" s="1"/>
  <c r="AT330" i="1"/>
  <c r="AU330" i="1" l="1"/>
  <c r="AT339" i="1"/>
  <c r="AT341" i="1" s="1"/>
  <c r="AV330" i="1" l="1"/>
  <c r="AU339" i="1"/>
  <c r="AU341" i="1" s="1"/>
  <c r="AV339" i="1" l="1"/>
  <c r="AV341" i="1" s="1"/>
  <c r="AW330" i="1"/>
  <c r="AW339" i="1" l="1"/>
  <c r="AW341" i="1" s="1"/>
  <c r="AX330" i="1"/>
  <c r="AX339" i="1" s="1"/>
  <c r="AX341" i="1" s="1"/>
  <c r="AQ342" i="1" l="1"/>
  <c r="AT342" i="1"/>
  <c r="AP342" i="1"/>
  <c r="AX342" i="1"/>
  <c r="K342" i="1"/>
  <c r="K353" i="1" s="1"/>
  <c r="AU342" i="1"/>
  <c r="L342" i="1"/>
  <c r="Q342" i="1"/>
  <c r="U342" i="1"/>
  <c r="Y342" i="1"/>
  <c r="AE342" i="1"/>
  <c r="AO342" i="1"/>
  <c r="AV342" i="1"/>
  <c r="I341" i="1"/>
  <c r="P342" i="1"/>
  <c r="R342" i="1"/>
  <c r="T342" i="1"/>
  <c r="AA342" i="1"/>
  <c r="AB342" i="1"/>
  <c r="AW342" i="1"/>
  <c r="N342" i="1"/>
  <c r="V342" i="1"/>
  <c r="X342" i="1"/>
  <c r="AC342" i="1"/>
  <c r="AF342" i="1"/>
  <c r="AG342" i="1"/>
  <c r="AM342" i="1"/>
  <c r="AN342" i="1"/>
  <c r="AH342" i="1"/>
  <c r="AL342" i="1"/>
  <c r="AS342" i="1"/>
  <c r="M342" i="1"/>
  <c r="O342" i="1"/>
  <c r="S342" i="1"/>
  <c r="W342" i="1"/>
  <c r="Z342" i="1"/>
  <c r="AD342" i="1"/>
  <c r="AI342" i="1"/>
  <c r="AJ342" i="1"/>
  <c r="AK342" i="1"/>
  <c r="AR342" i="1"/>
  <c r="K354" i="1" l="1"/>
  <c r="L348" i="1" s="1"/>
  <c r="L350" i="1" s="1"/>
  <c r="K363" i="1"/>
  <c r="K366" i="1" s="1"/>
  <c r="L351" i="1" l="1"/>
  <c r="L376" i="1"/>
  <c r="K397" i="1"/>
  <c r="K1006" i="1" s="1"/>
  <c r="K372" i="1"/>
  <c r="K411" i="1" s="1"/>
  <c r="K393" i="1"/>
  <c r="K1044" i="1" s="1"/>
  <c r="K1045" i="1" s="1"/>
  <c r="K1091" i="1" s="1"/>
  <c r="K414" i="1" l="1"/>
  <c r="K1095" i="1" s="1"/>
  <c r="K1055" i="1"/>
  <c r="K1056" i="1" s="1"/>
  <c r="K1058" i="1" s="1"/>
  <c r="L378" i="1"/>
  <c r="L379" i="1"/>
  <c r="K1067" i="1"/>
  <c r="K1069" i="1" s="1"/>
  <c r="L364" i="1"/>
  <c r="L368" i="1"/>
  <c r="L370" i="1" s="1"/>
  <c r="L1110" i="1" s="1"/>
  <c r="L1127" i="1" s="1"/>
  <c r="L19" i="7" s="1"/>
  <c r="L352" i="1"/>
  <c r="L353" i="1" s="1"/>
  <c r="L363" i="1" s="1"/>
  <c r="K415" i="1" l="1"/>
  <c r="K39" i="12" s="1"/>
  <c r="K136" i="12" s="1"/>
  <c r="L354" i="1"/>
  <c r="M348" i="1" s="1"/>
  <c r="M350" i="1" s="1"/>
  <c r="L366" i="1"/>
  <c r="L372" i="1" s="1"/>
  <c r="L411" i="1" s="1"/>
  <c r="L399" i="1"/>
  <c r="L872" i="1" s="1"/>
  <c r="L907" i="1" s="1"/>
  <c r="L460" i="1"/>
  <c r="L465" i="1" s="1"/>
  <c r="L494" i="1" s="1"/>
  <c r="L395" i="1"/>
  <c r="L398" i="1"/>
  <c r="L394" i="1"/>
  <c r="L459" i="1"/>
  <c r="L464" i="1" s="1"/>
  <c r="L470" i="1" s="1"/>
  <c r="L471" i="1" s="1"/>
  <c r="L495" i="1" s="1"/>
  <c r="K1059" i="1"/>
  <c r="L33" i="7"/>
  <c r="K1158" i="1" l="1"/>
  <c r="K191" i="12"/>
  <c r="K223" i="12"/>
  <c r="K236" i="12" s="1"/>
  <c r="K291" i="12" s="1"/>
  <c r="L414" i="1"/>
  <c r="L1095" i="1" s="1"/>
  <c r="L499" i="1"/>
  <c r="L519" i="1" s="1"/>
  <c r="L397" i="1"/>
  <c r="L1006" i="1" s="1"/>
  <c r="L393" i="1"/>
  <c r="L1044" i="1" s="1"/>
  <c r="L786" i="1"/>
  <c r="L780" i="1"/>
  <c r="L781" i="1" s="1"/>
  <c r="M351" i="1"/>
  <c r="M376" i="1"/>
  <c r="K1073" i="1"/>
  <c r="L415" i="1" l="1"/>
  <c r="L831" i="1"/>
  <c r="L834" i="1" s="1"/>
  <c r="M830" i="1" s="1"/>
  <c r="L782" i="1"/>
  <c r="L785" i="1"/>
  <c r="L787" i="1" s="1"/>
  <c r="L909" i="1" s="1"/>
  <c r="L520" i="1"/>
  <c r="K1074" i="1"/>
  <c r="M379" i="1"/>
  <c r="M378" i="1"/>
  <c r="M364" i="1"/>
  <c r="M368" i="1"/>
  <c r="M370" i="1" s="1"/>
  <c r="M352" i="1"/>
  <c r="K850" i="1" l="1"/>
  <c r="K906" i="1"/>
  <c r="L39" i="12"/>
  <c r="L136" i="12" s="1"/>
  <c r="L191" i="12" s="1"/>
  <c r="L1158" i="1"/>
  <c r="K1075" i="1"/>
  <c r="M1110" i="1"/>
  <c r="M1127" i="1" s="1"/>
  <c r="M399" i="1"/>
  <c r="M460" i="1"/>
  <c r="M465" i="1" s="1"/>
  <c r="M395" i="1"/>
  <c r="M394" i="1"/>
  <c r="M398" i="1"/>
  <c r="M459" i="1"/>
  <c r="M464" i="1" s="1"/>
  <c r="M353" i="1"/>
  <c r="M354" i="1" s="1"/>
  <c r="N348" i="1" s="1"/>
  <c r="L521" i="1"/>
  <c r="L522" i="1" s="1"/>
  <c r="M517" i="1" s="1"/>
  <c r="L223" i="12" l="1"/>
  <c r="L236" i="12" s="1"/>
  <c r="L291" i="12" s="1"/>
  <c r="N350" i="1"/>
  <c r="M494" i="1"/>
  <c r="M19" i="7"/>
  <c r="L586" i="1"/>
  <c r="L676" i="1"/>
  <c r="L537" i="1"/>
  <c r="L533" i="1"/>
  <c r="L534" i="1" s="1"/>
  <c r="M872" i="1"/>
  <c r="M518" i="1"/>
  <c r="M470" i="1"/>
  <c r="M471" i="1" s="1"/>
  <c r="M363" i="1"/>
  <c r="M366" i="1" s="1"/>
  <c r="M786" i="1"/>
  <c r="M780" i="1"/>
  <c r="M781" i="1" s="1"/>
  <c r="K1076" i="1"/>
  <c r="M785" i="1" l="1"/>
  <c r="M787" i="1" s="1"/>
  <c r="M831" i="1"/>
  <c r="M834" i="1" s="1"/>
  <c r="N830" i="1" s="1"/>
  <c r="M782" i="1"/>
  <c r="M372" i="1"/>
  <c r="M411" i="1" s="1"/>
  <c r="M397" i="1"/>
  <c r="M393" i="1"/>
  <c r="L587" i="1"/>
  <c r="L592" i="1" s="1"/>
  <c r="L682" i="1"/>
  <c r="L655" i="1"/>
  <c r="K1081" i="1"/>
  <c r="K1080" i="1"/>
  <c r="K1077" i="1"/>
  <c r="L1072" i="1" s="1"/>
  <c r="M907" i="1"/>
  <c r="L543" i="1"/>
  <c r="L544" i="1" s="1"/>
  <c r="M495" i="1"/>
  <c r="M499" i="1" s="1"/>
  <c r="M33" i="7"/>
  <c r="N376" i="1"/>
  <c r="N351" i="1"/>
  <c r="M414" i="1" l="1"/>
  <c r="M1095" i="1" s="1"/>
  <c r="K877" i="1"/>
  <c r="K905" i="1" s="1"/>
  <c r="M519" i="1"/>
  <c r="N364" i="1"/>
  <c r="N368" i="1"/>
  <c r="N370" i="1" s="1"/>
  <c r="L678" i="1"/>
  <c r="L698" i="1"/>
  <c r="M909" i="1"/>
  <c r="L656" i="1"/>
  <c r="L657" i="1"/>
  <c r="M1006" i="1"/>
  <c r="N379" i="1"/>
  <c r="N378" i="1"/>
  <c r="L677" i="1"/>
  <c r="L693" i="1"/>
  <c r="L593" i="1"/>
  <c r="L602" i="1" s="1"/>
  <c r="M603" i="1" s="1"/>
  <c r="K1092" i="1"/>
  <c r="K1093" i="1" s="1"/>
  <c r="K1007" i="1"/>
  <c r="M1044" i="1"/>
  <c r="N352" i="1"/>
  <c r="K1097" i="1" l="1"/>
  <c r="K1157" i="1" s="1"/>
  <c r="K879" i="1"/>
  <c r="K884" i="1" s="1"/>
  <c r="M415" i="1"/>
  <c r="K910" i="1"/>
  <c r="K912" i="1" s="1"/>
  <c r="L679" i="1"/>
  <c r="N353" i="1"/>
  <c r="N354" i="1" s="1"/>
  <c r="O348" i="1" s="1"/>
  <c r="L683" i="1"/>
  <c r="L708" i="1"/>
  <c r="L1106" i="1"/>
  <c r="N1110" i="1"/>
  <c r="N1127" i="1" s="1"/>
  <c r="N394" i="1"/>
  <c r="N459" i="1"/>
  <c r="N464" i="1" s="1"/>
  <c r="N398" i="1"/>
  <c r="M614" i="1"/>
  <c r="M611" i="1"/>
  <c r="M613" i="1"/>
  <c r="M612" i="1"/>
  <c r="M615" i="1"/>
  <c r="V133" i="5"/>
  <c r="N395" i="1"/>
  <c r="N399" i="1"/>
  <c r="N460" i="1"/>
  <c r="N465" i="1" s="1"/>
  <c r="L666" i="1"/>
  <c r="L665" i="1"/>
  <c r="M520" i="1"/>
  <c r="M521" i="1" s="1"/>
  <c r="L878" i="1" l="1"/>
  <c r="K36" i="12"/>
  <c r="K133" i="12" s="1"/>
  <c r="K1113" i="1"/>
  <c r="K1130" i="1" s="1"/>
  <c r="K22" i="7" s="1"/>
  <c r="M39" i="12"/>
  <c r="M136" i="12" s="1"/>
  <c r="M191" i="12" s="1"/>
  <c r="M1158" i="1"/>
  <c r="K1107" i="1"/>
  <c r="K1124" i="1" s="1"/>
  <c r="K16" i="7" s="1"/>
  <c r="K30" i="7" s="1"/>
  <c r="K1008" i="1"/>
  <c r="K915" i="1"/>
  <c r="K920" i="1" s="1"/>
  <c r="K928" i="1" s="1"/>
  <c r="K929" i="1" s="1"/>
  <c r="O350" i="1"/>
  <c r="L685" i="1"/>
  <c r="L699" i="1"/>
  <c r="L700" i="1" s="1"/>
  <c r="M522" i="1"/>
  <c r="N517" i="1" s="1"/>
  <c r="M533" i="1"/>
  <c r="M534" i="1" s="1"/>
  <c r="M537" i="1"/>
  <c r="M543" i="1" s="1"/>
  <c r="M586" i="1"/>
  <c r="M676" i="1"/>
  <c r="L684" i="1"/>
  <c r="L694" i="1"/>
  <c r="L695" i="1" s="1"/>
  <c r="M617" i="1"/>
  <c r="M628" i="1"/>
  <c r="M635" i="1" s="1"/>
  <c r="M651" i="1" s="1"/>
  <c r="N786" i="1"/>
  <c r="N780" i="1"/>
  <c r="N781" i="1" s="1"/>
  <c r="N494" i="1"/>
  <c r="N470" i="1"/>
  <c r="N471" i="1" s="1"/>
  <c r="N872" i="1"/>
  <c r="N19" i="7"/>
  <c r="L1123" i="1"/>
  <c r="N363" i="1"/>
  <c r="N366" i="1" s="1"/>
  <c r="M223" i="12" l="1"/>
  <c r="M236" i="12" s="1"/>
  <c r="M291" i="12" s="1"/>
  <c r="K932" i="1"/>
  <c r="L925" i="1"/>
  <c r="L926" i="1" s="1"/>
  <c r="V121" i="5"/>
  <c r="V124" i="5" s="1"/>
  <c r="M652" i="1"/>
  <c r="L15" i="7"/>
  <c r="M544" i="1"/>
  <c r="M693" i="1"/>
  <c r="M677" i="1"/>
  <c r="K35" i="7"/>
  <c r="L1003" i="1"/>
  <c r="L849" i="1"/>
  <c r="L889" i="1"/>
  <c r="L705" i="1"/>
  <c r="N907" i="1"/>
  <c r="M655" i="1"/>
  <c r="M682" i="1"/>
  <c r="M587" i="1"/>
  <c r="M592" i="1" s="1"/>
  <c r="L686" i="1"/>
  <c r="N393" i="1"/>
  <c r="N372" i="1"/>
  <c r="N411" i="1" s="1"/>
  <c r="N397" i="1"/>
  <c r="L704" i="1"/>
  <c r="L1041" i="1"/>
  <c r="L1045" i="1" s="1"/>
  <c r="N518" i="1"/>
  <c r="N33" i="7"/>
  <c r="N495" i="1"/>
  <c r="N499" i="1" s="1"/>
  <c r="K220" i="12"/>
  <c r="K233" i="12" s="1"/>
  <c r="K188" i="12"/>
  <c r="N831" i="1"/>
  <c r="N834" i="1" s="1"/>
  <c r="O830" i="1" s="1"/>
  <c r="N785" i="1"/>
  <c r="N787" i="1" s="1"/>
  <c r="N782" i="1"/>
  <c r="M619" i="1"/>
  <c r="O351" i="1"/>
  <c r="O376" i="1"/>
  <c r="N414" i="1" l="1"/>
  <c r="K938" i="1"/>
  <c r="L939" i="1" s="1"/>
  <c r="K1108" i="1"/>
  <c r="K1125" i="1" s="1"/>
  <c r="K17" i="7" s="1"/>
  <c r="K31" i="7" s="1"/>
  <c r="K1009" i="1"/>
  <c r="K1011" i="1" s="1"/>
  <c r="L709" i="1"/>
  <c r="N909" i="1"/>
  <c r="M593" i="1"/>
  <c r="M602" i="1" s="1"/>
  <c r="N603" i="1" s="1"/>
  <c r="K288" i="12"/>
  <c r="L1067" i="1"/>
  <c r="L1069" i="1" s="1"/>
  <c r="L1055" i="1"/>
  <c r="L1056" i="1" s="1"/>
  <c r="L1091" i="1"/>
  <c r="N1006" i="1"/>
  <c r="O368" i="1"/>
  <c r="O370" i="1" s="1"/>
  <c r="O364" i="1"/>
  <c r="M698" i="1"/>
  <c r="M678" i="1"/>
  <c r="M679" i="1" s="1"/>
  <c r="O379" i="1"/>
  <c r="O378" i="1"/>
  <c r="N1044" i="1"/>
  <c r="M656" i="1"/>
  <c r="M657" i="1"/>
  <c r="L29" i="7"/>
  <c r="N519" i="1"/>
  <c r="N520" i="1" s="1"/>
  <c r="N521" i="1" s="1"/>
  <c r="O352" i="1"/>
  <c r="N415" i="1" l="1"/>
  <c r="N1095" i="1"/>
  <c r="K1012" i="1"/>
  <c r="K1031" i="1" s="1"/>
  <c r="K1017" i="1"/>
  <c r="L874" i="1"/>
  <c r="L875" i="1" s="1"/>
  <c r="L899" i="1"/>
  <c r="L900" i="1" s="1"/>
  <c r="L902" i="1" s="1"/>
  <c r="L927" i="1" s="1"/>
  <c r="N522" i="1"/>
  <c r="O517" i="1" s="1"/>
  <c r="N586" i="1"/>
  <c r="N537" i="1"/>
  <c r="N543" i="1" s="1"/>
  <c r="N533" i="1"/>
  <c r="N534" i="1" s="1"/>
  <c r="N676" i="1"/>
  <c r="O353" i="1"/>
  <c r="N615" i="1"/>
  <c r="N613" i="1"/>
  <c r="N612" i="1"/>
  <c r="N614" i="1"/>
  <c r="N611" i="1"/>
  <c r="W133" i="5"/>
  <c r="M665" i="1"/>
  <c r="M666" i="1"/>
  <c r="O1110" i="1"/>
  <c r="O1127" i="1" s="1"/>
  <c r="M1106" i="1"/>
  <c r="M708" i="1"/>
  <c r="M683" i="1"/>
  <c r="O394" i="1"/>
  <c r="O459" i="1"/>
  <c r="O464" i="1" s="1"/>
  <c r="O398" i="1"/>
  <c r="L1058" i="1"/>
  <c r="O460" i="1"/>
  <c r="O465" i="1" s="1"/>
  <c r="O395" i="1"/>
  <c r="O399" i="1"/>
  <c r="N39" i="12" l="1"/>
  <c r="N136" i="12" s="1"/>
  <c r="N223" i="12" s="1"/>
  <c r="N236" i="12" s="1"/>
  <c r="N1158" i="1"/>
  <c r="O470" i="1"/>
  <c r="O471" i="1" s="1"/>
  <c r="O19" i="7"/>
  <c r="M685" i="1"/>
  <c r="M699" i="1"/>
  <c r="M700" i="1" s="1"/>
  <c r="N628" i="1"/>
  <c r="N635" i="1" s="1"/>
  <c r="N651" i="1" s="1"/>
  <c r="N617" i="1"/>
  <c r="O363" i="1"/>
  <c r="O366" i="1" s="1"/>
  <c r="N682" i="1"/>
  <c r="N655" i="1"/>
  <c r="N587" i="1"/>
  <c r="N592" i="1" s="1"/>
  <c r="O872" i="1"/>
  <c r="O907" i="1" s="1"/>
  <c r="N544" i="1"/>
  <c r="N693" i="1"/>
  <c r="N677" i="1"/>
  <c r="L1059" i="1"/>
  <c r="M1123" i="1"/>
  <c r="O494" i="1"/>
  <c r="O786" i="1"/>
  <c r="O780" i="1"/>
  <c r="O781" i="1" s="1"/>
  <c r="M684" i="1"/>
  <c r="M694" i="1"/>
  <c r="M695" i="1" s="1"/>
  <c r="O354" i="1"/>
  <c r="P348" i="1" s="1"/>
  <c r="O518" i="1"/>
  <c r="N191" i="12" l="1"/>
  <c r="W121" i="5"/>
  <c r="W124" i="5" s="1"/>
  <c r="N652" i="1"/>
  <c r="N657" i="1" s="1"/>
  <c r="M686" i="1"/>
  <c r="N593" i="1"/>
  <c r="N602" i="1" s="1"/>
  <c r="O603" i="1" s="1"/>
  <c r="O831" i="1"/>
  <c r="O785" i="1"/>
  <c r="O787" i="1" s="1"/>
  <c r="O782" i="1"/>
  <c r="M15" i="7"/>
  <c r="N698" i="1"/>
  <c r="N678" i="1"/>
  <c r="N679" i="1" s="1"/>
  <c r="M1041" i="1"/>
  <c r="M1045" i="1" s="1"/>
  <c r="M704" i="1"/>
  <c r="N291" i="12"/>
  <c r="N619" i="1"/>
  <c r="M889" i="1"/>
  <c r="M1003" i="1"/>
  <c r="M705" i="1"/>
  <c r="M849" i="1"/>
  <c r="O33" i="7"/>
  <c r="P350" i="1"/>
  <c r="L1073" i="1"/>
  <c r="N656" i="1"/>
  <c r="O393" i="1"/>
  <c r="O397" i="1"/>
  <c r="O372" i="1"/>
  <c r="O411" i="1" s="1"/>
  <c r="O495" i="1"/>
  <c r="O499" i="1" s="1"/>
  <c r="O414" i="1" l="1"/>
  <c r="O519" i="1"/>
  <c r="O1006" i="1"/>
  <c r="N708" i="1"/>
  <c r="N1106" i="1"/>
  <c r="N683" i="1"/>
  <c r="P376" i="1"/>
  <c r="P351" i="1"/>
  <c r="O909" i="1"/>
  <c r="O792" i="1"/>
  <c r="O802" i="1"/>
  <c r="O1044" i="1"/>
  <c r="L1074" i="1"/>
  <c r="M709" i="1"/>
  <c r="O614" i="1"/>
  <c r="X133" i="5"/>
  <c r="O613" i="1"/>
  <c r="O615" i="1"/>
  <c r="O612" i="1"/>
  <c r="O611" i="1"/>
  <c r="N665" i="1"/>
  <c r="N666" i="1"/>
  <c r="M1067" i="1"/>
  <c r="M1069" i="1" s="1"/>
  <c r="M1091" i="1"/>
  <c r="M1055" i="1"/>
  <c r="M1056" i="1" s="1"/>
  <c r="M29" i="7"/>
  <c r="L850" i="1" l="1"/>
  <c r="L906" i="1"/>
  <c r="O415" i="1"/>
  <c r="O1095" i="1"/>
  <c r="M1058" i="1"/>
  <c r="O617" i="1"/>
  <c r="O628" i="1"/>
  <c r="O635" i="1" s="1"/>
  <c r="O651" i="1" s="1"/>
  <c r="L1075" i="1"/>
  <c r="N1123" i="1"/>
  <c r="N694" i="1"/>
  <c r="N695" i="1" s="1"/>
  <c r="N684" i="1"/>
  <c r="O813" i="1"/>
  <c r="O816" i="1" s="1"/>
  <c r="O825" i="1"/>
  <c r="T826" i="1" s="1"/>
  <c r="P368" i="1"/>
  <c r="P370" i="1" s="1"/>
  <c r="P1110" i="1" s="1"/>
  <c r="P1127" i="1" s="1"/>
  <c r="P19" i="7" s="1"/>
  <c r="P33" i="7" s="1"/>
  <c r="P364" i="1"/>
  <c r="P352" i="1"/>
  <c r="N685" i="1"/>
  <c r="N699" i="1"/>
  <c r="N700" i="1" s="1"/>
  <c r="P379" i="1"/>
  <c r="P378" i="1"/>
  <c r="O520" i="1"/>
  <c r="O521" i="1" s="1"/>
  <c r="O39" i="12" l="1"/>
  <c r="O136" i="12" s="1"/>
  <c r="O223" i="12" s="1"/>
  <c r="O236" i="12" s="1"/>
  <c r="O1158" i="1"/>
  <c r="O652" i="1"/>
  <c r="X121" i="5"/>
  <c r="X124" i="5" s="1"/>
  <c r="N686" i="1"/>
  <c r="O522" i="1"/>
  <c r="P517" i="1" s="1"/>
  <c r="O533" i="1"/>
  <c r="O534" i="1" s="1"/>
  <c r="O676" i="1"/>
  <c r="O586" i="1"/>
  <c r="O537" i="1"/>
  <c r="N889" i="1"/>
  <c r="N1003" i="1"/>
  <c r="N705" i="1"/>
  <c r="N849" i="1"/>
  <c r="O619" i="1"/>
  <c r="P353" i="1"/>
  <c r="P363" i="1" s="1"/>
  <c r="P366" i="1" s="1"/>
  <c r="N1041" i="1"/>
  <c r="N1045" i="1" s="1"/>
  <c r="N704" i="1"/>
  <c r="L1076" i="1"/>
  <c r="P459" i="1"/>
  <c r="P464" i="1" s="1"/>
  <c r="P470" i="1" s="1"/>
  <c r="P471" i="1" s="1"/>
  <c r="P495" i="1" s="1"/>
  <c r="P398" i="1"/>
  <c r="P394" i="1"/>
  <c r="T814" i="1"/>
  <c r="P395" i="1"/>
  <c r="P460" i="1"/>
  <c r="P465" i="1" s="1"/>
  <c r="P494" i="1" s="1"/>
  <c r="P399" i="1"/>
  <c r="P872" i="1" s="1"/>
  <c r="P907" i="1" s="1"/>
  <c r="P812" i="1"/>
  <c r="O820" i="1"/>
  <c r="N15" i="7"/>
  <c r="M1059" i="1"/>
  <c r="O191" i="12" l="1"/>
  <c r="P499" i="1"/>
  <c r="P519" i="1" s="1"/>
  <c r="N709" i="1"/>
  <c r="P354" i="1"/>
  <c r="Q348" i="1" s="1"/>
  <c r="Q350" i="1" s="1"/>
  <c r="O832" i="1"/>
  <c r="O834" i="1" s="1"/>
  <c r="P830" i="1" s="1"/>
  <c r="O837" i="1"/>
  <c r="O839" i="1" s="1"/>
  <c r="N1091" i="1"/>
  <c r="N1055" i="1"/>
  <c r="N1056" i="1" s="1"/>
  <c r="N1067" i="1"/>
  <c r="N1069" i="1" s="1"/>
  <c r="O682" i="1"/>
  <c r="O655" i="1"/>
  <c r="O587" i="1"/>
  <c r="O592" i="1" s="1"/>
  <c r="M1073" i="1"/>
  <c r="L1081" i="1"/>
  <c r="L1080" i="1"/>
  <c r="L1077" i="1"/>
  <c r="M1072" i="1" s="1"/>
  <c r="O543" i="1"/>
  <c r="P518" i="1"/>
  <c r="P786" i="1"/>
  <c r="P780" i="1"/>
  <c r="P781" i="1" s="1"/>
  <c r="P393" i="1"/>
  <c r="P1044" i="1" s="1"/>
  <c r="P397" i="1"/>
  <c r="P1006" i="1" s="1"/>
  <c r="P372" i="1"/>
  <c r="P411" i="1" s="1"/>
  <c r="N29" i="7"/>
  <c r="O291" i="12"/>
  <c r="P414" i="1" l="1"/>
  <c r="P1095" i="1" s="1"/>
  <c r="L877" i="1"/>
  <c r="L905" i="1" s="1"/>
  <c r="P520" i="1"/>
  <c r="P521" i="1" s="1"/>
  <c r="P802" i="1"/>
  <c r="P831" i="1"/>
  <c r="P785" i="1"/>
  <c r="P787" i="1" s="1"/>
  <c r="P909" i="1" s="1"/>
  <c r="P782" i="1"/>
  <c r="O677" i="1"/>
  <c r="O693" i="1"/>
  <c r="Q351" i="1"/>
  <c r="Q352" i="1" s="1"/>
  <c r="Q376" i="1"/>
  <c r="M1074" i="1"/>
  <c r="L1007" i="1"/>
  <c r="L1092" i="1"/>
  <c r="L1093" i="1" s="1"/>
  <c r="O869" i="1"/>
  <c r="O593" i="1"/>
  <c r="O602" i="1" s="1"/>
  <c r="P603" i="1" s="1"/>
  <c r="O544" i="1"/>
  <c r="O656" i="1"/>
  <c r="O657" i="1"/>
  <c r="N1058" i="1"/>
  <c r="M850" i="1" l="1"/>
  <c r="M906" i="1"/>
  <c r="L879" i="1"/>
  <c r="L884" i="1" s="1"/>
  <c r="L1097" i="1"/>
  <c r="L1157" i="1" s="1"/>
  <c r="P415" i="1"/>
  <c r="L910" i="1"/>
  <c r="L912" i="1" s="1"/>
  <c r="O678" i="1"/>
  <c r="O679" i="1" s="1"/>
  <c r="O698" i="1"/>
  <c r="O908" i="1"/>
  <c r="M1075" i="1"/>
  <c r="P792" i="1"/>
  <c r="O665" i="1"/>
  <c r="O666" i="1"/>
  <c r="Y133" i="5"/>
  <c r="P611" i="1"/>
  <c r="P615" i="1"/>
  <c r="P613" i="1"/>
  <c r="P612" i="1"/>
  <c r="P614" i="1"/>
  <c r="P586" i="1"/>
  <c r="P676" i="1"/>
  <c r="P533" i="1"/>
  <c r="P534" i="1" s="1"/>
  <c r="P537" i="1"/>
  <c r="P543" i="1" s="1"/>
  <c r="Q379" i="1"/>
  <c r="Q378" i="1"/>
  <c r="O708" i="1"/>
  <c r="O683" i="1"/>
  <c r="O1106" i="1"/>
  <c r="P522" i="1"/>
  <c r="Q517" i="1" s="1"/>
  <c r="Q364" i="1"/>
  <c r="Q368" i="1"/>
  <c r="Q370" i="1" s="1"/>
  <c r="Q1110" i="1" s="1"/>
  <c r="Q1127" i="1" s="1"/>
  <c r="Q19" i="7" s="1"/>
  <c r="Q33" i="7" s="1"/>
  <c r="N1059" i="1"/>
  <c r="Q353" i="1"/>
  <c r="Q363" i="1" s="1"/>
  <c r="P813" i="1"/>
  <c r="P816" i="1" s="1"/>
  <c r="P825" i="1"/>
  <c r="U826" i="1" s="1"/>
  <c r="M878" i="1" l="1"/>
  <c r="L36" i="12"/>
  <c r="L133" i="12" s="1"/>
  <c r="L1113" i="1"/>
  <c r="L1130" i="1" s="1"/>
  <c r="L22" i="7" s="1"/>
  <c r="P39" i="12"/>
  <c r="P136" i="12" s="1"/>
  <c r="P223" i="12" s="1"/>
  <c r="P236" i="12" s="1"/>
  <c r="P291" i="12" s="1"/>
  <c r="P1158" i="1"/>
  <c r="L1008" i="1"/>
  <c r="L915" i="1"/>
  <c r="L920" i="1" s="1"/>
  <c r="L928" i="1" s="1"/>
  <c r="L929" i="1" s="1"/>
  <c r="L1107" i="1"/>
  <c r="L1124" i="1" s="1"/>
  <c r="L16" i="7" s="1"/>
  <c r="L30" i="7" s="1"/>
  <c r="Q366" i="1"/>
  <c r="Q393" i="1" s="1"/>
  <c r="Q1044" i="1" s="1"/>
  <c r="Q354" i="1"/>
  <c r="R348" i="1" s="1"/>
  <c r="O699" i="1"/>
  <c r="O700" i="1" s="1"/>
  <c r="O685" i="1"/>
  <c r="P820" i="1"/>
  <c r="Q812" i="1"/>
  <c r="Q518" i="1"/>
  <c r="O1123" i="1"/>
  <c r="Q459" i="1"/>
  <c r="Q464" i="1" s="1"/>
  <c r="Q470" i="1" s="1"/>
  <c r="Q471" i="1" s="1"/>
  <c r="Q495" i="1" s="1"/>
  <c r="Q394" i="1"/>
  <c r="Q398" i="1"/>
  <c r="P544" i="1"/>
  <c r="P693" i="1"/>
  <c r="P677" i="1"/>
  <c r="P628" i="1"/>
  <c r="P635" i="1" s="1"/>
  <c r="P651" i="1" s="1"/>
  <c r="P617" i="1"/>
  <c r="M1076" i="1"/>
  <c r="U814" i="1"/>
  <c r="N1073" i="1"/>
  <c r="Q460" i="1"/>
  <c r="Q465" i="1" s="1"/>
  <c r="Q494" i="1" s="1"/>
  <c r="Q395" i="1"/>
  <c r="Q399" i="1"/>
  <c r="Q872" i="1" s="1"/>
  <c r="Q907" i="1" s="1"/>
  <c r="P655" i="1"/>
  <c r="P587" i="1"/>
  <c r="P592" i="1" s="1"/>
  <c r="P593" i="1" s="1"/>
  <c r="P602" i="1" s="1"/>
  <c r="Q603" i="1" s="1"/>
  <c r="P682" i="1"/>
  <c r="O694" i="1"/>
  <c r="O695" i="1" s="1"/>
  <c r="O684" i="1"/>
  <c r="P191" i="12" l="1"/>
  <c r="L932" i="1"/>
  <c r="M925" i="1"/>
  <c r="M926" i="1" s="1"/>
  <c r="Y121" i="5"/>
  <c r="Y124" i="5" s="1"/>
  <c r="P652" i="1"/>
  <c r="P657" i="1" s="1"/>
  <c r="Q372" i="1"/>
  <c r="Q397" i="1"/>
  <c r="Q1006" i="1" s="1"/>
  <c r="O686" i="1"/>
  <c r="Q499" i="1"/>
  <c r="Q519" i="1" s="1"/>
  <c r="Q520" i="1" s="1"/>
  <c r="Q521" i="1" s="1"/>
  <c r="Q786" i="1"/>
  <c r="Q780" i="1"/>
  <c r="Q781" i="1" s="1"/>
  <c r="O15" i="7"/>
  <c r="O704" i="1"/>
  <c r="O1041" i="1"/>
  <c r="O1045" i="1" s="1"/>
  <c r="P656" i="1"/>
  <c r="O849" i="1"/>
  <c r="O705" i="1"/>
  <c r="O1003" i="1"/>
  <c r="O889" i="1"/>
  <c r="M1081" i="1"/>
  <c r="M1077" i="1"/>
  <c r="N1072" i="1" s="1"/>
  <c r="M1080" i="1"/>
  <c r="Q612" i="1"/>
  <c r="Q611" i="1"/>
  <c r="Z133" i="5"/>
  <c r="Q615" i="1"/>
  <c r="Q614" i="1"/>
  <c r="Q613" i="1"/>
  <c r="L35" i="7"/>
  <c r="P619" i="1"/>
  <c r="P698" i="1"/>
  <c r="P678" i="1"/>
  <c r="P679" i="1" s="1"/>
  <c r="L188" i="12"/>
  <c r="L220" i="12"/>
  <c r="L233" i="12" s="1"/>
  <c r="P837" i="1"/>
  <c r="P839" i="1" s="1"/>
  <c r="P832" i="1"/>
  <c r="P834" i="1" s="1"/>
  <c r="Q830" i="1" s="1"/>
  <c r="R350" i="1"/>
  <c r="Q411" i="1" l="1"/>
  <c r="L1009" i="1"/>
  <c r="L1011" i="1" s="1"/>
  <c r="L1108" i="1"/>
  <c r="L1125" i="1" s="1"/>
  <c r="L17" i="7" s="1"/>
  <c r="L31" i="7" s="1"/>
  <c r="L938" i="1"/>
  <c r="M939" i="1" s="1"/>
  <c r="Q522" i="1"/>
  <c r="R517" i="1" s="1"/>
  <c r="R518" i="1" s="1"/>
  <c r="P869" i="1"/>
  <c r="L288" i="12"/>
  <c r="Q617" i="1"/>
  <c r="Q619" i="1" s="1"/>
  <c r="Q628" i="1"/>
  <c r="Q635" i="1" s="1"/>
  <c r="Q651" i="1" s="1"/>
  <c r="M1092" i="1"/>
  <c r="M1093" i="1" s="1"/>
  <c r="M1007" i="1"/>
  <c r="P666" i="1"/>
  <c r="P665" i="1"/>
  <c r="O709" i="1"/>
  <c r="Q802" i="1"/>
  <c r="Q831" i="1"/>
  <c r="Q785" i="1"/>
  <c r="Q787" i="1" s="1"/>
  <c r="Q909" i="1" s="1"/>
  <c r="Q782" i="1"/>
  <c r="N1074" i="1"/>
  <c r="P708" i="1"/>
  <c r="P683" i="1"/>
  <c r="P1106" i="1"/>
  <c r="R376" i="1"/>
  <c r="R351" i="1"/>
  <c r="O1055" i="1"/>
  <c r="O1056" i="1" s="1"/>
  <c r="O1091" i="1"/>
  <c r="O1067" i="1"/>
  <c r="O1069" i="1" s="1"/>
  <c r="O29" i="7"/>
  <c r="Q537" i="1"/>
  <c r="Q533" i="1"/>
  <c r="Q534" i="1" s="1"/>
  <c r="Q676" i="1"/>
  <c r="Q586" i="1"/>
  <c r="N850" i="1" l="1"/>
  <c r="N906" i="1"/>
  <c r="M1097" i="1"/>
  <c r="M1157" i="1" s="1"/>
  <c r="Q414" i="1"/>
  <c r="Q1095" i="1" s="1"/>
  <c r="M874" i="1"/>
  <c r="M875" i="1" s="1"/>
  <c r="M877" i="1" s="1"/>
  <c r="M899" i="1"/>
  <c r="M900" i="1" s="1"/>
  <c r="M902" i="1" s="1"/>
  <c r="L1012" i="1"/>
  <c r="L1031" i="1" s="1"/>
  <c r="L1017" i="1"/>
  <c r="Q652" i="1"/>
  <c r="Z121" i="5"/>
  <c r="Z124" i="5" s="1"/>
  <c r="Q543" i="1"/>
  <c r="Q544" i="1" s="1"/>
  <c r="R364" i="1"/>
  <c r="R368" i="1"/>
  <c r="R370" i="1" s="1"/>
  <c r="R1110" i="1" s="1"/>
  <c r="R1127" i="1" s="1"/>
  <c r="R19" i="7" s="1"/>
  <c r="R33" i="7" s="1"/>
  <c r="N1075" i="1"/>
  <c r="Q825" i="1"/>
  <c r="V826" i="1" s="1"/>
  <c r="Q813" i="1"/>
  <c r="Q816" i="1" s="1"/>
  <c r="P685" i="1"/>
  <c r="P699" i="1"/>
  <c r="P700" i="1" s="1"/>
  <c r="R379" i="1"/>
  <c r="R378" i="1"/>
  <c r="Q792" i="1"/>
  <c r="P694" i="1"/>
  <c r="P695" i="1" s="1"/>
  <c r="P684" i="1"/>
  <c r="O1058" i="1"/>
  <c r="P908" i="1"/>
  <c r="Q587" i="1"/>
  <c r="Q592" i="1" s="1"/>
  <c r="Q593" i="1" s="1"/>
  <c r="Q602" i="1" s="1"/>
  <c r="R603" i="1" s="1"/>
  <c r="Q682" i="1"/>
  <c r="Q655" i="1"/>
  <c r="P1123" i="1"/>
  <c r="R352" i="1"/>
  <c r="M36" i="12" l="1"/>
  <c r="M133" i="12" s="1"/>
  <c r="M1113" i="1"/>
  <c r="M1130" i="1" s="1"/>
  <c r="M22" i="7" s="1"/>
  <c r="Q415" i="1"/>
  <c r="M927" i="1"/>
  <c r="M905" i="1"/>
  <c r="M879" i="1"/>
  <c r="R615" i="1"/>
  <c r="R612" i="1"/>
  <c r="R614" i="1"/>
  <c r="R611" i="1"/>
  <c r="R613" i="1"/>
  <c r="AA133" i="5"/>
  <c r="R459" i="1"/>
  <c r="R464" i="1" s="1"/>
  <c r="R470" i="1" s="1"/>
  <c r="R471" i="1" s="1"/>
  <c r="R495" i="1" s="1"/>
  <c r="R398" i="1"/>
  <c r="R394" i="1"/>
  <c r="P849" i="1"/>
  <c r="P889" i="1"/>
  <c r="P1003" i="1"/>
  <c r="P705" i="1"/>
  <c r="O1059" i="1"/>
  <c r="R395" i="1"/>
  <c r="R460" i="1"/>
  <c r="R465" i="1" s="1"/>
  <c r="R494" i="1" s="1"/>
  <c r="R399" i="1"/>
  <c r="R872" i="1" s="1"/>
  <c r="R907" i="1" s="1"/>
  <c r="P686" i="1"/>
  <c r="Q698" i="1"/>
  <c r="Q678" i="1"/>
  <c r="R353" i="1"/>
  <c r="R363" i="1" s="1"/>
  <c r="R366" i="1" s="1"/>
  <c r="Q657" i="1"/>
  <c r="Q656" i="1"/>
  <c r="P15" i="7"/>
  <c r="P29" i="7" s="1"/>
  <c r="P704" i="1"/>
  <c r="P1041" i="1"/>
  <c r="P1045" i="1" s="1"/>
  <c r="Q820" i="1"/>
  <c r="R812" i="1"/>
  <c r="N1076" i="1"/>
  <c r="Q693" i="1"/>
  <c r="Q677" i="1"/>
  <c r="V814" i="1"/>
  <c r="Q39" i="12" l="1"/>
  <c r="Q136" i="12" s="1"/>
  <c r="Q1158" i="1"/>
  <c r="M910" i="1"/>
  <c r="M912" i="1" s="1"/>
  <c r="M884" i="1"/>
  <c r="N878" i="1"/>
  <c r="Q679" i="1"/>
  <c r="P709" i="1"/>
  <c r="Q1106" i="1"/>
  <c r="Q708" i="1"/>
  <c r="Q683" i="1"/>
  <c r="N1081" i="1"/>
  <c r="N1080" i="1"/>
  <c r="N1077" i="1"/>
  <c r="O1072" i="1" s="1"/>
  <c r="Q832" i="1"/>
  <c r="Q834" i="1" s="1"/>
  <c r="R830" i="1" s="1"/>
  <c r="Q837" i="1"/>
  <c r="Q839" i="1" s="1"/>
  <c r="Q869" i="1" s="1"/>
  <c r="R397" i="1"/>
  <c r="R1006" i="1" s="1"/>
  <c r="R372" i="1"/>
  <c r="R411" i="1" s="1"/>
  <c r="R393" i="1"/>
  <c r="R1044" i="1" s="1"/>
  <c r="R780" i="1"/>
  <c r="R781" i="1" s="1"/>
  <c r="R786" i="1"/>
  <c r="M188" i="12"/>
  <c r="M220" i="12"/>
  <c r="M233" i="12" s="1"/>
  <c r="R628" i="1"/>
  <c r="R635" i="1" s="1"/>
  <c r="R651" i="1" s="1"/>
  <c r="R617" i="1"/>
  <c r="R619" i="1" s="1"/>
  <c r="M35" i="7"/>
  <c r="Q665" i="1"/>
  <c r="Q666" i="1"/>
  <c r="O1073" i="1"/>
  <c r="P1067" i="1"/>
  <c r="P1069" i="1" s="1"/>
  <c r="P1055" i="1"/>
  <c r="P1056" i="1" s="1"/>
  <c r="P1058" i="1" s="1"/>
  <c r="P1059" i="1" s="1"/>
  <c r="P1073" i="1" s="1"/>
  <c r="P1091" i="1"/>
  <c r="R354" i="1"/>
  <c r="S348" i="1" s="1"/>
  <c r="R499" i="1"/>
  <c r="R519" i="1" s="1"/>
  <c r="R520" i="1" s="1"/>
  <c r="Q191" i="12" l="1"/>
  <c r="Q223" i="12"/>
  <c r="Q236" i="12" s="1"/>
  <c r="Q291" i="12" s="1"/>
  <c r="R414" i="1"/>
  <c r="R1095" i="1" s="1"/>
  <c r="M915" i="1"/>
  <c r="M920" i="1" s="1"/>
  <c r="M928" i="1" s="1"/>
  <c r="M929" i="1" s="1"/>
  <c r="M1107" i="1"/>
  <c r="M1124" i="1" s="1"/>
  <c r="M16" i="7" s="1"/>
  <c r="M30" i="7" s="1"/>
  <c r="M1008" i="1"/>
  <c r="AA121" i="5"/>
  <c r="AA124" i="5" s="1"/>
  <c r="R652" i="1"/>
  <c r="Q694" i="1"/>
  <c r="Q695" i="1" s="1"/>
  <c r="Q684" i="1"/>
  <c r="M288" i="12"/>
  <c r="O1074" i="1"/>
  <c r="O906" i="1" s="1"/>
  <c r="N1007" i="1"/>
  <c r="R521" i="1"/>
  <c r="R522" i="1" s="1"/>
  <c r="S517" i="1" s="1"/>
  <c r="Q685" i="1"/>
  <c r="Q699" i="1"/>
  <c r="Q700" i="1" s="1"/>
  <c r="Q908" i="1"/>
  <c r="S350" i="1"/>
  <c r="N1092" i="1"/>
  <c r="N1093" i="1" s="1"/>
  <c r="R802" i="1"/>
  <c r="R785" i="1"/>
  <c r="R787" i="1" s="1"/>
  <c r="R909" i="1" s="1"/>
  <c r="R831" i="1"/>
  <c r="R782" i="1"/>
  <c r="Q1123" i="1"/>
  <c r="O1075" i="1" l="1"/>
  <c r="O1076" i="1" s="1"/>
  <c r="O850" i="1"/>
  <c r="N1097" i="1"/>
  <c r="N1157" i="1" s="1"/>
  <c r="R415" i="1"/>
  <c r="M932" i="1"/>
  <c r="N925" i="1"/>
  <c r="N926" i="1" s="1"/>
  <c r="S518" i="1"/>
  <c r="R825" i="1"/>
  <c r="W826" i="1" s="1"/>
  <c r="R813" i="1"/>
  <c r="R816" i="1" s="1"/>
  <c r="Q15" i="7"/>
  <c r="Q29" i="7" s="1"/>
  <c r="R792" i="1"/>
  <c r="R533" i="1"/>
  <c r="R534" i="1" s="1"/>
  <c r="R586" i="1"/>
  <c r="R537" i="1"/>
  <c r="R676" i="1"/>
  <c r="Q686" i="1"/>
  <c r="S351" i="1"/>
  <c r="S376" i="1"/>
  <c r="Q849" i="1"/>
  <c r="Q1003" i="1"/>
  <c r="Q705" i="1"/>
  <c r="Q889" i="1"/>
  <c r="Q704" i="1"/>
  <c r="Q1041" i="1"/>
  <c r="Q1045" i="1" s="1"/>
  <c r="N36" i="12" l="1"/>
  <c r="N133" i="12" s="1"/>
  <c r="N1113" i="1"/>
  <c r="N1130" i="1" s="1"/>
  <c r="N22" i="7" s="1"/>
  <c r="R39" i="12"/>
  <c r="R136" i="12" s="1"/>
  <c r="R223" i="12" s="1"/>
  <c r="R236" i="12" s="1"/>
  <c r="R291" i="12" s="1"/>
  <c r="R1158" i="1"/>
  <c r="M938" i="1"/>
  <c r="N939" i="1" s="1"/>
  <c r="M1108" i="1"/>
  <c r="M1125" i="1" s="1"/>
  <c r="M17" i="7" s="1"/>
  <c r="M31" i="7" s="1"/>
  <c r="M1009" i="1"/>
  <c r="M1011" i="1" s="1"/>
  <c r="Q709" i="1"/>
  <c r="Q1067" i="1"/>
  <c r="Q1069" i="1" s="1"/>
  <c r="Q1055" i="1"/>
  <c r="Q1056" i="1" s="1"/>
  <c r="Q1058" i="1" s="1"/>
  <c r="Q1059" i="1" s="1"/>
  <c r="Q1073" i="1" s="1"/>
  <c r="Q1091" i="1"/>
  <c r="S379" i="1"/>
  <c r="S378" i="1"/>
  <c r="W814" i="1"/>
  <c r="O1081" i="1"/>
  <c r="O1080" i="1"/>
  <c r="O1077" i="1"/>
  <c r="P1072" i="1" s="1"/>
  <c r="S368" i="1"/>
  <c r="S370" i="1" s="1"/>
  <c r="S1110" i="1" s="1"/>
  <c r="S1127" i="1" s="1"/>
  <c r="S19" i="7" s="1"/>
  <c r="S33" i="7" s="1"/>
  <c r="S364" i="1"/>
  <c r="S352" i="1"/>
  <c r="R587" i="1"/>
  <c r="R592" i="1" s="1"/>
  <c r="R593" i="1" s="1"/>
  <c r="R602" i="1" s="1"/>
  <c r="S603" i="1" s="1"/>
  <c r="R682" i="1"/>
  <c r="R655" i="1"/>
  <c r="R543" i="1"/>
  <c r="R544" i="1" s="1"/>
  <c r="S812" i="1"/>
  <c r="R820" i="1"/>
  <c r="R191" i="12" l="1"/>
  <c r="M1012" i="1"/>
  <c r="M1031" i="1" s="1"/>
  <c r="M1017" i="1"/>
  <c r="N899" i="1"/>
  <c r="N900" i="1" s="1"/>
  <c r="N902" i="1" s="1"/>
  <c r="N927" i="1" s="1"/>
  <c r="N874" i="1"/>
  <c r="N875" i="1" s="1"/>
  <c r="N877" i="1" s="1"/>
  <c r="S612" i="1"/>
  <c r="S613" i="1"/>
  <c r="S614" i="1"/>
  <c r="S611" i="1"/>
  <c r="AB133" i="5"/>
  <c r="S615" i="1"/>
  <c r="R698" i="1"/>
  <c r="R678" i="1"/>
  <c r="S353" i="1"/>
  <c r="S363" i="1" s="1"/>
  <c r="S366" i="1" s="1"/>
  <c r="O1092" i="1"/>
  <c r="O1093" i="1" s="1"/>
  <c r="S460" i="1"/>
  <c r="S465" i="1" s="1"/>
  <c r="S494" i="1" s="1"/>
  <c r="S399" i="1"/>
  <c r="S872" i="1" s="1"/>
  <c r="S907" i="1" s="1"/>
  <c r="S395" i="1"/>
  <c r="R656" i="1"/>
  <c r="R657" i="1"/>
  <c r="N35" i="7"/>
  <c r="N220" i="12"/>
  <c r="N233" i="12" s="1"/>
  <c r="N188" i="12"/>
  <c r="R832" i="1"/>
  <c r="R834" i="1" s="1"/>
  <c r="S830" i="1" s="1"/>
  <c r="R837" i="1"/>
  <c r="R839" i="1" s="1"/>
  <c r="R869" i="1" s="1"/>
  <c r="R693" i="1"/>
  <c r="R677" i="1"/>
  <c r="P1074" i="1"/>
  <c r="O1007" i="1"/>
  <c r="S459" i="1"/>
  <c r="S464" i="1" s="1"/>
  <c r="S470" i="1" s="1"/>
  <c r="S471" i="1" s="1"/>
  <c r="S495" i="1" s="1"/>
  <c r="S398" i="1"/>
  <c r="S394" i="1"/>
  <c r="P850" i="1" l="1"/>
  <c r="P906" i="1"/>
  <c r="O1097" i="1"/>
  <c r="O1157" i="1" s="1"/>
  <c r="N905" i="1"/>
  <c r="N879" i="1"/>
  <c r="S354" i="1"/>
  <c r="T348" i="1" s="1"/>
  <c r="T350" i="1" s="1"/>
  <c r="R679" i="1"/>
  <c r="R908" i="1"/>
  <c r="N288" i="12"/>
  <c r="R683" i="1"/>
  <c r="R708" i="1"/>
  <c r="R1106" i="1"/>
  <c r="S617" i="1"/>
  <c r="S619" i="1" s="1"/>
  <c r="S628" i="1"/>
  <c r="S635" i="1" s="1"/>
  <c r="S651" i="1" s="1"/>
  <c r="P1075" i="1"/>
  <c r="P1076" i="1" s="1"/>
  <c r="P1077" i="1" s="1"/>
  <c r="Q1072" i="1" s="1"/>
  <c r="S780" i="1"/>
  <c r="S781" i="1" s="1"/>
  <c r="S786" i="1"/>
  <c r="R665" i="1"/>
  <c r="R666" i="1"/>
  <c r="S499" i="1"/>
  <c r="S519" i="1" s="1"/>
  <c r="S520" i="1" s="1"/>
  <c r="S393" i="1"/>
  <c r="S1044" i="1" s="1"/>
  <c r="S397" i="1"/>
  <c r="S1006" i="1" s="1"/>
  <c r="S372" i="1"/>
  <c r="S411" i="1" s="1"/>
  <c r="O36" i="12" l="1"/>
  <c r="O133" i="12" s="1"/>
  <c r="O1113" i="1"/>
  <c r="O1130" i="1" s="1"/>
  <c r="O22" i="7" s="1"/>
  <c r="S414" i="1"/>
  <c r="N910" i="1"/>
  <c r="N912" i="1" s="1"/>
  <c r="N884" i="1"/>
  <c r="O878" i="1"/>
  <c r="AB121" i="5"/>
  <c r="AB124" i="5" s="1"/>
  <c r="S652" i="1"/>
  <c r="T351" i="1"/>
  <c r="T352" i="1" s="1"/>
  <c r="T376" i="1"/>
  <c r="R1123" i="1"/>
  <c r="S521" i="1"/>
  <c r="S522" i="1" s="1"/>
  <c r="T517" i="1" s="1"/>
  <c r="R694" i="1"/>
  <c r="R695" i="1" s="1"/>
  <c r="R684" i="1"/>
  <c r="P1081" i="1"/>
  <c r="P1080" i="1"/>
  <c r="P1092" i="1" s="1"/>
  <c r="P1093" i="1" s="1"/>
  <c r="S802" i="1"/>
  <c r="S785" i="1"/>
  <c r="S787" i="1" s="1"/>
  <c r="S909" i="1" s="1"/>
  <c r="S831" i="1"/>
  <c r="S782" i="1"/>
  <c r="Q1074" i="1"/>
  <c r="Q906" i="1" s="1"/>
  <c r="R699" i="1"/>
  <c r="R700" i="1" s="1"/>
  <c r="R685" i="1"/>
  <c r="Q1075" i="1" l="1"/>
  <c r="Q1076" i="1" s="1"/>
  <c r="Q1081" i="1" s="1"/>
  <c r="Q850" i="1"/>
  <c r="P1097" i="1"/>
  <c r="P1157" i="1" s="1"/>
  <c r="S415" i="1"/>
  <c r="S1095" i="1"/>
  <c r="N915" i="1"/>
  <c r="N920" i="1" s="1"/>
  <c r="N928" i="1" s="1"/>
  <c r="N929" i="1" s="1"/>
  <c r="O925" i="1" s="1"/>
  <c r="O926" i="1" s="1"/>
  <c r="N1008" i="1"/>
  <c r="N1107" i="1"/>
  <c r="N1124" i="1" s="1"/>
  <c r="N16" i="7" s="1"/>
  <c r="P1007" i="1"/>
  <c r="O188" i="12"/>
  <c r="O220" i="12"/>
  <c r="O233" i="12" s="1"/>
  <c r="S825" i="1"/>
  <c r="X826" i="1" s="1"/>
  <c r="S813" i="1"/>
  <c r="S816" i="1" s="1"/>
  <c r="T518" i="1"/>
  <c r="T353" i="1"/>
  <c r="T363" i="1" s="1"/>
  <c r="R889" i="1"/>
  <c r="R705" i="1"/>
  <c r="R1003" i="1"/>
  <c r="R849" i="1"/>
  <c r="S792" i="1"/>
  <c r="R686" i="1"/>
  <c r="S537" i="1"/>
  <c r="S543" i="1" s="1"/>
  <c r="S533" i="1"/>
  <c r="S534" i="1" s="1"/>
  <c r="S586" i="1"/>
  <c r="S676" i="1"/>
  <c r="O35" i="7"/>
  <c r="R704" i="1"/>
  <c r="R1041" i="1"/>
  <c r="R1045" i="1" s="1"/>
  <c r="T378" i="1"/>
  <c r="T379" i="1"/>
  <c r="R15" i="7"/>
  <c r="R29" i="7" s="1"/>
  <c r="T368" i="1"/>
  <c r="T370" i="1" s="1"/>
  <c r="T1110" i="1" s="1"/>
  <c r="T1127" i="1" s="1"/>
  <c r="T19" i="7" s="1"/>
  <c r="T33" i="7" s="1"/>
  <c r="T364" i="1"/>
  <c r="Q1077" i="1" l="1"/>
  <c r="R1072" i="1" s="1"/>
  <c r="Q1080" i="1"/>
  <c r="Q1092" i="1" s="1"/>
  <c r="Q1093" i="1" s="1"/>
  <c r="Q1097" i="1" s="1"/>
  <c r="Q1157" i="1" s="1"/>
  <c r="P36" i="12"/>
  <c r="P133" i="12" s="1"/>
  <c r="P188" i="12" s="1"/>
  <c r="P1113" i="1"/>
  <c r="P1130" i="1" s="1"/>
  <c r="P22" i="7" s="1"/>
  <c r="P35" i="7" s="1"/>
  <c r="S39" i="12"/>
  <c r="S136" i="12" s="1"/>
  <c r="S191" i="12" s="1"/>
  <c r="S1158" i="1"/>
  <c r="N932" i="1"/>
  <c r="N1009" i="1" s="1"/>
  <c r="N1011" i="1" s="1"/>
  <c r="Q1007" i="1"/>
  <c r="X814" i="1"/>
  <c r="R709" i="1"/>
  <c r="S682" i="1"/>
  <c r="S587" i="1"/>
  <c r="S592" i="1" s="1"/>
  <c r="S593" i="1" s="1"/>
  <c r="S602" i="1" s="1"/>
  <c r="T603" i="1" s="1"/>
  <c r="S655" i="1"/>
  <c r="T460" i="1"/>
  <c r="T465" i="1" s="1"/>
  <c r="T494" i="1" s="1"/>
  <c r="T395" i="1"/>
  <c r="T399" i="1"/>
  <c r="T872" i="1" s="1"/>
  <c r="T907" i="1" s="1"/>
  <c r="N30" i="7"/>
  <c r="S544" i="1"/>
  <c r="S693" i="1"/>
  <c r="S677" i="1"/>
  <c r="T354" i="1"/>
  <c r="U348" i="1" s="1"/>
  <c r="T812" i="1"/>
  <c r="S820" i="1"/>
  <c r="T394" i="1"/>
  <c r="T459" i="1"/>
  <c r="T464" i="1" s="1"/>
  <c r="T470" i="1" s="1"/>
  <c r="T471" i="1" s="1"/>
  <c r="T495" i="1" s="1"/>
  <c r="T398" i="1"/>
  <c r="T366" i="1"/>
  <c r="O288" i="12"/>
  <c r="R1055" i="1"/>
  <c r="R1056" i="1" s="1"/>
  <c r="R1058" i="1" s="1"/>
  <c r="R1059" i="1" s="1"/>
  <c r="R1073" i="1" s="1"/>
  <c r="R1091" i="1"/>
  <c r="R1067" i="1"/>
  <c r="R1069" i="1" s="1"/>
  <c r="R1074" i="1" l="1"/>
  <c r="R850" i="1" s="1"/>
  <c r="P220" i="12"/>
  <c r="P233" i="12" s="1"/>
  <c r="P288" i="12" s="1"/>
  <c r="Q36" i="12"/>
  <c r="Q133" i="12" s="1"/>
  <c r="Q188" i="12" s="1"/>
  <c r="Q1113" i="1"/>
  <c r="Q1130" i="1" s="1"/>
  <c r="Q22" i="7" s="1"/>
  <c r="Q35" i="7" s="1"/>
  <c r="S223" i="12"/>
  <c r="S236" i="12" s="1"/>
  <c r="S291" i="12" s="1"/>
  <c r="N938" i="1"/>
  <c r="O939" i="1" s="1"/>
  <c r="N1108" i="1"/>
  <c r="N1125" i="1" s="1"/>
  <c r="T372" i="1"/>
  <c r="T411" i="1" s="1"/>
  <c r="T393" i="1"/>
  <c r="T1044" i="1" s="1"/>
  <c r="T397" i="1"/>
  <c r="T1006" i="1" s="1"/>
  <c r="U350" i="1"/>
  <c r="S698" i="1"/>
  <c r="S678" i="1"/>
  <c r="S679" i="1" s="1"/>
  <c r="S657" i="1"/>
  <c r="S656" i="1"/>
  <c r="T780" i="1"/>
  <c r="T781" i="1" s="1"/>
  <c r="T786" i="1"/>
  <c r="T613" i="1"/>
  <c r="T611" i="1"/>
  <c r="T615" i="1"/>
  <c r="AC133" i="5"/>
  <c r="T614" i="1"/>
  <c r="T612" i="1"/>
  <c r="S832" i="1"/>
  <c r="S834" i="1" s="1"/>
  <c r="T830" i="1" s="1"/>
  <c r="S837" i="1"/>
  <c r="S839" i="1" s="1"/>
  <c r="S869" i="1" s="1"/>
  <c r="T499" i="1"/>
  <c r="T519" i="1" s="1"/>
  <c r="T520" i="1" s="1"/>
  <c r="N1017" i="1"/>
  <c r="N1012" i="1"/>
  <c r="N1031" i="1" s="1"/>
  <c r="R1075" i="1" l="1"/>
  <c r="R1076" i="1" s="1"/>
  <c r="R1081" i="1" s="1"/>
  <c r="R1007" i="1" s="1"/>
  <c r="R906" i="1"/>
  <c r="Q220" i="12"/>
  <c r="Q233" i="12" s="1"/>
  <c r="Q288" i="12" s="1"/>
  <c r="T414" i="1"/>
  <c r="N17" i="7"/>
  <c r="O899" i="1"/>
  <c r="O900" i="1" s="1"/>
  <c r="O902" i="1" s="1"/>
  <c r="O874" i="1"/>
  <c r="O875" i="1" s="1"/>
  <c r="O877" i="1" s="1"/>
  <c r="U351" i="1"/>
  <c r="U376" i="1"/>
  <c r="S908" i="1"/>
  <c r="T617" i="1"/>
  <c r="T619" i="1" s="1"/>
  <c r="T628" i="1"/>
  <c r="T635" i="1" s="1"/>
  <c r="T651" i="1" s="1"/>
  <c r="S708" i="1"/>
  <c r="S683" i="1"/>
  <c r="S1106" i="1"/>
  <c r="S665" i="1"/>
  <c r="S666" i="1"/>
  <c r="T521" i="1"/>
  <c r="T522" i="1" s="1"/>
  <c r="U517" i="1" s="1"/>
  <c r="T802" i="1"/>
  <c r="T831" i="1"/>
  <c r="T785" i="1"/>
  <c r="T787" i="1" s="1"/>
  <c r="T909" i="1" s="1"/>
  <c r="T782" i="1"/>
  <c r="T792" i="1" s="1"/>
  <c r="R1080" i="1" l="1"/>
  <c r="R1092" i="1" s="1"/>
  <c r="R1093" i="1" s="1"/>
  <c r="R1097" i="1" s="1"/>
  <c r="R1157" i="1" s="1"/>
  <c r="R1077" i="1"/>
  <c r="S1072" i="1" s="1"/>
  <c r="T415" i="1"/>
  <c r="T1095" i="1"/>
  <c r="T652" i="1"/>
  <c r="AC121" i="5"/>
  <c r="AC124" i="5" s="1"/>
  <c r="U518" i="1"/>
  <c r="T813" i="1"/>
  <c r="T816" i="1" s="1"/>
  <c r="T825" i="1"/>
  <c r="Y826" i="1" s="1"/>
  <c r="S1123" i="1"/>
  <c r="S684" i="1"/>
  <c r="S694" i="1"/>
  <c r="S695" i="1" s="1"/>
  <c r="O905" i="1"/>
  <c r="O879" i="1"/>
  <c r="T533" i="1"/>
  <c r="T534" i="1" s="1"/>
  <c r="T676" i="1"/>
  <c r="T537" i="1"/>
  <c r="T543" i="1" s="1"/>
  <c r="T586" i="1"/>
  <c r="S699" i="1"/>
  <c r="S700" i="1" s="1"/>
  <c r="S685" i="1"/>
  <c r="U379" i="1"/>
  <c r="U378" i="1"/>
  <c r="O927" i="1"/>
  <c r="U364" i="1"/>
  <c r="U368" i="1"/>
  <c r="U370" i="1" s="1"/>
  <c r="U1110" i="1" s="1"/>
  <c r="U1127" i="1" s="1"/>
  <c r="U19" i="7" s="1"/>
  <c r="U33" i="7" s="1"/>
  <c r="U352" i="1"/>
  <c r="N31" i="7"/>
  <c r="R36" i="12" l="1"/>
  <c r="R133" i="12" s="1"/>
  <c r="R188" i="12" s="1"/>
  <c r="R1113" i="1"/>
  <c r="R1130" i="1" s="1"/>
  <c r="R22" i="7" s="1"/>
  <c r="R35" i="7" s="1"/>
  <c r="T39" i="12"/>
  <c r="T136" i="12" s="1"/>
  <c r="T223" i="12" s="1"/>
  <c r="T236" i="12" s="1"/>
  <c r="T291" i="12" s="1"/>
  <c r="T1158" i="1"/>
  <c r="O910" i="1"/>
  <c r="O912" i="1" s="1"/>
  <c r="Y814" i="1"/>
  <c r="S686" i="1"/>
  <c r="U398" i="1"/>
  <c r="U394" i="1"/>
  <c r="U459" i="1"/>
  <c r="U464" i="1" s="1"/>
  <c r="U470" i="1" s="1"/>
  <c r="U471" i="1" s="1"/>
  <c r="U495" i="1" s="1"/>
  <c r="T820" i="1"/>
  <c r="U812" i="1"/>
  <c r="U353" i="1"/>
  <c r="U363" i="1" s="1"/>
  <c r="U366" i="1" s="1"/>
  <c r="T544" i="1"/>
  <c r="T693" i="1"/>
  <c r="T677" i="1"/>
  <c r="S889" i="1"/>
  <c r="S1003" i="1"/>
  <c r="S705" i="1"/>
  <c r="S849" i="1"/>
  <c r="S704" i="1"/>
  <c r="S1041" i="1"/>
  <c r="S1045" i="1" s="1"/>
  <c r="U395" i="1"/>
  <c r="U399" i="1"/>
  <c r="U872" i="1" s="1"/>
  <c r="U907" i="1" s="1"/>
  <c r="U460" i="1"/>
  <c r="U465" i="1" s="1"/>
  <c r="U494" i="1" s="1"/>
  <c r="P878" i="1"/>
  <c r="O884" i="1"/>
  <c r="S15" i="7"/>
  <c r="S29" i="7" s="1"/>
  <c r="T682" i="1"/>
  <c r="T587" i="1"/>
  <c r="T592" i="1" s="1"/>
  <c r="T593" i="1" s="1"/>
  <c r="T602" i="1" s="1"/>
  <c r="U603" i="1" s="1"/>
  <c r="T655" i="1"/>
  <c r="R220" i="12" l="1"/>
  <c r="R233" i="12" s="1"/>
  <c r="R288" i="12" s="1"/>
  <c r="T191" i="12"/>
  <c r="U354" i="1"/>
  <c r="V348" i="1" s="1"/>
  <c r="V350" i="1" s="1"/>
  <c r="U499" i="1"/>
  <c r="U519" i="1" s="1"/>
  <c r="U520" i="1" s="1"/>
  <c r="U521" i="1" s="1"/>
  <c r="U522" i="1" s="1"/>
  <c r="V517" i="1" s="1"/>
  <c r="U614" i="1"/>
  <c r="U611" i="1"/>
  <c r="U613" i="1"/>
  <c r="U612" i="1"/>
  <c r="AD133" i="5"/>
  <c r="U615" i="1"/>
  <c r="O915" i="1"/>
  <c r="O920" i="1" s="1"/>
  <c r="O1107" i="1"/>
  <c r="O1008" i="1"/>
  <c r="T837" i="1"/>
  <c r="T839" i="1" s="1"/>
  <c r="T869" i="1" s="1"/>
  <c r="T832" i="1"/>
  <c r="T834" i="1" s="1"/>
  <c r="U830" i="1" s="1"/>
  <c r="T656" i="1"/>
  <c r="T657" i="1"/>
  <c r="S1067" i="1"/>
  <c r="S1069" i="1" s="1"/>
  <c r="S1091" i="1"/>
  <c r="S1055" i="1"/>
  <c r="S1056" i="1" s="1"/>
  <c r="S1058" i="1" s="1"/>
  <c r="S1059" i="1" s="1"/>
  <c r="S1073" i="1" s="1"/>
  <c r="T678" i="1"/>
  <c r="T679" i="1" s="1"/>
  <c r="T698" i="1"/>
  <c r="S709" i="1"/>
  <c r="U372" i="1"/>
  <c r="U411" i="1" s="1"/>
  <c r="U393" i="1"/>
  <c r="U1044" i="1" s="1"/>
  <c r="U397" i="1"/>
  <c r="U1006" i="1" s="1"/>
  <c r="U786" i="1"/>
  <c r="U780" i="1"/>
  <c r="U781" i="1" s="1"/>
  <c r="U414" i="1" l="1"/>
  <c r="U782" i="1"/>
  <c r="U792" i="1" s="1"/>
  <c r="U802" i="1"/>
  <c r="U831" i="1"/>
  <c r="U785" i="1"/>
  <c r="U787" i="1" s="1"/>
  <c r="U909" i="1" s="1"/>
  <c r="S1074" i="1"/>
  <c r="S906" i="1" s="1"/>
  <c r="T908" i="1"/>
  <c r="O1124" i="1"/>
  <c r="V351" i="1"/>
  <c r="V376" i="1"/>
  <c r="T666" i="1"/>
  <c r="T665" i="1"/>
  <c r="O928" i="1"/>
  <c r="O929" i="1" s="1"/>
  <c r="V518" i="1"/>
  <c r="T1106" i="1"/>
  <c r="T708" i="1"/>
  <c r="T683" i="1"/>
  <c r="U617" i="1"/>
  <c r="U619" i="1" s="1"/>
  <c r="U628" i="1"/>
  <c r="U635" i="1" s="1"/>
  <c r="U651" i="1" s="1"/>
  <c r="U586" i="1"/>
  <c r="U537" i="1"/>
  <c r="U543" i="1" s="1"/>
  <c r="U676" i="1"/>
  <c r="U533" i="1"/>
  <c r="U534" i="1" s="1"/>
  <c r="S1075" i="1" l="1"/>
  <c r="S1076" i="1" s="1"/>
  <c r="S1081" i="1" s="1"/>
  <c r="S1007" i="1" s="1"/>
  <c r="S850" i="1"/>
  <c r="U415" i="1"/>
  <c r="U1095" i="1"/>
  <c r="AD121" i="5"/>
  <c r="AD124" i="5" s="1"/>
  <c r="U652" i="1"/>
  <c r="T685" i="1"/>
  <c r="T699" i="1"/>
  <c r="T700" i="1" s="1"/>
  <c r="O16" i="7"/>
  <c r="U825" i="1"/>
  <c r="Z826" i="1" s="1"/>
  <c r="U813" i="1"/>
  <c r="U816" i="1" s="1"/>
  <c r="T1123" i="1"/>
  <c r="U544" i="1"/>
  <c r="U693" i="1"/>
  <c r="U677" i="1"/>
  <c r="T694" i="1"/>
  <c r="T695" i="1" s="1"/>
  <c r="T684" i="1"/>
  <c r="U587" i="1"/>
  <c r="U592" i="1" s="1"/>
  <c r="U593" i="1" s="1"/>
  <c r="U602" i="1" s="1"/>
  <c r="V603" i="1" s="1"/>
  <c r="U655" i="1"/>
  <c r="U682" i="1"/>
  <c r="V379" i="1"/>
  <c r="V378" i="1"/>
  <c r="P925" i="1"/>
  <c r="O932" i="1"/>
  <c r="V364" i="1"/>
  <c r="V368" i="1"/>
  <c r="V370" i="1" s="1"/>
  <c r="V1110" i="1" s="1"/>
  <c r="V1127" i="1" s="1"/>
  <c r="V19" i="7" s="1"/>
  <c r="V33" i="7" s="1"/>
  <c r="V352" i="1"/>
  <c r="S1077" i="1" l="1"/>
  <c r="T1072" i="1" s="1"/>
  <c r="S1080" i="1"/>
  <c r="S1092" i="1" s="1"/>
  <c r="S1093" i="1" s="1"/>
  <c r="S1097" i="1" s="1"/>
  <c r="S1157" i="1" s="1"/>
  <c r="U39" i="12"/>
  <c r="U136" i="12" s="1"/>
  <c r="U1158" i="1"/>
  <c r="Z814" i="1"/>
  <c r="T686" i="1"/>
  <c r="V353" i="1"/>
  <c r="V363" i="1" s="1"/>
  <c r="V366" i="1" s="1"/>
  <c r="P926" i="1"/>
  <c r="V394" i="1"/>
  <c r="V398" i="1"/>
  <c r="V459" i="1"/>
  <c r="V464" i="1" s="1"/>
  <c r="V470" i="1" s="1"/>
  <c r="V471" i="1" s="1"/>
  <c r="V495" i="1" s="1"/>
  <c r="V613" i="1"/>
  <c r="V614" i="1"/>
  <c r="V611" i="1"/>
  <c r="AE133" i="5"/>
  <c r="V612" i="1"/>
  <c r="V615" i="1"/>
  <c r="O30" i="7"/>
  <c r="U678" i="1"/>
  <c r="U679" i="1" s="1"/>
  <c r="U698" i="1"/>
  <c r="T15" i="7"/>
  <c r="T29" i="7" s="1"/>
  <c r="V399" i="1"/>
  <c r="V872" i="1" s="1"/>
  <c r="V907" i="1" s="1"/>
  <c r="V460" i="1"/>
  <c r="V465" i="1" s="1"/>
  <c r="V494" i="1" s="1"/>
  <c r="V395" i="1"/>
  <c r="T704" i="1"/>
  <c r="T1041" i="1"/>
  <c r="T1045" i="1" s="1"/>
  <c r="U820" i="1"/>
  <c r="V812" i="1"/>
  <c r="T1003" i="1"/>
  <c r="T849" i="1"/>
  <c r="T889" i="1"/>
  <c r="T705" i="1"/>
  <c r="O938" i="1"/>
  <c r="O1108" i="1"/>
  <c r="O1009" i="1"/>
  <c r="O1011" i="1" s="1"/>
  <c r="U656" i="1"/>
  <c r="U657" i="1"/>
  <c r="S36" i="12" l="1"/>
  <c r="S133" i="12" s="1"/>
  <c r="S220" i="12" s="1"/>
  <c r="S233" i="12" s="1"/>
  <c r="S288" i="12" s="1"/>
  <c r="S1113" i="1"/>
  <c r="S1130" i="1" s="1"/>
  <c r="S22" i="7" s="1"/>
  <c r="S35" i="7" s="1"/>
  <c r="U223" i="12"/>
  <c r="U236" i="12" s="1"/>
  <c r="U291" i="12" s="1"/>
  <c r="U191" i="12"/>
  <c r="V499" i="1"/>
  <c r="V519" i="1" s="1"/>
  <c r="V520" i="1" s="1"/>
  <c r="V521" i="1" s="1"/>
  <c r="V354" i="1"/>
  <c r="W348" i="1" s="1"/>
  <c r="W350" i="1" s="1"/>
  <c r="U665" i="1"/>
  <c r="U666" i="1"/>
  <c r="U1106" i="1"/>
  <c r="U708" i="1"/>
  <c r="U683" i="1"/>
  <c r="P939" i="1"/>
  <c r="V628" i="1"/>
  <c r="V635" i="1" s="1"/>
  <c r="V651" i="1" s="1"/>
  <c r="V617" i="1"/>
  <c r="V619" i="1" s="1"/>
  <c r="V786" i="1"/>
  <c r="V780" i="1"/>
  <c r="V781" i="1" s="1"/>
  <c r="O1012" i="1"/>
  <c r="O1017" i="1"/>
  <c r="U832" i="1"/>
  <c r="U834" i="1" s="1"/>
  <c r="V830" i="1" s="1"/>
  <c r="U837" i="1"/>
  <c r="U839" i="1" s="1"/>
  <c r="U869" i="1" s="1"/>
  <c r="T1067" i="1"/>
  <c r="T1069" i="1" s="1"/>
  <c r="T1055" i="1"/>
  <c r="T1056" i="1" s="1"/>
  <c r="T1058" i="1" s="1"/>
  <c r="T1059" i="1" s="1"/>
  <c r="T1073" i="1" s="1"/>
  <c r="T1091" i="1"/>
  <c r="V393" i="1"/>
  <c r="V1044" i="1" s="1"/>
  <c r="V372" i="1"/>
  <c r="V411" i="1" s="1"/>
  <c r="V397" i="1"/>
  <c r="V1006" i="1" s="1"/>
  <c r="O1125" i="1"/>
  <c r="T709" i="1"/>
  <c r="S188" i="12" l="1"/>
  <c r="V414" i="1"/>
  <c r="V652" i="1"/>
  <c r="AE121" i="5"/>
  <c r="AE124" i="5" s="1"/>
  <c r="U908" i="1"/>
  <c r="V586" i="1"/>
  <c r="V676" i="1"/>
  <c r="V537" i="1"/>
  <c r="V533" i="1"/>
  <c r="V534" i="1" s="1"/>
  <c r="U1123" i="1"/>
  <c r="W351" i="1"/>
  <c r="W376" i="1"/>
  <c r="P874" i="1"/>
  <c r="P875" i="1" s="1"/>
  <c r="P877" i="1" s="1"/>
  <c r="P899" i="1"/>
  <c r="P900" i="1" s="1"/>
  <c r="P902" i="1" s="1"/>
  <c r="P927" i="1" s="1"/>
  <c r="U694" i="1"/>
  <c r="U695" i="1" s="1"/>
  <c r="U684" i="1"/>
  <c r="O17" i="7"/>
  <c r="T1074" i="1"/>
  <c r="T906" i="1" s="1"/>
  <c r="V782" i="1"/>
  <c r="V802" i="1"/>
  <c r="V785" i="1"/>
  <c r="V787" i="1" s="1"/>
  <c r="V909" i="1" s="1"/>
  <c r="V831" i="1"/>
  <c r="U685" i="1"/>
  <c r="U699" i="1"/>
  <c r="U700" i="1" s="1"/>
  <c r="O1031" i="1"/>
  <c r="V522" i="1"/>
  <c r="W517" i="1" s="1"/>
  <c r="T1075" i="1" l="1"/>
  <c r="T1076" i="1" s="1"/>
  <c r="T1081" i="1" s="1"/>
  <c r="T850" i="1"/>
  <c r="V415" i="1"/>
  <c r="V1095" i="1"/>
  <c r="U686" i="1"/>
  <c r="V792" i="1"/>
  <c r="O31" i="7"/>
  <c r="P905" i="1"/>
  <c r="P879" i="1"/>
  <c r="U15" i="7"/>
  <c r="U29" i="7" s="1"/>
  <c r="U704" i="1"/>
  <c r="U1041" i="1"/>
  <c r="U1045" i="1" s="1"/>
  <c r="W378" i="1"/>
  <c r="W379" i="1"/>
  <c r="V587" i="1"/>
  <c r="V592" i="1" s="1"/>
  <c r="V593" i="1" s="1"/>
  <c r="V602" i="1" s="1"/>
  <c r="W603" i="1" s="1"/>
  <c r="V682" i="1"/>
  <c r="V655" i="1"/>
  <c r="W518" i="1"/>
  <c r="U889" i="1"/>
  <c r="U1003" i="1"/>
  <c r="U849" i="1"/>
  <c r="U705" i="1"/>
  <c r="V813" i="1"/>
  <c r="V816" i="1" s="1"/>
  <c r="V825" i="1"/>
  <c r="AA826" i="1" s="1"/>
  <c r="W368" i="1"/>
  <c r="W370" i="1" s="1"/>
  <c r="W1110" i="1" s="1"/>
  <c r="W1127" i="1" s="1"/>
  <c r="W19" i="7" s="1"/>
  <c r="W33" i="7" s="1"/>
  <c r="W364" i="1"/>
  <c r="V543" i="1"/>
  <c r="V544" i="1" s="1"/>
  <c r="W352" i="1"/>
  <c r="T1080" i="1" l="1"/>
  <c r="T1092" i="1" s="1"/>
  <c r="T1093" i="1" s="1"/>
  <c r="T1007" i="1"/>
  <c r="T1077" i="1"/>
  <c r="U1072" i="1" s="1"/>
  <c r="V39" i="12"/>
  <c r="V136" i="12" s="1"/>
  <c r="V1158" i="1"/>
  <c r="T1097" i="1"/>
  <c r="T1157" i="1" s="1"/>
  <c r="P910" i="1"/>
  <c r="P912" i="1" s="1"/>
  <c r="AA814" i="1"/>
  <c r="V698" i="1"/>
  <c r="V678" i="1"/>
  <c r="AF133" i="5"/>
  <c r="W612" i="1"/>
  <c r="W613" i="1"/>
  <c r="W614" i="1"/>
  <c r="W611" i="1"/>
  <c r="W615" i="1"/>
  <c r="U709" i="1"/>
  <c r="P884" i="1"/>
  <c r="Q878" i="1"/>
  <c r="W812" i="1"/>
  <c r="V820" i="1"/>
  <c r="W395" i="1"/>
  <c r="W399" i="1"/>
  <c r="W872" i="1" s="1"/>
  <c r="W907" i="1" s="1"/>
  <c r="W460" i="1"/>
  <c r="W465" i="1" s="1"/>
  <c r="W494" i="1" s="1"/>
  <c r="V693" i="1"/>
  <c r="V677" i="1"/>
  <c r="V656" i="1"/>
  <c r="V657" i="1"/>
  <c r="W394" i="1"/>
  <c r="W459" i="1"/>
  <c r="W464" i="1" s="1"/>
  <c r="W470" i="1" s="1"/>
  <c r="W471" i="1" s="1"/>
  <c r="W495" i="1" s="1"/>
  <c r="W398" i="1"/>
  <c r="W353" i="1"/>
  <c r="W363" i="1" s="1"/>
  <c r="W366" i="1" s="1"/>
  <c r="U1091" i="1"/>
  <c r="U1067" i="1"/>
  <c r="U1069" i="1" s="1"/>
  <c r="U1055" i="1"/>
  <c r="U1056" i="1" s="1"/>
  <c r="U1058" i="1" s="1"/>
  <c r="U1059" i="1" s="1"/>
  <c r="U1073" i="1" s="1"/>
  <c r="T36" i="12" l="1"/>
  <c r="T133" i="12" s="1"/>
  <c r="T220" i="12" s="1"/>
  <c r="T233" i="12" s="1"/>
  <c r="T288" i="12" s="1"/>
  <c r="T1113" i="1"/>
  <c r="T1130" i="1" s="1"/>
  <c r="T22" i="7" s="1"/>
  <c r="T35" i="7" s="1"/>
  <c r="V191" i="12"/>
  <c r="V223" i="12"/>
  <c r="V236" i="12" s="1"/>
  <c r="V291" i="12" s="1"/>
  <c r="W354" i="1"/>
  <c r="X348" i="1" s="1"/>
  <c r="X350" i="1" s="1"/>
  <c r="V679" i="1"/>
  <c r="U1074" i="1"/>
  <c r="U906" i="1" s="1"/>
  <c r="V665" i="1"/>
  <c r="V666" i="1"/>
  <c r="V837" i="1"/>
  <c r="V839" i="1" s="1"/>
  <c r="V869" i="1" s="1"/>
  <c r="V832" i="1"/>
  <c r="V834" i="1" s="1"/>
  <c r="W830" i="1" s="1"/>
  <c r="W780" i="1"/>
  <c r="W781" i="1" s="1"/>
  <c r="W786" i="1"/>
  <c r="V683" i="1"/>
  <c r="V708" i="1"/>
  <c r="V1106" i="1"/>
  <c r="W499" i="1"/>
  <c r="W519" i="1" s="1"/>
  <c r="W520" i="1" s="1"/>
  <c r="W521" i="1" s="1"/>
  <c r="W628" i="1"/>
  <c r="W635" i="1" s="1"/>
  <c r="W651" i="1" s="1"/>
  <c r="W617" i="1"/>
  <c r="W619" i="1" s="1"/>
  <c r="W397" i="1"/>
  <c r="W1006" i="1" s="1"/>
  <c r="W393" i="1"/>
  <c r="W1044" i="1" s="1"/>
  <c r="W372" i="1"/>
  <c r="W411" i="1" s="1"/>
  <c r="P915" i="1"/>
  <c r="P920" i="1" s="1"/>
  <c r="P928" i="1" s="1"/>
  <c r="P929" i="1" s="1"/>
  <c r="P1008" i="1"/>
  <c r="P1107" i="1"/>
  <c r="U1075" i="1" l="1"/>
  <c r="U1076" i="1" s="1"/>
  <c r="U1081" i="1" s="1"/>
  <c r="U850" i="1"/>
  <c r="T188" i="12"/>
  <c r="W414" i="1"/>
  <c r="W652" i="1"/>
  <c r="AF121" i="5"/>
  <c r="AF124" i="5" s="1"/>
  <c r="W522" i="1"/>
  <c r="X517" i="1" s="1"/>
  <c r="W676" i="1"/>
  <c r="W586" i="1"/>
  <c r="W533" i="1"/>
  <c r="W534" i="1" s="1"/>
  <c r="W537" i="1"/>
  <c r="V908" i="1"/>
  <c r="P1124" i="1"/>
  <c r="V1123" i="1"/>
  <c r="W802" i="1"/>
  <c r="W785" i="1"/>
  <c r="W787" i="1" s="1"/>
  <c r="W909" i="1" s="1"/>
  <c r="W831" i="1"/>
  <c r="W782" i="1"/>
  <c r="V684" i="1"/>
  <c r="V694" i="1"/>
  <c r="V695" i="1" s="1"/>
  <c r="X351" i="1"/>
  <c r="X376" i="1"/>
  <c r="P932" i="1"/>
  <c r="Q925" i="1"/>
  <c r="Q926" i="1" s="1"/>
  <c r="V699" i="1"/>
  <c r="V700" i="1" s="1"/>
  <c r="V685" i="1"/>
  <c r="U1077" i="1" l="1"/>
  <c r="V1072" i="1" s="1"/>
  <c r="U1080" i="1"/>
  <c r="U1092" i="1" s="1"/>
  <c r="U1093" i="1" s="1"/>
  <c r="U1097" i="1" s="1"/>
  <c r="U1157" i="1" s="1"/>
  <c r="W415" i="1"/>
  <c r="W1095" i="1"/>
  <c r="U1007" i="1"/>
  <c r="W813" i="1"/>
  <c r="W816" i="1" s="1"/>
  <c r="W825" i="1"/>
  <c r="AB826" i="1" s="1"/>
  <c r="P16" i="7"/>
  <c r="P30" i="7" s="1"/>
  <c r="W543" i="1"/>
  <c r="X518" i="1"/>
  <c r="X364" i="1"/>
  <c r="X368" i="1"/>
  <c r="X370" i="1" s="1"/>
  <c r="X1110" i="1" s="1"/>
  <c r="X1127" i="1" s="1"/>
  <c r="X19" i="7" s="1"/>
  <c r="X33" i="7" s="1"/>
  <c r="X352" i="1"/>
  <c r="W792" i="1"/>
  <c r="W682" i="1"/>
  <c r="W655" i="1"/>
  <c r="W587" i="1"/>
  <c r="W592" i="1" s="1"/>
  <c r="W593" i="1" s="1"/>
  <c r="W602" i="1" s="1"/>
  <c r="X603" i="1" s="1"/>
  <c r="V704" i="1"/>
  <c r="V1041" i="1"/>
  <c r="V1045" i="1" s="1"/>
  <c r="V15" i="7"/>
  <c r="V29" i="7" s="1"/>
  <c r="V849" i="1"/>
  <c r="V889" i="1"/>
  <c r="V1003" i="1"/>
  <c r="V705" i="1"/>
  <c r="X378" i="1"/>
  <c r="X379" i="1"/>
  <c r="P1108" i="1"/>
  <c r="P1009" i="1"/>
  <c r="P1011" i="1" s="1"/>
  <c r="P938" i="1"/>
  <c r="Q939" i="1" s="1"/>
  <c r="V686" i="1"/>
  <c r="W39" i="12" l="1"/>
  <c r="W136" i="12" s="1"/>
  <c r="W191" i="12" s="1"/>
  <c r="W1158" i="1"/>
  <c r="U36" i="12"/>
  <c r="U133" i="12" s="1"/>
  <c r="U220" i="12" s="1"/>
  <c r="U233" i="12" s="1"/>
  <c r="U288" i="12" s="1"/>
  <c r="U1113" i="1"/>
  <c r="U1130" i="1" s="1"/>
  <c r="U22" i="7" s="1"/>
  <c r="U35" i="7" s="1"/>
  <c r="AB814" i="1"/>
  <c r="V709" i="1"/>
  <c r="W693" i="1"/>
  <c r="W677" i="1"/>
  <c r="X399" i="1"/>
  <c r="X872" i="1" s="1"/>
  <c r="X907" i="1" s="1"/>
  <c r="X395" i="1"/>
  <c r="X460" i="1"/>
  <c r="X465" i="1" s="1"/>
  <c r="X494" i="1" s="1"/>
  <c r="X615" i="1"/>
  <c r="X611" i="1"/>
  <c r="X613" i="1"/>
  <c r="X614" i="1"/>
  <c r="AG133" i="5"/>
  <c r="X612" i="1"/>
  <c r="P1125" i="1"/>
  <c r="W820" i="1"/>
  <c r="X812" i="1"/>
  <c r="X398" i="1"/>
  <c r="X459" i="1"/>
  <c r="X464" i="1" s="1"/>
  <c r="X470" i="1" s="1"/>
  <c r="X471" i="1" s="1"/>
  <c r="X495" i="1" s="1"/>
  <c r="X394" i="1"/>
  <c r="W656" i="1"/>
  <c r="W657" i="1"/>
  <c r="X353" i="1"/>
  <c r="X363" i="1" s="1"/>
  <c r="X366" i="1" s="1"/>
  <c r="V1055" i="1"/>
  <c r="V1056" i="1" s="1"/>
  <c r="V1058" i="1" s="1"/>
  <c r="V1059" i="1" s="1"/>
  <c r="V1073" i="1" s="1"/>
  <c r="V1067" i="1"/>
  <c r="V1069" i="1" s="1"/>
  <c r="V1091" i="1"/>
  <c r="Q899" i="1"/>
  <c r="Q900" i="1" s="1"/>
  <c r="Q902" i="1" s="1"/>
  <c r="Q927" i="1" s="1"/>
  <c r="Q874" i="1"/>
  <c r="Q875" i="1" s="1"/>
  <c r="Q877" i="1" s="1"/>
  <c r="P1012" i="1"/>
  <c r="W544" i="1"/>
  <c r="W223" i="12" l="1"/>
  <c r="W236" i="12" s="1"/>
  <c r="W291" i="12" s="1"/>
  <c r="U188" i="12"/>
  <c r="X393" i="1"/>
  <c r="X1044" i="1" s="1"/>
  <c r="X372" i="1"/>
  <c r="X411" i="1" s="1"/>
  <c r="X397" i="1"/>
  <c r="X1006" i="1" s="1"/>
  <c r="X617" i="1"/>
  <c r="X619" i="1" s="1"/>
  <c r="X628" i="1"/>
  <c r="X635" i="1" s="1"/>
  <c r="X651" i="1" s="1"/>
  <c r="W698" i="1"/>
  <c r="W678" i="1"/>
  <c r="W679" i="1" s="1"/>
  <c r="W665" i="1"/>
  <c r="W666" i="1"/>
  <c r="W832" i="1"/>
  <c r="W834" i="1" s="1"/>
  <c r="X830" i="1" s="1"/>
  <c r="W837" i="1"/>
  <c r="W839" i="1" s="1"/>
  <c r="W869" i="1" s="1"/>
  <c r="Q905" i="1"/>
  <c r="Q879" i="1"/>
  <c r="X499" i="1"/>
  <c r="X519" i="1" s="1"/>
  <c r="X520" i="1" s="1"/>
  <c r="V1074" i="1"/>
  <c r="V906" i="1" s="1"/>
  <c r="W683" i="1"/>
  <c r="W708" i="1"/>
  <c r="W1106" i="1"/>
  <c r="X780" i="1"/>
  <c r="X781" i="1" s="1"/>
  <c r="X786" i="1"/>
  <c r="P1031" i="1"/>
  <c r="X354" i="1"/>
  <c r="Y348" i="1" s="1"/>
  <c r="P17" i="7"/>
  <c r="P31" i="7" s="1"/>
  <c r="V1075" i="1" l="1"/>
  <c r="V1076" i="1" s="1"/>
  <c r="V1081" i="1" s="1"/>
  <c r="V850" i="1"/>
  <c r="X414" i="1"/>
  <c r="X1095" i="1" s="1"/>
  <c r="Q910" i="1"/>
  <c r="Q912" i="1" s="1"/>
  <c r="X652" i="1"/>
  <c r="AG121" i="5"/>
  <c r="AG124" i="5" s="1"/>
  <c r="X802" i="1"/>
  <c r="X831" i="1"/>
  <c r="X785" i="1"/>
  <c r="X787" i="1" s="1"/>
  <c r="X909" i="1" s="1"/>
  <c r="X782" i="1"/>
  <c r="X521" i="1"/>
  <c r="W908" i="1"/>
  <c r="R878" i="1"/>
  <c r="Q884" i="1"/>
  <c r="W1123" i="1"/>
  <c r="W694" i="1"/>
  <c r="W695" i="1" s="1"/>
  <c r="W684" i="1"/>
  <c r="Y350" i="1"/>
  <c r="W685" i="1"/>
  <c r="W699" i="1"/>
  <c r="W700" i="1" s="1"/>
  <c r="V1080" i="1" l="1"/>
  <c r="V1092" i="1" s="1"/>
  <c r="V1093" i="1" s="1"/>
  <c r="V1097" i="1" s="1"/>
  <c r="V1157" i="1" s="1"/>
  <c r="V1077" i="1"/>
  <c r="W1072" i="1" s="1"/>
  <c r="V1007" i="1"/>
  <c r="X415" i="1"/>
  <c r="X39" i="12" s="1"/>
  <c r="X136" i="12" s="1"/>
  <c r="W1041" i="1"/>
  <c r="W1045" i="1" s="1"/>
  <c r="W704" i="1"/>
  <c r="Q915" i="1"/>
  <c r="Q920" i="1" s="1"/>
  <c r="Q928" i="1" s="1"/>
  <c r="Q929" i="1" s="1"/>
  <c r="Q1008" i="1"/>
  <c r="Q1107" i="1"/>
  <c r="X792" i="1"/>
  <c r="W705" i="1"/>
  <c r="W1003" i="1"/>
  <c r="W889" i="1"/>
  <c r="W849" i="1"/>
  <c r="X533" i="1"/>
  <c r="X534" i="1" s="1"/>
  <c r="X537" i="1"/>
  <c r="X586" i="1"/>
  <c r="X676" i="1"/>
  <c r="Y351" i="1"/>
  <c r="Y376" i="1"/>
  <c r="W686" i="1"/>
  <c r="W15" i="7"/>
  <c r="W29" i="7" s="1"/>
  <c r="X522" i="1"/>
  <c r="Y517" i="1" s="1"/>
  <c r="X813" i="1"/>
  <c r="X816" i="1" s="1"/>
  <c r="X825" i="1"/>
  <c r="AC826" i="1" s="1"/>
  <c r="X1158" i="1" l="1"/>
  <c r="V36" i="12"/>
  <c r="V133" i="12" s="1"/>
  <c r="V220" i="12" s="1"/>
  <c r="V233" i="12" s="1"/>
  <c r="V288" i="12" s="1"/>
  <c r="V1113" i="1"/>
  <c r="V1130" i="1" s="1"/>
  <c r="V22" i="7" s="1"/>
  <c r="V35" i="7" s="1"/>
  <c r="X191" i="12"/>
  <c r="X223" i="12"/>
  <c r="X236" i="12" s="1"/>
  <c r="X291" i="12" s="1"/>
  <c r="AC814" i="1"/>
  <c r="Y518" i="1"/>
  <c r="X543" i="1"/>
  <c r="X544" i="1" s="1"/>
  <c r="W709" i="1"/>
  <c r="X820" i="1"/>
  <c r="Y812" i="1"/>
  <c r="Y364" i="1"/>
  <c r="Y368" i="1"/>
  <c r="Y370" i="1" s="1"/>
  <c r="Y1110" i="1" s="1"/>
  <c r="Y1127" i="1" s="1"/>
  <c r="Y19" i="7" s="1"/>
  <c r="Y33" i="7" s="1"/>
  <c r="Y352" i="1"/>
  <c r="Q932" i="1"/>
  <c r="R925" i="1"/>
  <c r="R926" i="1" s="1"/>
  <c r="Y378" i="1"/>
  <c r="Y379" i="1"/>
  <c r="X587" i="1"/>
  <c r="X592" i="1" s="1"/>
  <c r="X593" i="1" s="1"/>
  <c r="X602" i="1" s="1"/>
  <c r="Y603" i="1" s="1"/>
  <c r="X682" i="1"/>
  <c r="X655" i="1"/>
  <c r="Q1124" i="1"/>
  <c r="W1067" i="1"/>
  <c r="W1069" i="1" s="1"/>
  <c r="W1055" i="1"/>
  <c r="W1056" i="1" s="1"/>
  <c r="W1058" i="1" s="1"/>
  <c r="W1059" i="1" s="1"/>
  <c r="W1073" i="1" s="1"/>
  <c r="W1091" i="1"/>
  <c r="V188" i="12" l="1"/>
  <c r="Q16" i="7"/>
  <c r="Q30" i="7" s="1"/>
  <c r="Y460" i="1"/>
  <c r="Y465" i="1" s="1"/>
  <c r="Y494" i="1" s="1"/>
  <c r="Y399" i="1"/>
  <c r="Y872" i="1" s="1"/>
  <c r="Y907" i="1" s="1"/>
  <c r="Y395" i="1"/>
  <c r="X656" i="1"/>
  <c r="X657" i="1"/>
  <c r="AH133" i="5"/>
  <c r="Y611" i="1"/>
  <c r="Y614" i="1"/>
  <c r="Y613" i="1"/>
  <c r="Y612" i="1"/>
  <c r="Y615" i="1"/>
  <c r="Q1009" i="1"/>
  <c r="Q1011" i="1" s="1"/>
  <c r="Q1108" i="1"/>
  <c r="Q938" i="1"/>
  <c r="R939" i="1" s="1"/>
  <c r="W1074" i="1"/>
  <c r="W906" i="1" s="1"/>
  <c r="Y398" i="1"/>
  <c r="Y459" i="1"/>
  <c r="Y464" i="1" s="1"/>
  <c r="Y470" i="1" s="1"/>
  <c r="Y471" i="1" s="1"/>
  <c r="Y495" i="1" s="1"/>
  <c r="Y394" i="1"/>
  <c r="X678" i="1"/>
  <c r="X698" i="1"/>
  <c r="Y353" i="1"/>
  <c r="Y363" i="1" s="1"/>
  <c r="Y366" i="1" s="1"/>
  <c r="X837" i="1"/>
  <c r="X839" i="1" s="1"/>
  <c r="X869" i="1" s="1"/>
  <c r="X832" i="1"/>
  <c r="X834" i="1" s="1"/>
  <c r="Y830" i="1" s="1"/>
  <c r="X693" i="1"/>
  <c r="X677" i="1"/>
  <c r="W1075" i="1" l="1"/>
  <c r="W1076" i="1" s="1"/>
  <c r="W1081" i="1" s="1"/>
  <c r="W850" i="1"/>
  <c r="Y499" i="1"/>
  <c r="Y519" i="1" s="1"/>
  <c r="Y520" i="1" s="1"/>
  <c r="Y521" i="1" s="1"/>
  <c r="X683" i="1"/>
  <c r="X708" i="1"/>
  <c r="X1106" i="1"/>
  <c r="X666" i="1"/>
  <c r="X665" i="1"/>
  <c r="X908" i="1"/>
  <c r="Q1012" i="1"/>
  <c r="Y354" i="1"/>
  <c r="Z348" i="1" s="1"/>
  <c r="X679" i="1"/>
  <c r="Y780" i="1"/>
  <c r="Y781" i="1" s="1"/>
  <c r="Y786" i="1"/>
  <c r="Y617" i="1"/>
  <c r="Y619" i="1" s="1"/>
  <c r="Y628" i="1"/>
  <c r="Y635" i="1" s="1"/>
  <c r="Y651" i="1" s="1"/>
  <c r="Q1125" i="1"/>
  <c r="Y393" i="1"/>
  <c r="Y1044" i="1" s="1"/>
  <c r="Y397" i="1"/>
  <c r="Y1006" i="1" s="1"/>
  <c r="Y372" i="1"/>
  <c r="Y411" i="1" s="1"/>
  <c r="R899" i="1"/>
  <c r="R900" i="1" s="1"/>
  <c r="R902" i="1" s="1"/>
  <c r="R927" i="1" s="1"/>
  <c r="R874" i="1"/>
  <c r="R875" i="1" s="1"/>
  <c r="R877" i="1" s="1"/>
  <c r="W1080" i="1" l="1"/>
  <c r="W1092" i="1" s="1"/>
  <c r="W1093" i="1" s="1"/>
  <c r="W1097" i="1" s="1"/>
  <c r="W1157" i="1" s="1"/>
  <c r="W1077" i="1"/>
  <c r="X1072" i="1" s="1"/>
  <c r="W1007" i="1"/>
  <c r="Y414" i="1"/>
  <c r="Y1095" i="1" s="1"/>
  <c r="AH121" i="5"/>
  <c r="AH124" i="5" s="1"/>
  <c r="Y652" i="1"/>
  <c r="X685" i="1"/>
  <c r="X699" i="1"/>
  <c r="X700" i="1" s="1"/>
  <c r="Z350" i="1"/>
  <c r="X684" i="1"/>
  <c r="X694" i="1"/>
  <c r="X695" i="1" s="1"/>
  <c r="X1123" i="1"/>
  <c r="Q17" i="7"/>
  <c r="Q31" i="7" s="1"/>
  <c r="Q1031" i="1"/>
  <c r="Y537" i="1"/>
  <c r="Y676" i="1"/>
  <c r="Y586" i="1"/>
  <c r="Y533" i="1"/>
  <c r="Y534" i="1" s="1"/>
  <c r="R905" i="1"/>
  <c r="R879" i="1"/>
  <c r="Y802" i="1"/>
  <c r="Y831" i="1"/>
  <c r="Y785" i="1"/>
  <c r="Y787" i="1" s="1"/>
  <c r="Y909" i="1" s="1"/>
  <c r="Y782" i="1"/>
  <c r="Y522" i="1"/>
  <c r="Z517" i="1" s="1"/>
  <c r="W36" i="12" l="1"/>
  <c r="W133" i="12" s="1"/>
  <c r="W188" i="12" s="1"/>
  <c r="W1113" i="1"/>
  <c r="W1130" i="1" s="1"/>
  <c r="W22" i="7" s="1"/>
  <c r="W35" i="7" s="1"/>
  <c r="Y415" i="1"/>
  <c r="Y1158" i="1" s="1"/>
  <c r="R910" i="1"/>
  <c r="R912" i="1" s="1"/>
  <c r="X686" i="1"/>
  <c r="Z518" i="1"/>
  <c r="R884" i="1"/>
  <c r="S878" i="1"/>
  <c r="Y543" i="1"/>
  <c r="Y544" i="1" s="1"/>
  <c r="X15" i="7"/>
  <c r="X29" i="7" s="1"/>
  <c r="Z376" i="1"/>
  <c r="Z351" i="1"/>
  <c r="X1003" i="1"/>
  <c r="X889" i="1"/>
  <c r="X849" i="1"/>
  <c r="X705" i="1"/>
  <c r="Y825" i="1"/>
  <c r="AD826" i="1" s="1"/>
  <c r="Y813" i="1"/>
  <c r="Y816" i="1" s="1"/>
  <c r="Y792" i="1"/>
  <c r="Y655" i="1"/>
  <c r="Y682" i="1"/>
  <c r="Y587" i="1"/>
  <c r="Y592" i="1" s="1"/>
  <c r="Y593" i="1" s="1"/>
  <c r="Y602" i="1" s="1"/>
  <c r="Z603" i="1" s="1"/>
  <c r="X1041" i="1"/>
  <c r="X1045" i="1" s="1"/>
  <c r="X704" i="1"/>
  <c r="W220" i="12" l="1"/>
  <c r="W233" i="12" s="1"/>
  <c r="W288" i="12" s="1"/>
  <c r="Y39" i="12"/>
  <c r="Y136" i="12" s="1"/>
  <c r="Y191" i="12" s="1"/>
  <c r="AD814" i="1"/>
  <c r="X709" i="1"/>
  <c r="Y656" i="1"/>
  <c r="Y657" i="1"/>
  <c r="Y693" i="1"/>
  <c r="Y677" i="1"/>
  <c r="Z615" i="1"/>
  <c r="Z612" i="1"/>
  <c r="Z614" i="1"/>
  <c r="AI133" i="5"/>
  <c r="Z613" i="1"/>
  <c r="Z611" i="1"/>
  <c r="Z812" i="1"/>
  <c r="Y820" i="1"/>
  <c r="Z368" i="1"/>
  <c r="Z370" i="1" s="1"/>
  <c r="Z1110" i="1" s="1"/>
  <c r="Z1127" i="1" s="1"/>
  <c r="Z19" i="7" s="1"/>
  <c r="Z33" i="7" s="1"/>
  <c r="Z364" i="1"/>
  <c r="Z352" i="1"/>
  <c r="Y698" i="1"/>
  <c r="Y678" i="1"/>
  <c r="X1091" i="1"/>
  <c r="X1067" i="1"/>
  <c r="X1069" i="1" s="1"/>
  <c r="X1055" i="1"/>
  <c r="X1056" i="1" s="1"/>
  <c r="X1058" i="1" s="1"/>
  <c r="X1059" i="1" s="1"/>
  <c r="X1073" i="1" s="1"/>
  <c r="Z379" i="1"/>
  <c r="Z378" i="1"/>
  <c r="R915" i="1"/>
  <c r="R920" i="1" s="1"/>
  <c r="R928" i="1" s="1"/>
  <c r="R929" i="1" s="1"/>
  <c r="R1107" i="1"/>
  <c r="R1008" i="1"/>
  <c r="Y223" i="12" l="1"/>
  <c r="Y236" i="12" s="1"/>
  <c r="Y291" i="12" s="1"/>
  <c r="Y679" i="1"/>
  <c r="R1124" i="1"/>
  <c r="R932" i="1"/>
  <c r="S925" i="1"/>
  <c r="Z628" i="1"/>
  <c r="Z635" i="1" s="1"/>
  <c r="Z651" i="1" s="1"/>
  <c r="Z617" i="1"/>
  <c r="Z619" i="1" s="1"/>
  <c r="Y665" i="1"/>
  <c r="Y666" i="1"/>
  <c r="Z395" i="1"/>
  <c r="Z460" i="1"/>
  <c r="Z465" i="1" s="1"/>
  <c r="Z494" i="1" s="1"/>
  <c r="Z399" i="1"/>
  <c r="Z872" i="1" s="1"/>
  <c r="Z907" i="1" s="1"/>
  <c r="Y837" i="1"/>
  <c r="Y839" i="1" s="1"/>
  <c r="Y869" i="1" s="1"/>
  <c r="Y832" i="1"/>
  <c r="Y834" i="1" s="1"/>
  <c r="Z830" i="1" s="1"/>
  <c r="X1074" i="1"/>
  <c r="X906" i="1" s="1"/>
  <c r="Z394" i="1"/>
  <c r="Z459" i="1"/>
  <c r="Z464" i="1" s="1"/>
  <c r="Z470" i="1" s="1"/>
  <c r="Z471" i="1" s="1"/>
  <c r="Z495" i="1" s="1"/>
  <c r="Z398" i="1"/>
  <c r="Z353" i="1"/>
  <c r="Z363" i="1" s="1"/>
  <c r="Z366" i="1" s="1"/>
  <c r="Y708" i="1"/>
  <c r="Y683" i="1"/>
  <c r="Y1106" i="1"/>
  <c r="X1075" i="1" l="1"/>
  <c r="X1076" i="1" s="1"/>
  <c r="X1081" i="1" s="1"/>
  <c r="X850" i="1"/>
  <c r="Z652" i="1"/>
  <c r="AI121" i="5"/>
  <c r="AI124" i="5" s="1"/>
  <c r="Z397" i="1"/>
  <c r="Z1006" i="1" s="1"/>
  <c r="Z393" i="1"/>
  <c r="Z1044" i="1" s="1"/>
  <c r="Z372" i="1"/>
  <c r="Z411" i="1" s="1"/>
  <c r="Y699" i="1"/>
  <c r="Y700" i="1" s="1"/>
  <c r="Y685" i="1"/>
  <c r="S926" i="1"/>
  <c r="R16" i="7"/>
  <c r="R30" i="7" s="1"/>
  <c r="Z780" i="1"/>
  <c r="Z781" i="1" s="1"/>
  <c r="Z786" i="1"/>
  <c r="Y908" i="1"/>
  <c r="Y684" i="1"/>
  <c r="Y694" i="1"/>
  <c r="Y695" i="1" s="1"/>
  <c r="Y1123" i="1"/>
  <c r="Z354" i="1"/>
  <c r="AA348" i="1" s="1"/>
  <c r="Z499" i="1"/>
  <c r="Z519" i="1" s="1"/>
  <c r="Z520" i="1" s="1"/>
  <c r="R1009" i="1"/>
  <c r="R1011" i="1" s="1"/>
  <c r="R1108" i="1"/>
  <c r="R938" i="1"/>
  <c r="S939" i="1" s="1"/>
  <c r="X1077" i="1" l="1"/>
  <c r="Y1072" i="1" s="1"/>
  <c r="X1080" i="1"/>
  <c r="X1092" i="1" s="1"/>
  <c r="X1093" i="1" s="1"/>
  <c r="X1097" i="1" s="1"/>
  <c r="X1157" i="1" s="1"/>
  <c r="X1007" i="1"/>
  <c r="Z414" i="1"/>
  <c r="Z1095" i="1" s="1"/>
  <c r="Y686" i="1"/>
  <c r="Z802" i="1"/>
  <c r="Z831" i="1"/>
  <c r="Z785" i="1"/>
  <c r="Z787" i="1" s="1"/>
  <c r="Z909" i="1" s="1"/>
  <c r="Z782" i="1"/>
  <c r="R1125" i="1"/>
  <c r="Y15" i="7"/>
  <c r="Y29" i="7" s="1"/>
  <c r="Z521" i="1"/>
  <c r="Z522" i="1" s="1"/>
  <c r="AA517" i="1" s="1"/>
  <c r="Y849" i="1"/>
  <c r="Y705" i="1"/>
  <c r="Y889" i="1"/>
  <c r="Y1003" i="1"/>
  <c r="R1012" i="1"/>
  <c r="S874" i="1"/>
  <c r="S875" i="1" s="1"/>
  <c r="S877" i="1" s="1"/>
  <c r="S899" i="1"/>
  <c r="S900" i="1" s="1"/>
  <c r="S902" i="1" s="1"/>
  <c r="S927" i="1" s="1"/>
  <c r="AA350" i="1"/>
  <c r="Y1041" i="1"/>
  <c r="Y1045" i="1" s="1"/>
  <c r="Y704" i="1"/>
  <c r="X36" i="12" l="1"/>
  <c r="X133" i="12" s="1"/>
  <c r="X220" i="12" s="1"/>
  <c r="X233" i="12" s="1"/>
  <c r="X288" i="12" s="1"/>
  <c r="X1113" i="1"/>
  <c r="X1130" i="1" s="1"/>
  <c r="X22" i="7" s="1"/>
  <c r="X35" i="7" s="1"/>
  <c r="Z415" i="1"/>
  <c r="AA351" i="1"/>
  <c r="AA352" i="1" s="1"/>
  <c r="AA376" i="1"/>
  <c r="Z792" i="1"/>
  <c r="Y709" i="1"/>
  <c r="AA518" i="1"/>
  <c r="Y1067" i="1"/>
  <c r="Y1069" i="1" s="1"/>
  <c r="Y1055" i="1"/>
  <c r="Y1056" i="1" s="1"/>
  <c r="Y1058" i="1" s="1"/>
  <c r="Y1059" i="1" s="1"/>
  <c r="Y1073" i="1" s="1"/>
  <c r="Y1091" i="1"/>
  <c r="S905" i="1"/>
  <c r="S879" i="1"/>
  <c r="Z586" i="1"/>
  <c r="Z676" i="1"/>
  <c r="Z537" i="1"/>
  <c r="Z533" i="1"/>
  <c r="Z534" i="1" s="1"/>
  <c r="R1031" i="1"/>
  <c r="R17" i="7"/>
  <c r="R31" i="7" s="1"/>
  <c r="Z813" i="1"/>
  <c r="Z816" i="1" s="1"/>
  <c r="Z825" i="1"/>
  <c r="AE826" i="1" s="1"/>
  <c r="X188" i="12" l="1"/>
  <c r="Z39" i="12"/>
  <c r="Z136" i="12" s="1"/>
  <c r="Z1158" i="1"/>
  <c r="S910" i="1"/>
  <c r="S912" i="1" s="1"/>
  <c r="AE814" i="1"/>
  <c r="Z682" i="1"/>
  <c r="Z655" i="1"/>
  <c r="Z587" i="1"/>
  <c r="Z592" i="1" s="1"/>
  <c r="Z593" i="1" s="1"/>
  <c r="Z602" i="1" s="1"/>
  <c r="AA603" i="1" s="1"/>
  <c r="S884" i="1"/>
  <c r="T878" i="1"/>
  <c r="AA353" i="1"/>
  <c r="AA363" i="1" s="1"/>
  <c r="Z543" i="1"/>
  <c r="AA812" i="1"/>
  <c r="Z820" i="1"/>
  <c r="AA379" i="1"/>
  <c r="AA378" i="1"/>
  <c r="Y1074" i="1"/>
  <c r="Y906" i="1" s="1"/>
  <c r="AA364" i="1"/>
  <c r="AA368" i="1"/>
  <c r="AA370" i="1" s="1"/>
  <c r="AA1110" i="1" s="1"/>
  <c r="AA1127" i="1" s="1"/>
  <c r="AA19" i="7" s="1"/>
  <c r="AA33" i="7" s="1"/>
  <c r="Y1075" i="1" l="1"/>
  <c r="Y1076" i="1" s="1"/>
  <c r="Y1081" i="1" s="1"/>
  <c r="Y850" i="1"/>
  <c r="Z223" i="12"/>
  <c r="Z236" i="12" s="1"/>
  <c r="Z291" i="12" s="1"/>
  <c r="Z191" i="12"/>
  <c r="AA354" i="1"/>
  <c r="AB348" i="1" s="1"/>
  <c r="AB350" i="1" s="1"/>
  <c r="Z832" i="1"/>
  <c r="Z834" i="1" s="1"/>
  <c r="AA830" i="1" s="1"/>
  <c r="Z837" i="1"/>
  <c r="Z839" i="1" s="1"/>
  <c r="Z869" i="1" s="1"/>
  <c r="AA614" i="1"/>
  <c r="AJ133" i="5"/>
  <c r="AA613" i="1"/>
  <c r="AA612" i="1"/>
  <c r="AA611" i="1"/>
  <c r="AA615" i="1"/>
  <c r="AA366" i="1"/>
  <c r="Z656" i="1"/>
  <c r="Z657" i="1"/>
  <c r="AA459" i="1"/>
  <c r="AA464" i="1" s="1"/>
  <c r="AA470" i="1" s="1"/>
  <c r="AA471" i="1" s="1"/>
  <c r="AA495" i="1" s="1"/>
  <c r="AA398" i="1"/>
  <c r="AA394" i="1"/>
  <c r="Z677" i="1"/>
  <c r="Z693" i="1"/>
  <c r="AA395" i="1"/>
  <c r="AA399" i="1"/>
  <c r="AA872" i="1" s="1"/>
  <c r="AA907" i="1" s="1"/>
  <c r="AA460" i="1"/>
  <c r="AA465" i="1" s="1"/>
  <c r="AA494" i="1" s="1"/>
  <c r="Z544" i="1"/>
  <c r="S1107" i="1"/>
  <c r="S1008" i="1"/>
  <c r="S915" i="1"/>
  <c r="S920" i="1" s="1"/>
  <c r="S928" i="1" s="1"/>
  <c r="S929" i="1" s="1"/>
  <c r="Y1007" i="1" l="1"/>
  <c r="Y1077" i="1"/>
  <c r="Z1072" i="1" s="1"/>
  <c r="Y1080" i="1"/>
  <c r="Y1092" i="1" s="1"/>
  <c r="Y1093" i="1" s="1"/>
  <c r="Y1097" i="1" s="1"/>
  <c r="Y1157" i="1" s="1"/>
  <c r="AA499" i="1"/>
  <c r="AA519" i="1" s="1"/>
  <c r="AA520" i="1" s="1"/>
  <c r="AA521" i="1" s="1"/>
  <c r="AA586" i="1" s="1"/>
  <c r="AB351" i="1"/>
  <c r="AB376" i="1"/>
  <c r="Z698" i="1"/>
  <c r="Z678" i="1"/>
  <c r="Z679" i="1" s="1"/>
  <c r="Z665" i="1"/>
  <c r="Z666" i="1"/>
  <c r="Z908" i="1"/>
  <c r="T925" i="1"/>
  <c r="T926" i="1" s="1"/>
  <c r="S932" i="1"/>
  <c r="AA786" i="1"/>
  <c r="AA780" i="1"/>
  <c r="AA781" i="1" s="1"/>
  <c r="Z683" i="1"/>
  <c r="Z1106" i="1"/>
  <c r="Z708" i="1"/>
  <c r="AA617" i="1"/>
  <c r="AA619" i="1" s="1"/>
  <c r="AA628" i="1"/>
  <c r="AA635" i="1" s="1"/>
  <c r="AA651" i="1" s="1"/>
  <c r="S1124" i="1"/>
  <c r="AA393" i="1"/>
  <c r="AA1044" i="1" s="1"/>
  <c r="AA372" i="1"/>
  <c r="AA411" i="1" s="1"/>
  <c r="AA397" i="1"/>
  <c r="AA1006" i="1" s="1"/>
  <c r="Y36" i="12" l="1"/>
  <c r="Y133" i="12" s="1"/>
  <c r="Y188" i="12" s="1"/>
  <c r="Y1113" i="1"/>
  <c r="Y1130" i="1" s="1"/>
  <c r="Y22" i="7" s="1"/>
  <c r="Y35" i="7" s="1"/>
  <c r="AA414" i="1"/>
  <c r="AA1095" i="1" s="1"/>
  <c r="AJ121" i="5"/>
  <c r="AJ124" i="5" s="1"/>
  <c r="AA652" i="1"/>
  <c r="AA537" i="1"/>
  <c r="AA543" i="1" s="1"/>
  <c r="AA544" i="1" s="1"/>
  <c r="AA676" i="1"/>
  <c r="AA533" i="1"/>
  <c r="AA534" i="1" s="1"/>
  <c r="AA682" i="1" s="1"/>
  <c r="AA522" i="1"/>
  <c r="AB517" i="1" s="1"/>
  <c r="AB518" i="1" s="1"/>
  <c r="AB368" i="1"/>
  <c r="AB370" i="1" s="1"/>
  <c r="AB1110" i="1" s="1"/>
  <c r="AB1127" i="1" s="1"/>
  <c r="AB19" i="7" s="1"/>
  <c r="AB33" i="7" s="1"/>
  <c r="AB364" i="1"/>
  <c r="S938" i="1"/>
  <c r="T939" i="1" s="1"/>
  <c r="S1108" i="1"/>
  <c r="S1009" i="1"/>
  <c r="S1011" i="1" s="1"/>
  <c r="Z684" i="1"/>
  <c r="Z694" i="1"/>
  <c r="Z695" i="1" s="1"/>
  <c r="AB379" i="1"/>
  <c r="AB378" i="1"/>
  <c r="AA802" i="1"/>
  <c r="AA831" i="1"/>
  <c r="AA785" i="1"/>
  <c r="AA787" i="1" s="1"/>
  <c r="AA909" i="1" s="1"/>
  <c r="AA782" i="1"/>
  <c r="Z685" i="1"/>
  <c r="Z699" i="1"/>
  <c r="Z700" i="1" s="1"/>
  <c r="AB352" i="1"/>
  <c r="S16" i="7"/>
  <c r="S30" i="7" s="1"/>
  <c r="Z1123" i="1"/>
  <c r="Y220" i="12" l="1"/>
  <c r="Y233" i="12" s="1"/>
  <c r="Y288" i="12" s="1"/>
  <c r="AA415" i="1"/>
  <c r="AA39" i="12" s="1"/>
  <c r="AA136" i="12" s="1"/>
  <c r="AA191" i="12" s="1"/>
  <c r="AA587" i="1"/>
  <c r="AA592" i="1" s="1"/>
  <c r="AA593" i="1" s="1"/>
  <c r="AA602" i="1" s="1"/>
  <c r="AB603" i="1" s="1"/>
  <c r="AB611" i="1" s="1"/>
  <c r="AA655" i="1"/>
  <c r="AA657" i="1" s="1"/>
  <c r="AA678" i="1"/>
  <c r="AA698" i="1"/>
  <c r="T874" i="1"/>
  <c r="T875" i="1" s="1"/>
  <c r="T877" i="1" s="1"/>
  <c r="T899" i="1"/>
  <c r="T900" i="1" s="1"/>
  <c r="T902" i="1" s="1"/>
  <c r="T927" i="1" s="1"/>
  <c r="Z686" i="1"/>
  <c r="AA813" i="1"/>
  <c r="AA816" i="1" s="1"/>
  <c r="AA825" i="1"/>
  <c r="AF826" i="1" s="1"/>
  <c r="AB459" i="1"/>
  <c r="AB464" i="1" s="1"/>
  <c r="AB470" i="1" s="1"/>
  <c r="AB471" i="1" s="1"/>
  <c r="AB495" i="1" s="1"/>
  <c r="AB394" i="1"/>
  <c r="AB398" i="1"/>
  <c r="Z849" i="1"/>
  <c r="Z889" i="1"/>
  <c r="Z1003" i="1"/>
  <c r="Z705" i="1"/>
  <c r="Z15" i="7"/>
  <c r="Z29" i="7" s="1"/>
  <c r="Z1041" i="1"/>
  <c r="Z1045" i="1" s="1"/>
  <c r="Z704" i="1"/>
  <c r="S1012" i="1"/>
  <c r="AA693" i="1"/>
  <c r="AA677" i="1"/>
  <c r="AB353" i="1"/>
  <c r="AB363" i="1" s="1"/>
  <c r="AB366" i="1" s="1"/>
  <c r="AA792" i="1"/>
  <c r="AB460" i="1"/>
  <c r="AB465" i="1" s="1"/>
  <c r="AB494" i="1" s="1"/>
  <c r="AB399" i="1"/>
  <c r="AB872" i="1" s="1"/>
  <c r="AB907" i="1" s="1"/>
  <c r="AB395" i="1"/>
  <c r="S1125" i="1"/>
  <c r="AA1158" i="1" l="1"/>
  <c r="AA223" i="12"/>
  <c r="AA236" i="12" s="1"/>
  <c r="AA291" i="12" s="1"/>
  <c r="AF814" i="1"/>
  <c r="AK133" i="5"/>
  <c r="AB615" i="1"/>
  <c r="AB614" i="1"/>
  <c r="AB612" i="1"/>
  <c r="AB613" i="1"/>
  <c r="AA679" i="1"/>
  <c r="AA656" i="1"/>
  <c r="AA1106" i="1" s="1"/>
  <c r="AB499" i="1"/>
  <c r="AB519" i="1" s="1"/>
  <c r="AB520" i="1" s="1"/>
  <c r="AB521" i="1" s="1"/>
  <c r="AB354" i="1"/>
  <c r="AC348" i="1" s="1"/>
  <c r="AC350" i="1" s="1"/>
  <c r="Z709" i="1"/>
  <c r="S17" i="7"/>
  <c r="S31" i="7" s="1"/>
  <c r="AA820" i="1"/>
  <c r="AB812" i="1"/>
  <c r="Z1067" i="1"/>
  <c r="Z1069" i="1" s="1"/>
  <c r="Z1091" i="1"/>
  <c r="Z1055" i="1"/>
  <c r="Z1056" i="1" s="1"/>
  <c r="Z1058" i="1" s="1"/>
  <c r="Z1059" i="1" s="1"/>
  <c r="Z1073" i="1" s="1"/>
  <c r="AB786" i="1"/>
  <c r="AB780" i="1"/>
  <c r="AB781" i="1" s="1"/>
  <c r="T905" i="1"/>
  <c r="T879" i="1"/>
  <c r="S1031" i="1"/>
  <c r="AB393" i="1"/>
  <c r="AB1044" i="1" s="1"/>
  <c r="AB397" i="1"/>
  <c r="AB1006" i="1" s="1"/>
  <c r="AB372" i="1"/>
  <c r="AB411" i="1" s="1"/>
  <c r="AA665" i="1"/>
  <c r="AA666" i="1"/>
  <c r="AB414" i="1" l="1"/>
  <c r="T910" i="1"/>
  <c r="T912" i="1" s="1"/>
  <c r="AB628" i="1"/>
  <c r="AB635" i="1" s="1"/>
  <c r="AB651" i="1" s="1"/>
  <c r="AA683" i="1"/>
  <c r="AB617" i="1"/>
  <c r="AB619" i="1" s="1"/>
  <c r="AA708" i="1"/>
  <c r="Z1074" i="1"/>
  <c r="Z906" i="1" s="1"/>
  <c r="AB802" i="1"/>
  <c r="AB785" i="1"/>
  <c r="AB787" i="1" s="1"/>
  <c r="AB909" i="1" s="1"/>
  <c r="AB831" i="1"/>
  <c r="AB782" i="1"/>
  <c r="AA1123" i="1"/>
  <c r="AA832" i="1"/>
  <c r="AA834" i="1" s="1"/>
  <c r="AB830" i="1" s="1"/>
  <c r="AA837" i="1"/>
  <c r="AA839" i="1" s="1"/>
  <c r="AA869" i="1" s="1"/>
  <c r="AA699" i="1"/>
  <c r="AA700" i="1" s="1"/>
  <c r="AA685" i="1"/>
  <c r="AB586" i="1"/>
  <c r="AB537" i="1"/>
  <c r="AB543" i="1" s="1"/>
  <c r="AB533" i="1"/>
  <c r="AB534" i="1" s="1"/>
  <c r="AB676" i="1"/>
  <c r="AA684" i="1"/>
  <c r="AA694" i="1"/>
  <c r="AA695" i="1" s="1"/>
  <c r="AC351" i="1"/>
  <c r="AC376" i="1"/>
  <c r="U878" i="1"/>
  <c r="T884" i="1"/>
  <c r="AB522" i="1"/>
  <c r="AC517" i="1" s="1"/>
  <c r="Z1075" i="1" l="1"/>
  <c r="Z1076" i="1" s="1"/>
  <c r="Z1081" i="1" s="1"/>
  <c r="Z850" i="1"/>
  <c r="AB415" i="1"/>
  <c r="AB1095" i="1"/>
  <c r="AB652" i="1"/>
  <c r="AK121" i="5"/>
  <c r="AK124" i="5" s="1"/>
  <c r="T1107" i="1"/>
  <c r="T1008" i="1"/>
  <c r="T915" i="1"/>
  <c r="T920" i="1" s="1"/>
  <c r="T928" i="1" s="1"/>
  <c r="T929" i="1" s="1"/>
  <c r="AC379" i="1"/>
  <c r="AC378" i="1"/>
  <c r="AB792" i="1"/>
  <c r="AC518" i="1"/>
  <c r="AB587" i="1"/>
  <c r="AB592" i="1" s="1"/>
  <c r="AB593" i="1" s="1"/>
  <c r="AB602" i="1" s="1"/>
  <c r="AC603" i="1" s="1"/>
  <c r="AB682" i="1"/>
  <c r="AB655" i="1"/>
  <c r="AA686" i="1"/>
  <c r="AA908" i="1"/>
  <c r="AC368" i="1"/>
  <c r="AC370" i="1" s="1"/>
  <c r="AC1110" i="1" s="1"/>
  <c r="AC1127" i="1" s="1"/>
  <c r="AC19" i="7" s="1"/>
  <c r="AC33" i="7" s="1"/>
  <c r="AC364" i="1"/>
  <c r="AC352" i="1"/>
  <c r="AA1041" i="1"/>
  <c r="AA1045" i="1" s="1"/>
  <c r="AA704" i="1"/>
  <c r="AB544" i="1"/>
  <c r="AB677" i="1"/>
  <c r="AB693" i="1"/>
  <c r="AA1003" i="1"/>
  <c r="AA889" i="1"/>
  <c r="AA705" i="1"/>
  <c r="AA849" i="1"/>
  <c r="AA15" i="7"/>
  <c r="AA29" i="7" s="1"/>
  <c r="AB813" i="1"/>
  <c r="AB816" i="1" s="1"/>
  <c r="AB825" i="1"/>
  <c r="AG826" i="1" s="1"/>
  <c r="Z1080" i="1" l="1"/>
  <c r="Z1092" i="1" s="1"/>
  <c r="Z1093" i="1" s="1"/>
  <c r="Z1097" i="1" s="1"/>
  <c r="Z1157" i="1" s="1"/>
  <c r="Z1077" i="1"/>
  <c r="AA1072" i="1" s="1"/>
  <c r="Z1007" i="1"/>
  <c r="AB39" i="12"/>
  <c r="AB136" i="12" s="1"/>
  <c r="AB1158" i="1"/>
  <c r="AG814" i="1"/>
  <c r="AA709" i="1"/>
  <c r="AC615" i="1"/>
  <c r="AC612" i="1"/>
  <c r="AL133" i="5"/>
  <c r="AC614" i="1"/>
  <c r="AC613" i="1"/>
  <c r="AC611" i="1"/>
  <c r="T932" i="1"/>
  <c r="U925" i="1"/>
  <c r="AC394" i="1"/>
  <c r="AC459" i="1"/>
  <c r="AC464" i="1" s="1"/>
  <c r="AC470" i="1" s="1"/>
  <c r="AC471" i="1" s="1"/>
  <c r="AC495" i="1" s="1"/>
  <c r="AC398" i="1"/>
  <c r="T1124" i="1"/>
  <c r="AB678" i="1"/>
  <c r="AB679" i="1" s="1"/>
  <c r="AB698" i="1"/>
  <c r="AA1055" i="1"/>
  <c r="AA1056" i="1" s="1"/>
  <c r="AA1058" i="1" s="1"/>
  <c r="AA1059" i="1" s="1"/>
  <c r="AA1073" i="1" s="1"/>
  <c r="AA1091" i="1"/>
  <c r="AA1067" i="1"/>
  <c r="AA1069" i="1" s="1"/>
  <c r="AC812" i="1"/>
  <c r="AB820" i="1"/>
  <c r="AC353" i="1"/>
  <c r="AC363" i="1" s="1"/>
  <c r="AC366" i="1" s="1"/>
  <c r="AB656" i="1"/>
  <c r="AB657" i="1"/>
  <c r="AC395" i="1"/>
  <c r="AC399" i="1"/>
  <c r="AC872" i="1" s="1"/>
  <c r="AC907" i="1" s="1"/>
  <c r="AC460" i="1"/>
  <c r="AC465" i="1" s="1"/>
  <c r="AC494" i="1" s="1"/>
  <c r="Z36" i="12" l="1"/>
  <c r="Z133" i="12" s="1"/>
  <c r="Z188" i="12" s="1"/>
  <c r="Z1113" i="1"/>
  <c r="Z1130" i="1" s="1"/>
  <c r="Z22" i="7" s="1"/>
  <c r="Z35" i="7" s="1"/>
  <c r="AB191" i="12"/>
  <c r="AB223" i="12"/>
  <c r="AB236" i="12" s="1"/>
  <c r="AB291" i="12" s="1"/>
  <c r="AC499" i="1"/>
  <c r="AC519" i="1" s="1"/>
  <c r="AC520" i="1" s="1"/>
  <c r="AC521" i="1" s="1"/>
  <c r="AC537" i="1" s="1"/>
  <c r="AC354" i="1"/>
  <c r="AD348" i="1" s="1"/>
  <c r="AD350" i="1" s="1"/>
  <c r="AB666" i="1"/>
  <c r="AB665" i="1"/>
  <c r="AC780" i="1"/>
  <c r="AC781" i="1" s="1"/>
  <c r="AC786" i="1"/>
  <c r="T938" i="1"/>
  <c r="U939" i="1" s="1"/>
  <c r="T1009" i="1"/>
  <c r="T1011" i="1" s="1"/>
  <c r="T1108" i="1"/>
  <c r="AC397" i="1"/>
  <c r="AC1006" i="1" s="1"/>
  <c r="AC372" i="1"/>
  <c r="AC411" i="1" s="1"/>
  <c r="AC393" i="1"/>
  <c r="AC1044" i="1" s="1"/>
  <c r="AA1074" i="1"/>
  <c r="AA906" i="1" s="1"/>
  <c r="AC617" i="1"/>
  <c r="AC619" i="1" s="1"/>
  <c r="AC628" i="1"/>
  <c r="AC635" i="1" s="1"/>
  <c r="AC651" i="1" s="1"/>
  <c r="AB708" i="1"/>
  <c r="AB683" i="1"/>
  <c r="AB1106" i="1"/>
  <c r="AB832" i="1"/>
  <c r="AB834" i="1" s="1"/>
  <c r="AC830" i="1" s="1"/>
  <c r="AB837" i="1"/>
  <c r="AB839" i="1" s="1"/>
  <c r="AB869" i="1" s="1"/>
  <c r="Z220" i="12"/>
  <c r="Z233" i="12" s="1"/>
  <c r="Z288" i="12" s="1"/>
  <c r="T16" i="7"/>
  <c r="T30" i="7" s="1"/>
  <c r="U926" i="1"/>
  <c r="AA1075" i="1" l="1"/>
  <c r="AA1076" i="1" s="1"/>
  <c r="AA1081" i="1" s="1"/>
  <c r="AA1007" i="1" s="1"/>
  <c r="AA850" i="1"/>
  <c r="AC414" i="1"/>
  <c r="AC652" i="1"/>
  <c r="AL121" i="5"/>
  <c r="AL124" i="5" s="1"/>
  <c r="AC586" i="1"/>
  <c r="AC533" i="1"/>
  <c r="AC534" i="1" s="1"/>
  <c r="AC655" i="1" s="1"/>
  <c r="AC676" i="1"/>
  <c r="AC522" i="1"/>
  <c r="AD517" i="1" s="1"/>
  <c r="AD518" i="1" s="1"/>
  <c r="T1125" i="1"/>
  <c r="AC802" i="1"/>
  <c r="AC785" i="1"/>
  <c r="AC787" i="1" s="1"/>
  <c r="AC909" i="1" s="1"/>
  <c r="AC831" i="1"/>
  <c r="AC782" i="1"/>
  <c r="AC543" i="1"/>
  <c r="T1012" i="1"/>
  <c r="AD351" i="1"/>
  <c r="AD376" i="1"/>
  <c r="U899" i="1"/>
  <c r="U900" i="1" s="1"/>
  <c r="U902" i="1" s="1"/>
  <c r="U927" i="1" s="1"/>
  <c r="U874" i="1"/>
  <c r="U875" i="1" s="1"/>
  <c r="U877" i="1" s="1"/>
  <c r="AB699" i="1"/>
  <c r="AB700" i="1" s="1"/>
  <c r="AB685" i="1"/>
  <c r="AB1123" i="1"/>
  <c r="AB908" i="1"/>
  <c r="AB684" i="1"/>
  <c r="AB694" i="1"/>
  <c r="AB695" i="1" s="1"/>
  <c r="AA1077" i="1" l="1"/>
  <c r="AB1072" i="1" s="1"/>
  <c r="AA1080" i="1"/>
  <c r="AA1092" i="1" s="1"/>
  <c r="AA1093" i="1" s="1"/>
  <c r="AA1097" i="1" s="1"/>
  <c r="AA1157" i="1" s="1"/>
  <c r="AC415" i="1"/>
  <c r="AC1095" i="1"/>
  <c r="AC682" i="1"/>
  <c r="AC587" i="1"/>
  <c r="AC592" i="1" s="1"/>
  <c r="AC593" i="1" s="1"/>
  <c r="AC602" i="1" s="1"/>
  <c r="AD603" i="1" s="1"/>
  <c r="AD611" i="1" s="1"/>
  <c r="AB686" i="1"/>
  <c r="AB15" i="7"/>
  <c r="AB29" i="7" s="1"/>
  <c r="T1031" i="1"/>
  <c r="AC657" i="1"/>
  <c r="AC656" i="1"/>
  <c r="AC677" i="1"/>
  <c r="AC693" i="1"/>
  <c r="AC825" i="1"/>
  <c r="AH826" i="1" s="1"/>
  <c r="AC813" i="1"/>
  <c r="AC816" i="1" s="1"/>
  <c r="AB704" i="1"/>
  <c r="AB1041" i="1"/>
  <c r="AB1045" i="1" s="1"/>
  <c r="AB1003" i="1"/>
  <c r="AB849" i="1"/>
  <c r="AB705" i="1"/>
  <c r="AB889" i="1"/>
  <c r="AD378" i="1"/>
  <c r="AD379" i="1"/>
  <c r="AC792" i="1"/>
  <c r="U905" i="1"/>
  <c r="U879" i="1"/>
  <c r="AD368" i="1"/>
  <c r="AD370" i="1" s="1"/>
  <c r="AD1110" i="1" s="1"/>
  <c r="AD1127" i="1" s="1"/>
  <c r="AD19" i="7" s="1"/>
  <c r="AD33" i="7" s="1"/>
  <c r="AD364" i="1"/>
  <c r="AD352" i="1"/>
  <c r="AC544" i="1"/>
  <c r="T17" i="7"/>
  <c r="T31" i="7" s="1"/>
  <c r="AA36" i="12" l="1"/>
  <c r="AA133" i="12" s="1"/>
  <c r="AA188" i="12" s="1"/>
  <c r="AA1113" i="1"/>
  <c r="AA1130" i="1" s="1"/>
  <c r="AA22" i="7" s="1"/>
  <c r="AA35" i="7" s="1"/>
  <c r="AC39" i="12"/>
  <c r="AC136" i="12" s="1"/>
  <c r="AC191" i="12" s="1"/>
  <c r="AC1158" i="1"/>
  <c r="U910" i="1"/>
  <c r="U912" i="1" s="1"/>
  <c r="AH814" i="1"/>
  <c r="AM133" i="5"/>
  <c r="AD615" i="1"/>
  <c r="AD612" i="1"/>
  <c r="AD614" i="1"/>
  <c r="AD613" i="1"/>
  <c r="AC683" i="1"/>
  <c r="AC708" i="1"/>
  <c r="AC1106" i="1"/>
  <c r="AB1091" i="1"/>
  <c r="AB1055" i="1"/>
  <c r="AB1056" i="1" s="1"/>
  <c r="AB1058" i="1" s="1"/>
  <c r="AB1059" i="1" s="1"/>
  <c r="AB1073" i="1" s="1"/>
  <c r="AB1067" i="1"/>
  <c r="AB1069" i="1" s="1"/>
  <c r="AC666" i="1"/>
  <c r="AC665" i="1"/>
  <c r="V878" i="1"/>
  <c r="U884" i="1"/>
  <c r="AD460" i="1"/>
  <c r="AD465" i="1" s="1"/>
  <c r="AD494" i="1" s="1"/>
  <c r="AD395" i="1"/>
  <c r="AD399" i="1"/>
  <c r="AD872" i="1" s="1"/>
  <c r="AD907" i="1" s="1"/>
  <c r="AB709" i="1"/>
  <c r="AC698" i="1"/>
  <c r="AC678" i="1"/>
  <c r="AC679" i="1" s="1"/>
  <c r="AD353" i="1"/>
  <c r="AD363" i="1" s="1"/>
  <c r="AD366" i="1" s="1"/>
  <c r="AD459" i="1"/>
  <c r="AD464" i="1" s="1"/>
  <c r="AD470" i="1" s="1"/>
  <c r="AD471" i="1" s="1"/>
  <c r="AD495" i="1" s="1"/>
  <c r="AD398" i="1"/>
  <c r="AD394" i="1"/>
  <c r="AC820" i="1"/>
  <c r="AD812" i="1"/>
  <c r="AA220" i="12" l="1"/>
  <c r="AA233" i="12" s="1"/>
  <c r="AA288" i="12" s="1"/>
  <c r="AC223" i="12"/>
  <c r="AC236" i="12" s="1"/>
  <c r="AC291" i="12" s="1"/>
  <c r="AD628" i="1"/>
  <c r="AD635" i="1" s="1"/>
  <c r="AD651" i="1" s="1"/>
  <c r="AD617" i="1"/>
  <c r="AD619" i="1" s="1"/>
  <c r="AD354" i="1"/>
  <c r="AE348" i="1" s="1"/>
  <c r="AE350" i="1" s="1"/>
  <c r="AC832" i="1"/>
  <c r="AC834" i="1" s="1"/>
  <c r="AD830" i="1" s="1"/>
  <c r="AC837" i="1"/>
  <c r="AC839" i="1" s="1"/>
  <c r="AC869" i="1" s="1"/>
  <c r="AD499" i="1"/>
  <c r="AD519" i="1" s="1"/>
  <c r="AD520" i="1" s="1"/>
  <c r="AC694" i="1"/>
  <c r="AC695" i="1" s="1"/>
  <c r="AC684" i="1"/>
  <c r="AC1123" i="1"/>
  <c r="U915" i="1"/>
  <c r="U920" i="1" s="1"/>
  <c r="U928" i="1" s="1"/>
  <c r="U929" i="1" s="1"/>
  <c r="U1107" i="1"/>
  <c r="U1008" i="1"/>
  <c r="AC685" i="1"/>
  <c r="AC699" i="1"/>
  <c r="AC700" i="1" s="1"/>
  <c r="AD393" i="1"/>
  <c r="AD1044" i="1" s="1"/>
  <c r="AD372" i="1"/>
  <c r="AD411" i="1" s="1"/>
  <c r="AD397" i="1"/>
  <c r="AD1006" i="1" s="1"/>
  <c r="AD786" i="1"/>
  <c r="AD780" i="1"/>
  <c r="AD781" i="1" s="1"/>
  <c r="AB1074" i="1"/>
  <c r="AB906" i="1" s="1"/>
  <c r="AB1075" i="1" l="1"/>
  <c r="AB1076" i="1" s="1"/>
  <c r="AB1077" i="1" s="1"/>
  <c r="AC1072" i="1" s="1"/>
  <c r="AB850" i="1"/>
  <c r="AD414" i="1"/>
  <c r="AM121" i="5"/>
  <c r="AM124" i="5" s="1"/>
  <c r="AD652" i="1"/>
  <c r="AC686" i="1"/>
  <c r="AC1003" i="1"/>
  <c r="AC705" i="1"/>
  <c r="AC849" i="1"/>
  <c r="AC889" i="1"/>
  <c r="AC908" i="1"/>
  <c r="AD802" i="1"/>
  <c r="AD831" i="1"/>
  <c r="AD785" i="1"/>
  <c r="AD787" i="1" s="1"/>
  <c r="AD909" i="1" s="1"/>
  <c r="AD782" i="1"/>
  <c r="AD521" i="1"/>
  <c r="AD522" i="1" s="1"/>
  <c r="AE517" i="1" s="1"/>
  <c r="U1124" i="1"/>
  <c r="AC15" i="7"/>
  <c r="AC29" i="7" s="1"/>
  <c r="AC704" i="1"/>
  <c r="AC1041" i="1"/>
  <c r="AC1045" i="1" s="1"/>
  <c r="V925" i="1"/>
  <c r="U932" i="1"/>
  <c r="AE376" i="1"/>
  <c r="AE351" i="1"/>
  <c r="AB1080" i="1" l="1"/>
  <c r="AB1092" i="1" s="1"/>
  <c r="AB1093" i="1" s="1"/>
  <c r="AB1097" i="1" s="1"/>
  <c r="AB1157" i="1" s="1"/>
  <c r="AB1081" i="1"/>
  <c r="AB1007" i="1" s="1"/>
  <c r="AD415" i="1"/>
  <c r="AD1095" i="1"/>
  <c r="AC709" i="1"/>
  <c r="V926" i="1"/>
  <c r="AE518" i="1"/>
  <c r="AD792" i="1"/>
  <c r="AE364" i="1"/>
  <c r="AE368" i="1"/>
  <c r="AE370" i="1" s="1"/>
  <c r="AE1110" i="1" s="1"/>
  <c r="AE1127" i="1" s="1"/>
  <c r="AE19" i="7" s="1"/>
  <c r="AE33" i="7" s="1"/>
  <c r="AE379" i="1"/>
  <c r="AE378" i="1"/>
  <c r="AC1067" i="1"/>
  <c r="AC1069" i="1" s="1"/>
  <c r="AC1091" i="1"/>
  <c r="AC1055" i="1"/>
  <c r="AC1056" i="1" s="1"/>
  <c r="AC1058" i="1" s="1"/>
  <c r="AC1059" i="1" s="1"/>
  <c r="AC1073" i="1" s="1"/>
  <c r="AC1074" i="1" s="1"/>
  <c r="AD537" i="1"/>
  <c r="AD543" i="1" s="1"/>
  <c r="AD676" i="1"/>
  <c r="AD533" i="1"/>
  <c r="AD534" i="1" s="1"/>
  <c r="AD586" i="1"/>
  <c r="U938" i="1"/>
  <c r="V939" i="1" s="1"/>
  <c r="U1108" i="1"/>
  <c r="U1009" i="1"/>
  <c r="U1011" i="1" s="1"/>
  <c r="U16" i="7"/>
  <c r="U30" i="7" s="1"/>
  <c r="AD825" i="1"/>
  <c r="AI826" i="1" s="1"/>
  <c r="AD813" i="1"/>
  <c r="AD816" i="1" s="1"/>
  <c r="AE352" i="1"/>
  <c r="AC850" i="1" l="1"/>
  <c r="AC906" i="1"/>
  <c r="AB36" i="12"/>
  <c r="AB133" i="12" s="1"/>
  <c r="AB220" i="12" s="1"/>
  <c r="AB233" i="12" s="1"/>
  <c r="AB288" i="12" s="1"/>
  <c r="AB1113" i="1"/>
  <c r="AB1130" i="1" s="1"/>
  <c r="AB22" i="7" s="1"/>
  <c r="AB35" i="7" s="1"/>
  <c r="AD39" i="12"/>
  <c r="AD136" i="12" s="1"/>
  <c r="AD1158" i="1"/>
  <c r="AI814" i="1"/>
  <c r="V899" i="1"/>
  <c r="V900" i="1" s="1"/>
  <c r="V902" i="1" s="1"/>
  <c r="V927" i="1" s="1"/>
  <c r="V874" i="1"/>
  <c r="V875" i="1" s="1"/>
  <c r="V877" i="1" s="1"/>
  <c r="AE395" i="1"/>
  <c r="AE399" i="1"/>
  <c r="AE872" i="1" s="1"/>
  <c r="AE907" i="1" s="1"/>
  <c r="AE460" i="1"/>
  <c r="AE465" i="1" s="1"/>
  <c r="AE494" i="1" s="1"/>
  <c r="U1125" i="1"/>
  <c r="AD544" i="1"/>
  <c r="AD693" i="1"/>
  <c r="AD677" i="1"/>
  <c r="AE459" i="1"/>
  <c r="AE464" i="1" s="1"/>
  <c r="AE470" i="1" s="1"/>
  <c r="AE471" i="1" s="1"/>
  <c r="AE495" i="1" s="1"/>
  <c r="AE398" i="1"/>
  <c r="AE394" i="1"/>
  <c r="AE353" i="1"/>
  <c r="AE363" i="1" s="1"/>
  <c r="AE366" i="1" s="1"/>
  <c r="AE812" i="1"/>
  <c r="AD820" i="1"/>
  <c r="U1012" i="1"/>
  <c r="AC1075" i="1"/>
  <c r="AC1076" i="1" s="1"/>
  <c r="AC1081" i="1" s="1"/>
  <c r="AD587" i="1"/>
  <c r="AD592" i="1" s="1"/>
  <c r="AD593" i="1" s="1"/>
  <c r="AD602" i="1" s="1"/>
  <c r="AE603" i="1" s="1"/>
  <c r="AD682" i="1"/>
  <c r="AD655" i="1"/>
  <c r="AB188" i="12" l="1"/>
  <c r="AD191" i="12"/>
  <c r="AD223" i="12"/>
  <c r="AD236" i="12" s="1"/>
  <c r="AD291" i="12" s="1"/>
  <c r="AC1007" i="1"/>
  <c r="AE354" i="1"/>
  <c r="AF348" i="1" s="1"/>
  <c r="AF350" i="1" s="1"/>
  <c r="AE499" i="1"/>
  <c r="AE519" i="1" s="1"/>
  <c r="AE520" i="1" s="1"/>
  <c r="AE521" i="1" s="1"/>
  <c r="AD832" i="1"/>
  <c r="AD834" i="1" s="1"/>
  <c r="AE830" i="1" s="1"/>
  <c r="AD837" i="1"/>
  <c r="AD839" i="1" s="1"/>
  <c r="AD869" i="1" s="1"/>
  <c r="AC1080" i="1"/>
  <c r="AC1092" i="1" s="1"/>
  <c r="AC1093" i="1" s="1"/>
  <c r="U17" i="7"/>
  <c r="U31" i="7" s="1"/>
  <c r="AD656" i="1"/>
  <c r="AD657" i="1"/>
  <c r="AE397" i="1"/>
  <c r="AE1006" i="1" s="1"/>
  <c r="AE393" i="1"/>
  <c r="AE1044" i="1" s="1"/>
  <c r="AE372" i="1"/>
  <c r="AE411" i="1" s="1"/>
  <c r="AE780" i="1"/>
  <c r="AE781" i="1" s="1"/>
  <c r="AE786" i="1"/>
  <c r="AD678" i="1"/>
  <c r="AD679" i="1" s="1"/>
  <c r="AD698" i="1"/>
  <c r="AC1077" i="1"/>
  <c r="AD1072" i="1" s="1"/>
  <c r="V905" i="1"/>
  <c r="V879" i="1"/>
  <c r="U1031" i="1"/>
  <c r="AE611" i="1"/>
  <c r="AE612" i="1"/>
  <c r="AE614" i="1"/>
  <c r="AN133" i="5"/>
  <c r="AE613" i="1"/>
  <c r="AE615" i="1"/>
  <c r="AC1097" i="1" l="1"/>
  <c r="AC1157" i="1" s="1"/>
  <c r="AE414" i="1"/>
  <c r="V910" i="1"/>
  <c r="V912" i="1" s="1"/>
  <c r="AE522" i="1"/>
  <c r="AF517" i="1" s="1"/>
  <c r="AF518" i="1" s="1"/>
  <c r="AD665" i="1"/>
  <c r="AD666" i="1"/>
  <c r="V884" i="1"/>
  <c r="W878" i="1"/>
  <c r="AD908" i="1"/>
  <c r="AE628" i="1"/>
  <c r="AE635" i="1" s="1"/>
  <c r="AE651" i="1" s="1"/>
  <c r="AE617" i="1"/>
  <c r="AE619" i="1" s="1"/>
  <c r="AF376" i="1"/>
  <c r="AF351" i="1"/>
  <c r="AE802" i="1"/>
  <c r="AE831" i="1"/>
  <c r="AE785" i="1"/>
  <c r="AE787" i="1" s="1"/>
  <c r="AE909" i="1" s="1"/>
  <c r="AE782" i="1"/>
  <c r="AD1106" i="1"/>
  <c r="AD708" i="1"/>
  <c r="AD683" i="1"/>
  <c r="AE533" i="1"/>
  <c r="AE534" i="1" s="1"/>
  <c r="AE537" i="1"/>
  <c r="AE586" i="1"/>
  <c r="AE676" i="1"/>
  <c r="AC36" i="12" l="1"/>
  <c r="AC133" i="12" s="1"/>
  <c r="AC188" i="12" s="1"/>
  <c r="AC1113" i="1"/>
  <c r="AC1130" i="1" s="1"/>
  <c r="AC22" i="7" s="1"/>
  <c r="AC35" i="7" s="1"/>
  <c r="AE415" i="1"/>
  <c r="AE1095" i="1"/>
  <c r="AE652" i="1"/>
  <c r="AN121" i="5"/>
  <c r="AN124" i="5" s="1"/>
  <c r="AE792" i="1"/>
  <c r="AE655" i="1"/>
  <c r="AE587" i="1"/>
  <c r="AE592" i="1" s="1"/>
  <c r="AE593" i="1" s="1"/>
  <c r="AE602" i="1" s="1"/>
  <c r="AF603" i="1" s="1"/>
  <c r="AE682" i="1"/>
  <c r="AD684" i="1"/>
  <c r="AD694" i="1"/>
  <c r="AD695" i="1" s="1"/>
  <c r="AE543" i="1"/>
  <c r="AE544" i="1" s="1"/>
  <c r="AF368" i="1"/>
  <c r="AF370" i="1" s="1"/>
  <c r="AF1110" i="1" s="1"/>
  <c r="AF1127" i="1" s="1"/>
  <c r="AF19" i="7" s="1"/>
  <c r="AF33" i="7" s="1"/>
  <c r="AF364" i="1"/>
  <c r="AF352" i="1"/>
  <c r="AD1123" i="1"/>
  <c r="AE825" i="1"/>
  <c r="AJ826" i="1" s="1"/>
  <c r="AE813" i="1"/>
  <c r="AE816" i="1" s="1"/>
  <c r="AF379" i="1"/>
  <c r="AF378" i="1"/>
  <c r="V915" i="1"/>
  <c r="V920" i="1" s="1"/>
  <c r="V928" i="1" s="1"/>
  <c r="V929" i="1" s="1"/>
  <c r="V1107" i="1"/>
  <c r="V1008" i="1"/>
  <c r="AD699" i="1"/>
  <c r="AD700" i="1" s="1"/>
  <c r="AD685" i="1"/>
  <c r="AC220" i="12" l="1"/>
  <c r="AC233" i="12" s="1"/>
  <c r="AC288" i="12" s="1"/>
  <c r="AE39" i="12"/>
  <c r="AE136" i="12" s="1"/>
  <c r="AE1158" i="1"/>
  <c r="AJ814" i="1"/>
  <c r="AE698" i="1"/>
  <c r="AE678" i="1"/>
  <c r="V1124" i="1"/>
  <c r="AF812" i="1"/>
  <c r="AE820" i="1"/>
  <c r="AF353" i="1"/>
  <c r="AF363" i="1" s="1"/>
  <c r="AF366" i="1" s="1"/>
  <c r="AD1041" i="1"/>
  <c r="AD1045" i="1" s="1"/>
  <c r="AD704" i="1"/>
  <c r="AF615" i="1"/>
  <c r="AF612" i="1"/>
  <c r="AF613" i="1"/>
  <c r="AF614" i="1"/>
  <c r="AF611" i="1"/>
  <c r="AO133" i="5"/>
  <c r="W925" i="1"/>
  <c r="V932" i="1"/>
  <c r="AD686" i="1"/>
  <c r="AE656" i="1"/>
  <c r="AE657" i="1"/>
  <c r="AD889" i="1"/>
  <c r="AD1003" i="1"/>
  <c r="AD705" i="1"/>
  <c r="AD849" i="1"/>
  <c r="AF459" i="1"/>
  <c r="AF464" i="1" s="1"/>
  <c r="AF470" i="1" s="1"/>
  <c r="AF471" i="1" s="1"/>
  <c r="AF495" i="1" s="1"/>
  <c r="AF398" i="1"/>
  <c r="AF394" i="1"/>
  <c r="AF399" i="1"/>
  <c r="AF872" i="1" s="1"/>
  <c r="AF907" i="1" s="1"/>
  <c r="AF395" i="1"/>
  <c r="AF460" i="1"/>
  <c r="AF465" i="1" s="1"/>
  <c r="AF494" i="1" s="1"/>
  <c r="AD15" i="7"/>
  <c r="AD29" i="7" s="1"/>
  <c r="AE693" i="1"/>
  <c r="AE677" i="1"/>
  <c r="AE223" i="12" l="1"/>
  <c r="AE236" i="12" s="1"/>
  <c r="AE291" i="12" s="1"/>
  <c r="AE191" i="12"/>
  <c r="AE679" i="1"/>
  <c r="AF499" i="1"/>
  <c r="AF519" i="1" s="1"/>
  <c r="AF520" i="1" s="1"/>
  <c r="AF521" i="1" s="1"/>
  <c r="AF533" i="1" s="1"/>
  <c r="AF534" i="1" s="1"/>
  <c r="AF354" i="1"/>
  <c r="AG348" i="1" s="1"/>
  <c r="AG350" i="1" s="1"/>
  <c r="AE708" i="1"/>
  <c r="AE683" i="1"/>
  <c r="AE1106" i="1"/>
  <c r="AF372" i="1"/>
  <c r="AF411" i="1" s="1"/>
  <c r="AF393" i="1"/>
  <c r="AF1044" i="1" s="1"/>
  <c r="AF397" i="1"/>
  <c r="AF1006" i="1" s="1"/>
  <c r="V16" i="7"/>
  <c r="V30" i="7" s="1"/>
  <c r="V1108" i="1"/>
  <c r="V1009" i="1"/>
  <c r="V1011" i="1" s="1"/>
  <c r="V938" i="1"/>
  <c r="W939" i="1" s="1"/>
  <c r="AD709" i="1"/>
  <c r="AE837" i="1"/>
  <c r="AE839" i="1" s="1"/>
  <c r="AE869" i="1" s="1"/>
  <c r="AE832" i="1"/>
  <c r="AE834" i="1" s="1"/>
  <c r="AF830" i="1" s="1"/>
  <c r="AF780" i="1"/>
  <c r="AF781" i="1" s="1"/>
  <c r="AF786" i="1"/>
  <c r="AF617" i="1"/>
  <c r="AF619" i="1" s="1"/>
  <c r="AF628" i="1"/>
  <c r="AF635" i="1" s="1"/>
  <c r="AF651" i="1" s="1"/>
  <c r="AE666" i="1"/>
  <c r="AE665" i="1"/>
  <c r="W926" i="1"/>
  <c r="AD1067" i="1"/>
  <c r="AD1069" i="1" s="1"/>
  <c r="AD1055" i="1"/>
  <c r="AD1056" i="1" s="1"/>
  <c r="AD1058" i="1" s="1"/>
  <c r="AD1059" i="1" s="1"/>
  <c r="AD1073" i="1" s="1"/>
  <c r="AD1091" i="1"/>
  <c r="AF414" i="1" l="1"/>
  <c r="AF1095" i="1" s="1"/>
  <c r="AF652" i="1"/>
  <c r="AO121" i="5"/>
  <c r="AO124" i="5" s="1"/>
  <c r="AF676" i="1"/>
  <c r="AF586" i="1"/>
  <c r="AF537" i="1"/>
  <c r="AF543" i="1" s="1"/>
  <c r="AF522" i="1"/>
  <c r="AG517" i="1" s="1"/>
  <c r="AG518" i="1" s="1"/>
  <c r="AF587" i="1"/>
  <c r="AF655" i="1"/>
  <c r="AF682" i="1"/>
  <c r="AE908" i="1"/>
  <c r="V1125" i="1"/>
  <c r="AF802" i="1"/>
  <c r="AF831" i="1"/>
  <c r="AF785" i="1"/>
  <c r="AF787" i="1" s="1"/>
  <c r="AF909" i="1" s="1"/>
  <c r="AF782" i="1"/>
  <c r="V1012" i="1"/>
  <c r="AE1123" i="1"/>
  <c r="AD1074" i="1"/>
  <c r="AD906" i="1" s="1"/>
  <c r="AE685" i="1"/>
  <c r="AE699" i="1"/>
  <c r="AE700" i="1" s="1"/>
  <c r="AE694" i="1"/>
  <c r="AE695" i="1" s="1"/>
  <c r="AE684" i="1"/>
  <c r="AG376" i="1"/>
  <c r="AG351" i="1"/>
  <c r="W874" i="1"/>
  <c r="W875" i="1" s="1"/>
  <c r="W877" i="1" s="1"/>
  <c r="W899" i="1"/>
  <c r="W900" i="1" s="1"/>
  <c r="W902" i="1" s="1"/>
  <c r="W927" i="1" s="1"/>
  <c r="AD1075" i="1" l="1"/>
  <c r="AD1076" i="1" s="1"/>
  <c r="AD1081" i="1" s="1"/>
  <c r="AD850" i="1"/>
  <c r="AF415" i="1"/>
  <c r="AE686" i="1"/>
  <c r="AF592" i="1"/>
  <c r="AF593" i="1" s="1"/>
  <c r="AF602" i="1" s="1"/>
  <c r="AG603" i="1" s="1"/>
  <c r="AG614" i="1" s="1"/>
  <c r="AF825" i="1"/>
  <c r="AK826" i="1" s="1"/>
  <c r="AF813" i="1"/>
  <c r="AF816" i="1" s="1"/>
  <c r="W905" i="1"/>
  <c r="W879" i="1"/>
  <c r="AE15" i="7"/>
  <c r="AE29" i="7" s="1"/>
  <c r="AF792" i="1"/>
  <c r="AF677" i="1"/>
  <c r="AF693" i="1"/>
  <c r="AF544" i="1"/>
  <c r="AG364" i="1"/>
  <c r="AG368" i="1"/>
  <c r="AG370" i="1" s="1"/>
  <c r="AG1110" i="1" s="1"/>
  <c r="AG1127" i="1" s="1"/>
  <c r="AG19" i="7" s="1"/>
  <c r="AG33" i="7" s="1"/>
  <c r="AG352" i="1"/>
  <c r="AE1041" i="1"/>
  <c r="AE1045" i="1" s="1"/>
  <c r="AE704" i="1"/>
  <c r="AE705" i="1"/>
  <c r="AE1003" i="1"/>
  <c r="AE889" i="1"/>
  <c r="AE849" i="1"/>
  <c r="V1031" i="1"/>
  <c r="V17" i="7"/>
  <c r="V31" i="7" s="1"/>
  <c r="AF657" i="1"/>
  <c r="AF656" i="1"/>
  <c r="AG379" i="1"/>
  <c r="AG378" i="1"/>
  <c r="AD1077" i="1" l="1"/>
  <c r="AE1072" i="1" s="1"/>
  <c r="AD1007" i="1"/>
  <c r="AD1080" i="1"/>
  <c r="AD1092" i="1" s="1"/>
  <c r="AD1093" i="1" s="1"/>
  <c r="AD1097" i="1" s="1"/>
  <c r="AD1157" i="1" s="1"/>
  <c r="AF39" i="12"/>
  <c r="AF136" i="12" s="1"/>
  <c r="AF1158" i="1"/>
  <c r="W910" i="1"/>
  <c r="W912" i="1" s="1"/>
  <c r="AK814" i="1"/>
  <c r="AG612" i="1"/>
  <c r="AG613" i="1"/>
  <c r="AG611" i="1"/>
  <c r="AP133" i="5"/>
  <c r="AG615" i="1"/>
  <c r="AE709" i="1"/>
  <c r="AF678" i="1"/>
  <c r="AF679" i="1" s="1"/>
  <c r="AF698" i="1"/>
  <c r="W884" i="1"/>
  <c r="X878" i="1"/>
  <c r="AG460" i="1"/>
  <c r="AG465" i="1" s="1"/>
  <c r="AG494" i="1" s="1"/>
  <c r="AG395" i="1"/>
  <c r="AG399" i="1"/>
  <c r="AG872" i="1" s="1"/>
  <c r="AG907" i="1" s="1"/>
  <c r="AE1067" i="1"/>
  <c r="AE1069" i="1" s="1"/>
  <c r="AE1091" i="1"/>
  <c r="AE1055" i="1"/>
  <c r="AE1056" i="1" s="1"/>
  <c r="AE1058" i="1" s="1"/>
  <c r="AE1059" i="1" s="1"/>
  <c r="AE1073" i="1" s="1"/>
  <c r="AF665" i="1"/>
  <c r="AF666" i="1"/>
  <c r="AG353" i="1"/>
  <c r="AG363" i="1" s="1"/>
  <c r="AG366" i="1" s="1"/>
  <c r="AF820" i="1"/>
  <c r="AG812" i="1"/>
  <c r="AF1106" i="1"/>
  <c r="AF683" i="1"/>
  <c r="AF708" i="1"/>
  <c r="AG398" i="1"/>
  <c r="AG394" i="1"/>
  <c r="AG459" i="1"/>
  <c r="AG464" i="1" s="1"/>
  <c r="AG470" i="1" s="1"/>
  <c r="AG471" i="1" s="1"/>
  <c r="AG495" i="1" s="1"/>
  <c r="AE1074" i="1" l="1"/>
  <c r="AE850" i="1" s="1"/>
  <c r="AD36" i="12"/>
  <c r="AD133" i="12" s="1"/>
  <c r="AD188" i="12" s="1"/>
  <c r="AD1113" i="1"/>
  <c r="AD1130" i="1" s="1"/>
  <c r="AD22" i="7" s="1"/>
  <c r="AD35" i="7" s="1"/>
  <c r="AF223" i="12"/>
  <c r="AF236" i="12" s="1"/>
  <c r="AF291" i="12" s="1"/>
  <c r="AF191" i="12"/>
  <c r="AG628" i="1"/>
  <c r="AG635" i="1" s="1"/>
  <c r="AG651" i="1" s="1"/>
  <c r="AG617" i="1"/>
  <c r="AG619" i="1" s="1"/>
  <c r="AG397" i="1"/>
  <c r="AG1006" i="1" s="1"/>
  <c r="AG372" i="1"/>
  <c r="AG411" i="1" s="1"/>
  <c r="AG393" i="1"/>
  <c r="AG1044" i="1" s="1"/>
  <c r="AF837" i="1"/>
  <c r="AF839" i="1" s="1"/>
  <c r="AF869" i="1" s="1"/>
  <c r="AF832" i="1"/>
  <c r="AF834" i="1" s="1"/>
  <c r="AG830" i="1" s="1"/>
  <c r="AF694" i="1"/>
  <c r="AF695" i="1" s="1"/>
  <c r="AF684" i="1"/>
  <c r="AG499" i="1"/>
  <c r="AG519" i="1" s="1"/>
  <c r="AG520" i="1" s="1"/>
  <c r="AF699" i="1"/>
  <c r="AF700" i="1" s="1"/>
  <c r="AF685" i="1"/>
  <c r="AG780" i="1"/>
  <c r="AG781" i="1" s="1"/>
  <c r="AG786" i="1"/>
  <c r="AF1123" i="1"/>
  <c r="AG354" i="1"/>
  <c r="AH348" i="1" s="1"/>
  <c r="W915" i="1"/>
  <c r="W920" i="1" s="1"/>
  <c r="W928" i="1" s="1"/>
  <c r="W929" i="1" s="1"/>
  <c r="W1008" i="1"/>
  <c r="W1107" i="1"/>
  <c r="AE906" i="1" l="1"/>
  <c r="AE1075" i="1"/>
  <c r="AE1076" i="1" s="1"/>
  <c r="AE1081" i="1" s="1"/>
  <c r="AE1007" i="1" s="1"/>
  <c r="AD220" i="12"/>
  <c r="AD233" i="12" s="1"/>
  <c r="AD288" i="12" s="1"/>
  <c r="AG414" i="1"/>
  <c r="AG1095" i="1" s="1"/>
  <c r="AG652" i="1"/>
  <c r="AP121" i="5"/>
  <c r="AP124" i="5" s="1"/>
  <c r="AF686" i="1"/>
  <c r="W1124" i="1"/>
  <c r="AH350" i="1"/>
  <c r="AG802" i="1"/>
  <c r="AG831" i="1"/>
  <c r="AG785" i="1"/>
  <c r="AG787" i="1" s="1"/>
  <c r="AG909" i="1" s="1"/>
  <c r="AG782" i="1"/>
  <c r="AF705" i="1"/>
  <c r="AF849" i="1"/>
  <c r="AF889" i="1"/>
  <c r="AF1003" i="1"/>
  <c r="AF704" i="1"/>
  <c r="AF1041" i="1"/>
  <c r="AF1045" i="1" s="1"/>
  <c r="W932" i="1"/>
  <c r="X925" i="1"/>
  <c r="X926" i="1" s="1"/>
  <c r="AF15" i="7"/>
  <c r="AF29" i="7" s="1"/>
  <c r="AG521" i="1"/>
  <c r="AG522" i="1" s="1"/>
  <c r="AH517" i="1" s="1"/>
  <c r="AF908" i="1"/>
  <c r="AE1080" i="1" l="1"/>
  <c r="AE1092" i="1" s="1"/>
  <c r="AE1093" i="1" s="1"/>
  <c r="AE1097" i="1" s="1"/>
  <c r="AE1157" i="1" s="1"/>
  <c r="AE1077" i="1"/>
  <c r="AF1072" i="1" s="1"/>
  <c r="AG415" i="1"/>
  <c r="AF709" i="1"/>
  <c r="AH518" i="1"/>
  <c r="AG825" i="1"/>
  <c r="AL826" i="1" s="1"/>
  <c r="AG813" i="1"/>
  <c r="AG816" i="1" s="1"/>
  <c r="W1009" i="1"/>
  <c r="W1011" i="1" s="1"/>
  <c r="W1108" i="1"/>
  <c r="W938" i="1"/>
  <c r="X939" i="1" s="1"/>
  <c r="AG792" i="1"/>
  <c r="AG533" i="1"/>
  <c r="AG534" i="1" s="1"/>
  <c r="AG586" i="1"/>
  <c r="AG537" i="1"/>
  <c r="AG676" i="1"/>
  <c r="AH376" i="1"/>
  <c r="AH351" i="1"/>
  <c r="W16" i="7"/>
  <c r="W30" i="7" s="1"/>
  <c r="AF1067" i="1"/>
  <c r="AF1069" i="1" s="1"/>
  <c r="AF1055" i="1"/>
  <c r="AF1056" i="1" s="1"/>
  <c r="AF1058" i="1" s="1"/>
  <c r="AF1059" i="1" s="1"/>
  <c r="AF1073" i="1" s="1"/>
  <c r="AF1091" i="1"/>
  <c r="AF1074" i="1" l="1"/>
  <c r="AF906" i="1" s="1"/>
  <c r="AG39" i="12"/>
  <c r="AG136" i="12" s="1"/>
  <c r="AG1158" i="1"/>
  <c r="AE1113" i="1"/>
  <c r="AE1130" i="1" s="1"/>
  <c r="AE22" i="7" s="1"/>
  <c r="AE35" i="7" s="1"/>
  <c r="AE36" i="12"/>
  <c r="AE133" i="12" s="1"/>
  <c r="AE188" i="12" s="1"/>
  <c r="AL814" i="1"/>
  <c r="AH368" i="1"/>
  <c r="AH370" i="1" s="1"/>
  <c r="AH1110" i="1" s="1"/>
  <c r="AH1127" i="1" s="1"/>
  <c r="AH19" i="7" s="1"/>
  <c r="AH33" i="7" s="1"/>
  <c r="AH364" i="1"/>
  <c r="AH352" i="1"/>
  <c r="AG543" i="1"/>
  <c r="AG544" i="1" s="1"/>
  <c r="AG820" i="1"/>
  <c r="AH812" i="1"/>
  <c r="AG682" i="1"/>
  <c r="AG655" i="1"/>
  <c r="AG587" i="1"/>
  <c r="AG592" i="1" s="1"/>
  <c r="AG593" i="1" s="1"/>
  <c r="AG602" i="1" s="1"/>
  <c r="AH603" i="1" s="1"/>
  <c r="W1012" i="1"/>
  <c r="X899" i="1"/>
  <c r="X900" i="1" s="1"/>
  <c r="X902" i="1" s="1"/>
  <c r="X927" i="1" s="1"/>
  <c r="X874" i="1"/>
  <c r="X875" i="1" s="1"/>
  <c r="X877" i="1" s="1"/>
  <c r="AH379" i="1"/>
  <c r="AH378" i="1"/>
  <c r="W1125" i="1"/>
  <c r="AF1075" i="1" l="1"/>
  <c r="AF1076" i="1" s="1"/>
  <c r="AF1081" i="1" s="1"/>
  <c r="AF850" i="1"/>
  <c r="AG191" i="12"/>
  <c r="AG223" i="12"/>
  <c r="AG236" i="12" s="1"/>
  <c r="AG291" i="12" s="1"/>
  <c r="AE220" i="12"/>
  <c r="AE233" i="12" s="1"/>
  <c r="AE288" i="12" s="1"/>
  <c r="AF1007" i="1"/>
  <c r="AF1077" i="1"/>
  <c r="AG1072" i="1" s="1"/>
  <c r="AF1080" i="1"/>
  <c r="AF1092" i="1" s="1"/>
  <c r="AF1093" i="1" s="1"/>
  <c r="W1031" i="1"/>
  <c r="X905" i="1"/>
  <c r="X879" i="1"/>
  <c r="AH460" i="1"/>
  <c r="AH465" i="1" s="1"/>
  <c r="AH494" i="1" s="1"/>
  <c r="AH395" i="1"/>
  <c r="AH399" i="1"/>
  <c r="AH872" i="1" s="1"/>
  <c r="AH907" i="1" s="1"/>
  <c r="AG656" i="1"/>
  <c r="AG657" i="1"/>
  <c r="AG698" i="1"/>
  <c r="AG678" i="1"/>
  <c r="AG693" i="1"/>
  <c r="AG677" i="1"/>
  <c r="W17" i="7"/>
  <c r="W31" i="7" s="1"/>
  <c r="AH394" i="1"/>
  <c r="AH398" i="1"/>
  <c r="AH459" i="1"/>
  <c r="AH464" i="1" s="1"/>
  <c r="AH470" i="1" s="1"/>
  <c r="AH471" i="1" s="1"/>
  <c r="AH495" i="1" s="1"/>
  <c r="AH613" i="1"/>
  <c r="AQ133" i="5"/>
  <c r="AH611" i="1"/>
  <c r="AH612" i="1"/>
  <c r="AH615" i="1"/>
  <c r="AH614" i="1"/>
  <c r="AG837" i="1"/>
  <c r="AG839" i="1" s="1"/>
  <c r="AG869" i="1" s="1"/>
  <c r="AG832" i="1"/>
  <c r="AG834" i="1" s="1"/>
  <c r="AH830" i="1" s="1"/>
  <c r="AH353" i="1"/>
  <c r="AH363" i="1" s="1"/>
  <c r="AH366" i="1" s="1"/>
  <c r="AF1097" i="1" l="1"/>
  <c r="AF1157" i="1" s="1"/>
  <c r="X910" i="1"/>
  <c r="X912" i="1" s="1"/>
  <c r="AG679" i="1"/>
  <c r="AH354" i="1"/>
  <c r="AI348" i="1" s="1"/>
  <c r="AI350" i="1" s="1"/>
  <c r="AH397" i="1"/>
  <c r="AH1006" i="1" s="1"/>
  <c r="AH372" i="1"/>
  <c r="AH411" i="1" s="1"/>
  <c r="AH393" i="1"/>
  <c r="AH1044" i="1" s="1"/>
  <c r="AH786" i="1"/>
  <c r="AH780" i="1"/>
  <c r="AH781" i="1" s="1"/>
  <c r="AG1106" i="1"/>
  <c r="AG708" i="1"/>
  <c r="AG683" i="1"/>
  <c r="Y878" i="1"/>
  <c r="X884" i="1"/>
  <c r="AG908" i="1"/>
  <c r="AH617" i="1"/>
  <c r="AH619" i="1" s="1"/>
  <c r="AH628" i="1"/>
  <c r="AH635" i="1" s="1"/>
  <c r="AH651" i="1" s="1"/>
  <c r="AG665" i="1"/>
  <c r="AG666" i="1"/>
  <c r="AH499" i="1"/>
  <c r="AH519" i="1" s="1"/>
  <c r="AH520" i="1" s="1"/>
  <c r="AF1113" i="1" l="1"/>
  <c r="AF1130" i="1" s="1"/>
  <c r="AF22" i="7" s="1"/>
  <c r="AF35" i="7" s="1"/>
  <c r="AF36" i="12"/>
  <c r="AF133" i="12" s="1"/>
  <c r="AH414" i="1"/>
  <c r="AH652" i="1"/>
  <c r="AQ121" i="5"/>
  <c r="AQ124" i="5" s="1"/>
  <c r="X1008" i="1"/>
  <c r="X1107" i="1"/>
  <c r="X915" i="1"/>
  <c r="X920" i="1" s="1"/>
  <c r="X928" i="1" s="1"/>
  <c r="X929" i="1" s="1"/>
  <c r="AG1123" i="1"/>
  <c r="AH521" i="1"/>
  <c r="AH522" i="1" s="1"/>
  <c r="AI517" i="1" s="1"/>
  <c r="AI351" i="1"/>
  <c r="AI376" i="1"/>
  <c r="AG684" i="1"/>
  <c r="AG694" i="1"/>
  <c r="AG695" i="1" s="1"/>
  <c r="AG699" i="1"/>
  <c r="AG700" i="1" s="1"/>
  <c r="AG685" i="1"/>
  <c r="AH802" i="1"/>
  <c r="AH785" i="1"/>
  <c r="AH787" i="1" s="1"/>
  <c r="AH909" i="1" s="1"/>
  <c r="AH831" i="1"/>
  <c r="AH782" i="1"/>
  <c r="AF188" i="12" l="1"/>
  <c r="AF220" i="12"/>
  <c r="AF233" i="12" s="1"/>
  <c r="AF288" i="12" s="1"/>
  <c r="AH415" i="1"/>
  <c r="AH1095" i="1"/>
  <c r="AG686" i="1"/>
  <c r="AG15" i="7"/>
  <c r="AG29" i="7" s="1"/>
  <c r="AH825" i="1"/>
  <c r="AM826" i="1" s="1"/>
  <c r="AH813" i="1"/>
  <c r="AH816" i="1" s="1"/>
  <c r="AI379" i="1"/>
  <c r="AI378" i="1"/>
  <c r="AH586" i="1"/>
  <c r="AH533" i="1"/>
  <c r="AH534" i="1" s="1"/>
  <c r="AH676" i="1"/>
  <c r="AH537" i="1"/>
  <c r="X932" i="1"/>
  <c r="Y925" i="1"/>
  <c r="Y926" i="1" s="1"/>
  <c r="AH792" i="1"/>
  <c r="X1124" i="1"/>
  <c r="AG704" i="1"/>
  <c r="AG1041" i="1"/>
  <c r="AG1045" i="1" s="1"/>
  <c r="AI518" i="1"/>
  <c r="AI364" i="1"/>
  <c r="AI368" i="1"/>
  <c r="AI370" i="1" s="1"/>
  <c r="AI1110" i="1" s="1"/>
  <c r="AI1127" i="1" s="1"/>
  <c r="AI19" i="7" s="1"/>
  <c r="AI33" i="7" s="1"/>
  <c r="AI352" i="1"/>
  <c r="AG1003" i="1"/>
  <c r="AG705" i="1"/>
  <c r="AG849" i="1"/>
  <c r="AG889" i="1"/>
  <c r="AH39" i="12" l="1"/>
  <c r="AH136" i="12" s="1"/>
  <c r="AH1158" i="1"/>
  <c r="AM814" i="1"/>
  <c r="AI812" i="1"/>
  <c r="AH820" i="1"/>
  <c r="X1009" i="1"/>
  <c r="X1011" i="1" s="1"/>
  <c r="X1108" i="1"/>
  <c r="X938" i="1"/>
  <c r="Y939" i="1" s="1"/>
  <c r="AG1067" i="1"/>
  <c r="AG1069" i="1" s="1"/>
  <c r="AG1055" i="1"/>
  <c r="AG1056" i="1" s="1"/>
  <c r="AG1058" i="1" s="1"/>
  <c r="AG1059" i="1" s="1"/>
  <c r="AG1073" i="1" s="1"/>
  <c r="AG1091" i="1"/>
  <c r="AH543" i="1"/>
  <c r="AI394" i="1"/>
  <c r="AI459" i="1"/>
  <c r="AI464" i="1" s="1"/>
  <c r="AI470" i="1" s="1"/>
  <c r="AI471" i="1" s="1"/>
  <c r="AI495" i="1" s="1"/>
  <c r="AI398" i="1"/>
  <c r="AH655" i="1"/>
  <c r="AH587" i="1"/>
  <c r="AH592" i="1" s="1"/>
  <c r="AH593" i="1" s="1"/>
  <c r="AH602" i="1" s="1"/>
  <c r="AI603" i="1" s="1"/>
  <c r="AH682" i="1"/>
  <c r="AI353" i="1"/>
  <c r="AI363" i="1" s="1"/>
  <c r="AI366" i="1" s="1"/>
  <c r="X16" i="7"/>
  <c r="X30" i="7" s="1"/>
  <c r="AG709" i="1"/>
  <c r="AI399" i="1"/>
  <c r="AI872" i="1" s="1"/>
  <c r="AI907" i="1" s="1"/>
  <c r="AI395" i="1"/>
  <c r="AI460" i="1"/>
  <c r="AI465" i="1" s="1"/>
  <c r="AI494" i="1" s="1"/>
  <c r="AH191" i="12" l="1"/>
  <c r="AH223" i="12"/>
  <c r="AH236" i="12" s="1"/>
  <c r="AH291" i="12" s="1"/>
  <c r="AI499" i="1"/>
  <c r="AI519" i="1" s="1"/>
  <c r="AI520" i="1" s="1"/>
  <c r="AI521" i="1" s="1"/>
  <c r="AI522" i="1" s="1"/>
  <c r="AJ517" i="1" s="1"/>
  <c r="AI780" i="1"/>
  <c r="AI781" i="1" s="1"/>
  <c r="AI786" i="1"/>
  <c r="Y874" i="1"/>
  <c r="Y875" i="1" s="1"/>
  <c r="Y877" i="1" s="1"/>
  <c r="Y899" i="1"/>
  <c r="Y900" i="1" s="1"/>
  <c r="Y902" i="1" s="1"/>
  <c r="Y927" i="1" s="1"/>
  <c r="AH837" i="1"/>
  <c r="AH839" i="1" s="1"/>
  <c r="AH869" i="1" s="1"/>
  <c r="AH832" i="1"/>
  <c r="AH834" i="1" s="1"/>
  <c r="AI830" i="1" s="1"/>
  <c r="AG1074" i="1"/>
  <c r="AG906" i="1" s="1"/>
  <c r="X1012" i="1"/>
  <c r="AI393" i="1"/>
  <c r="AI1044" i="1" s="1"/>
  <c r="AI372" i="1"/>
  <c r="AI411" i="1" s="1"/>
  <c r="AI397" i="1"/>
  <c r="AI1006" i="1" s="1"/>
  <c r="AH693" i="1"/>
  <c r="AH677" i="1"/>
  <c r="X1125" i="1"/>
  <c r="AI612" i="1"/>
  <c r="AR133" i="5"/>
  <c r="AI613" i="1"/>
  <c r="AI611" i="1"/>
  <c r="AI614" i="1"/>
  <c r="AI615" i="1"/>
  <c r="AI354" i="1"/>
  <c r="AJ348" i="1" s="1"/>
  <c r="AH657" i="1"/>
  <c r="AH656" i="1"/>
  <c r="AH544" i="1"/>
  <c r="AG1075" i="1" l="1"/>
  <c r="AG1076" i="1" s="1"/>
  <c r="AG1081" i="1" s="1"/>
  <c r="AG850" i="1"/>
  <c r="AI414" i="1"/>
  <c r="AI1095" i="1" s="1"/>
  <c r="AJ518" i="1"/>
  <c r="AH1106" i="1"/>
  <c r="AH683" i="1"/>
  <c r="AH708" i="1"/>
  <c r="AJ350" i="1"/>
  <c r="X17" i="7"/>
  <c r="X31" i="7" s="1"/>
  <c r="Y905" i="1"/>
  <c r="Y879" i="1"/>
  <c r="X1031" i="1"/>
  <c r="AH908" i="1"/>
  <c r="AI802" i="1"/>
  <c r="AI831" i="1"/>
  <c r="AI785" i="1"/>
  <c r="AI787" i="1" s="1"/>
  <c r="AI909" i="1" s="1"/>
  <c r="AI782" i="1"/>
  <c r="AH666" i="1"/>
  <c r="AH665" i="1"/>
  <c r="AI628" i="1"/>
  <c r="AI635" i="1" s="1"/>
  <c r="AI651" i="1" s="1"/>
  <c r="AI617" i="1"/>
  <c r="AI619" i="1" s="1"/>
  <c r="AH678" i="1"/>
  <c r="AH679" i="1" s="1"/>
  <c r="AH698" i="1"/>
  <c r="AI533" i="1"/>
  <c r="AI534" i="1" s="1"/>
  <c r="AI676" i="1"/>
  <c r="AI586" i="1"/>
  <c r="AI537" i="1"/>
  <c r="AG1080" i="1" l="1"/>
  <c r="AG1092" i="1" s="1"/>
  <c r="AG1093" i="1" s="1"/>
  <c r="AG1097" i="1" s="1"/>
  <c r="AG1157" i="1" s="1"/>
  <c r="AG1077" i="1"/>
  <c r="AH1072" i="1" s="1"/>
  <c r="AI415" i="1"/>
  <c r="Y910" i="1"/>
  <c r="Y912" i="1" s="1"/>
  <c r="AG1007" i="1"/>
  <c r="AR121" i="5"/>
  <c r="AR124" i="5" s="1"/>
  <c r="AI652" i="1"/>
  <c r="AI543" i="1"/>
  <c r="AI792" i="1"/>
  <c r="Y884" i="1"/>
  <c r="Z878" i="1"/>
  <c r="AJ376" i="1"/>
  <c r="AJ351" i="1"/>
  <c r="AJ352" i="1" s="1"/>
  <c r="AH1123" i="1"/>
  <c r="AI587" i="1"/>
  <c r="AI592" i="1" s="1"/>
  <c r="AI593" i="1" s="1"/>
  <c r="AI602" i="1" s="1"/>
  <c r="AJ603" i="1" s="1"/>
  <c r="AI682" i="1"/>
  <c r="AI655" i="1"/>
  <c r="AH699" i="1"/>
  <c r="AH700" i="1" s="1"/>
  <c r="AH685" i="1"/>
  <c r="AH694" i="1"/>
  <c r="AH695" i="1" s="1"/>
  <c r="AH684" i="1"/>
  <c r="AI813" i="1"/>
  <c r="AI816" i="1" s="1"/>
  <c r="AI825" i="1"/>
  <c r="AN826" i="1" s="1"/>
  <c r="AG36" i="12" l="1"/>
  <c r="AG133" i="12" s="1"/>
  <c r="AG188" i="12" s="1"/>
  <c r="AG1113" i="1"/>
  <c r="AG1130" i="1" s="1"/>
  <c r="AG22" i="7" s="1"/>
  <c r="AG35" i="7" s="1"/>
  <c r="AI39" i="12"/>
  <c r="AI136" i="12" s="1"/>
  <c r="AI1158" i="1"/>
  <c r="AN814" i="1"/>
  <c r="AH889" i="1"/>
  <c r="AH849" i="1"/>
  <c r="AH1003" i="1"/>
  <c r="AH705" i="1"/>
  <c r="AH704" i="1"/>
  <c r="AH1041" i="1"/>
  <c r="AH1045" i="1" s="1"/>
  <c r="Y1107" i="1"/>
  <c r="Y915" i="1"/>
  <c r="Y920" i="1" s="1"/>
  <c r="Y928" i="1" s="1"/>
  <c r="Y929" i="1" s="1"/>
  <c r="Y1008" i="1"/>
  <c r="AJ613" i="1"/>
  <c r="AJ611" i="1"/>
  <c r="AJ612" i="1"/>
  <c r="AJ614" i="1"/>
  <c r="AJ615" i="1"/>
  <c r="AS133" i="5"/>
  <c r="AJ364" i="1"/>
  <c r="AJ368" i="1"/>
  <c r="AJ370" i="1" s="1"/>
  <c r="AJ1110" i="1" s="1"/>
  <c r="AJ1127" i="1" s="1"/>
  <c r="AJ19" i="7" s="1"/>
  <c r="AJ33" i="7" s="1"/>
  <c r="AJ353" i="1"/>
  <c r="AJ363" i="1" s="1"/>
  <c r="AJ379" i="1"/>
  <c r="AJ378" i="1"/>
  <c r="AH15" i="7"/>
  <c r="AH29" i="7" s="1"/>
  <c r="AI677" i="1"/>
  <c r="AI693" i="1"/>
  <c r="AI820" i="1"/>
  <c r="AJ812" i="1"/>
  <c r="AH686" i="1"/>
  <c r="AI656" i="1"/>
  <c r="AI657" i="1"/>
  <c r="AI544" i="1"/>
  <c r="AG220" i="12" l="1"/>
  <c r="AG233" i="12" s="1"/>
  <c r="AG288" i="12" s="1"/>
  <c r="AI223" i="12"/>
  <c r="AI236" i="12" s="1"/>
  <c r="AI291" i="12" s="1"/>
  <c r="AI191" i="12"/>
  <c r="AI683" i="1"/>
  <c r="AI1106" i="1"/>
  <c r="AI708" i="1"/>
  <c r="AJ354" i="1"/>
  <c r="AK348" i="1" s="1"/>
  <c r="AJ617" i="1"/>
  <c r="AJ619" i="1" s="1"/>
  <c r="AJ628" i="1"/>
  <c r="AJ635" i="1" s="1"/>
  <c r="AJ651" i="1" s="1"/>
  <c r="Y1124" i="1"/>
  <c r="AI666" i="1"/>
  <c r="AI665" i="1"/>
  <c r="AI832" i="1"/>
  <c r="AI834" i="1" s="1"/>
  <c r="AJ830" i="1" s="1"/>
  <c r="AI837" i="1"/>
  <c r="AI839" i="1" s="1"/>
  <c r="AI869" i="1" s="1"/>
  <c r="AJ366" i="1"/>
  <c r="AH1067" i="1"/>
  <c r="AH1069" i="1" s="1"/>
  <c r="AH1055" i="1"/>
  <c r="AH1056" i="1" s="1"/>
  <c r="AH1058" i="1" s="1"/>
  <c r="AH1059" i="1" s="1"/>
  <c r="AH1073" i="1" s="1"/>
  <c r="AH1091" i="1"/>
  <c r="AJ460" i="1"/>
  <c r="AJ465" i="1" s="1"/>
  <c r="AJ494" i="1" s="1"/>
  <c r="AJ395" i="1"/>
  <c r="AJ399" i="1"/>
  <c r="AJ872" i="1" s="1"/>
  <c r="AJ907" i="1" s="1"/>
  <c r="Z925" i="1"/>
  <c r="Y932" i="1"/>
  <c r="AI698" i="1"/>
  <c r="AI678" i="1"/>
  <c r="AI679" i="1" s="1"/>
  <c r="AJ459" i="1"/>
  <c r="AJ464" i="1" s="1"/>
  <c r="AJ470" i="1" s="1"/>
  <c r="AJ471" i="1" s="1"/>
  <c r="AJ495" i="1" s="1"/>
  <c r="AJ394" i="1"/>
  <c r="AJ398" i="1"/>
  <c r="AH709" i="1"/>
  <c r="AJ652" i="1" l="1"/>
  <c r="AS121" i="5"/>
  <c r="AS124" i="5" s="1"/>
  <c r="AI908" i="1"/>
  <c r="AK350" i="1"/>
  <c r="Y938" i="1"/>
  <c r="Z939" i="1" s="1"/>
  <c r="Y1009" i="1"/>
  <c r="Y1011" i="1" s="1"/>
  <c r="Y1108" i="1"/>
  <c r="AJ499" i="1"/>
  <c r="AJ519" i="1" s="1"/>
  <c r="AJ520" i="1" s="1"/>
  <c r="AH1074" i="1"/>
  <c r="AH906" i="1" s="1"/>
  <c r="Y16" i="7"/>
  <c r="Y30" i="7" s="1"/>
  <c r="AJ780" i="1"/>
  <c r="AJ781" i="1" s="1"/>
  <c r="AJ786" i="1"/>
  <c r="Z926" i="1"/>
  <c r="AI699" i="1"/>
  <c r="AI700" i="1" s="1"/>
  <c r="AI685" i="1"/>
  <c r="AI1123" i="1"/>
  <c r="AJ372" i="1"/>
  <c r="AJ411" i="1" s="1"/>
  <c r="AJ393" i="1"/>
  <c r="AJ1044" i="1" s="1"/>
  <c r="AJ397" i="1"/>
  <c r="AJ1006" i="1" s="1"/>
  <c r="AI694" i="1"/>
  <c r="AI695" i="1" s="1"/>
  <c r="AI684" i="1"/>
  <c r="AH1075" i="1" l="1"/>
  <c r="AH1076" i="1" s="1"/>
  <c r="AH1081" i="1" s="1"/>
  <c r="AH850" i="1"/>
  <c r="AJ414" i="1"/>
  <c r="AI686" i="1"/>
  <c r="AI705" i="1"/>
  <c r="AI889" i="1"/>
  <c r="AI849" i="1"/>
  <c r="AI1003" i="1"/>
  <c r="Y1125" i="1"/>
  <c r="Y1012" i="1"/>
  <c r="AK351" i="1"/>
  <c r="AK352" i="1" s="1"/>
  <c r="AK376" i="1"/>
  <c r="AJ802" i="1"/>
  <c r="AJ785" i="1"/>
  <c r="AJ787" i="1" s="1"/>
  <c r="AJ909" i="1" s="1"/>
  <c r="AJ831" i="1"/>
  <c r="AJ782" i="1"/>
  <c r="Z899" i="1"/>
  <c r="Z900" i="1" s="1"/>
  <c r="Z902" i="1" s="1"/>
  <c r="Z927" i="1" s="1"/>
  <c r="Z874" i="1"/>
  <c r="Z875" i="1" s="1"/>
  <c r="Z877" i="1" s="1"/>
  <c r="AI15" i="7"/>
  <c r="AI29" i="7" s="1"/>
  <c r="AI1041" i="1"/>
  <c r="AI1045" i="1" s="1"/>
  <c r="AI704" i="1"/>
  <c r="AJ521" i="1"/>
  <c r="AJ522" i="1" s="1"/>
  <c r="AK517" i="1" s="1"/>
  <c r="AH1077" i="1" l="1"/>
  <c r="AI1072" i="1" s="1"/>
  <c r="AH1007" i="1"/>
  <c r="AH1080" i="1"/>
  <c r="AH1092" i="1" s="1"/>
  <c r="AH1093" i="1" s="1"/>
  <c r="AH1097" i="1" s="1"/>
  <c r="AH1157" i="1" s="1"/>
  <c r="AJ415" i="1"/>
  <c r="AJ1095" i="1"/>
  <c r="AK518" i="1"/>
  <c r="AJ676" i="1"/>
  <c r="AJ533" i="1"/>
  <c r="AJ534" i="1" s="1"/>
  <c r="AJ537" i="1"/>
  <c r="AJ586" i="1"/>
  <c r="AJ792" i="1"/>
  <c r="AK368" i="1"/>
  <c r="AK370" i="1" s="1"/>
  <c r="AK1110" i="1" s="1"/>
  <c r="AK1127" i="1" s="1"/>
  <c r="AK19" i="7" s="1"/>
  <c r="AK33" i="7" s="1"/>
  <c r="AK364" i="1"/>
  <c r="AK378" i="1"/>
  <c r="AK379" i="1"/>
  <c r="Y17" i="7"/>
  <c r="Y31" i="7" s="1"/>
  <c r="AI709" i="1"/>
  <c r="Z905" i="1"/>
  <c r="Z879" i="1"/>
  <c r="AJ813" i="1"/>
  <c r="AJ816" i="1" s="1"/>
  <c r="AJ825" i="1"/>
  <c r="AO826" i="1" s="1"/>
  <c r="AK353" i="1"/>
  <c r="AK363" i="1" s="1"/>
  <c r="AI1055" i="1"/>
  <c r="AI1056" i="1" s="1"/>
  <c r="AI1058" i="1" s="1"/>
  <c r="AI1059" i="1" s="1"/>
  <c r="AI1073" i="1" s="1"/>
  <c r="AI1067" i="1"/>
  <c r="AI1069" i="1" s="1"/>
  <c r="AI1091" i="1"/>
  <c r="Y1031" i="1"/>
  <c r="AH1113" i="1" l="1"/>
  <c r="AH1130" i="1" s="1"/>
  <c r="AH22" i="7" s="1"/>
  <c r="AH35" i="7" s="1"/>
  <c r="AH36" i="12"/>
  <c r="AH133" i="12" s="1"/>
  <c r="AH188" i="12" s="1"/>
  <c r="AJ39" i="12"/>
  <c r="AJ136" i="12" s="1"/>
  <c r="AJ223" i="12" s="1"/>
  <c r="AJ236" i="12" s="1"/>
  <c r="AJ291" i="12" s="1"/>
  <c r="AJ1158" i="1"/>
  <c r="Z910" i="1"/>
  <c r="Z912" i="1" s="1"/>
  <c r="AP826" i="1"/>
  <c r="AP814" i="1" s="1"/>
  <c r="AQ826" i="1"/>
  <c r="AQ814" i="1" s="1"/>
  <c r="AR826" i="1"/>
  <c r="AR814" i="1" s="1"/>
  <c r="AS826" i="1"/>
  <c r="AS814" i="1" s="1"/>
  <c r="AT826" i="1"/>
  <c r="AT814" i="1" s="1"/>
  <c r="AU826" i="1"/>
  <c r="AU814" i="1" s="1"/>
  <c r="AV826" i="1"/>
  <c r="AV814" i="1" s="1"/>
  <c r="AW826" i="1"/>
  <c r="AW814" i="1" s="1"/>
  <c r="AO814" i="1"/>
  <c r="AX826" i="1"/>
  <c r="AI1074" i="1"/>
  <c r="AI906" i="1" s="1"/>
  <c r="AJ543" i="1"/>
  <c r="AJ544" i="1" s="1"/>
  <c r="AK354" i="1"/>
  <c r="AL348" i="1" s="1"/>
  <c r="Z884" i="1"/>
  <c r="AA878" i="1"/>
  <c r="AJ587" i="1"/>
  <c r="AJ592" i="1" s="1"/>
  <c r="AJ593" i="1" s="1"/>
  <c r="AJ602" i="1" s="1"/>
  <c r="AK603" i="1" s="1"/>
  <c r="AJ682" i="1"/>
  <c r="AJ655" i="1"/>
  <c r="AK398" i="1"/>
  <c r="AK394" i="1"/>
  <c r="AK459" i="1"/>
  <c r="AK464" i="1" s="1"/>
  <c r="AK470" i="1" s="1"/>
  <c r="AK471" i="1" s="1"/>
  <c r="AK495" i="1" s="1"/>
  <c r="AJ820" i="1"/>
  <c r="AK812" i="1"/>
  <c r="AK366" i="1"/>
  <c r="AK395" i="1"/>
  <c r="AK399" i="1"/>
  <c r="AK872" i="1" s="1"/>
  <c r="AK907" i="1" s="1"/>
  <c r="AK460" i="1"/>
  <c r="AK465" i="1" s="1"/>
  <c r="AK494" i="1" s="1"/>
  <c r="AI1075" i="1" l="1"/>
  <c r="AI1076" i="1" s="1"/>
  <c r="AI1081" i="1" s="1"/>
  <c r="AI1007" i="1" s="1"/>
  <c r="AI850" i="1"/>
  <c r="AH220" i="12"/>
  <c r="AH233" i="12" s="1"/>
  <c r="AH288" i="12" s="1"/>
  <c r="AJ191" i="12"/>
  <c r="AK499" i="1"/>
  <c r="AK519" i="1" s="1"/>
  <c r="AK520" i="1" s="1"/>
  <c r="AK521" i="1" s="1"/>
  <c r="AK522" i="1" s="1"/>
  <c r="AL517" i="1" s="1"/>
  <c r="AJ698" i="1"/>
  <c r="AJ678" i="1"/>
  <c r="AL350" i="1"/>
  <c r="AX814" i="1"/>
  <c r="I826" i="1"/>
  <c r="I814" i="1" s="1"/>
  <c r="AT133" i="5"/>
  <c r="AK614" i="1"/>
  <c r="AK615" i="1"/>
  <c r="AK613" i="1"/>
  <c r="AK611" i="1"/>
  <c r="AK612" i="1"/>
  <c r="AK786" i="1"/>
  <c r="AK780" i="1"/>
  <c r="AK781" i="1" s="1"/>
  <c r="AJ693" i="1"/>
  <c r="AJ677" i="1"/>
  <c r="AJ837" i="1"/>
  <c r="AJ839" i="1" s="1"/>
  <c r="AJ869" i="1" s="1"/>
  <c r="AJ832" i="1"/>
  <c r="AJ834" i="1" s="1"/>
  <c r="AK830" i="1" s="1"/>
  <c r="AK393" i="1"/>
  <c r="AK1044" i="1" s="1"/>
  <c r="AK397" i="1"/>
  <c r="AK1006" i="1" s="1"/>
  <c r="AK372" i="1"/>
  <c r="AK411" i="1" s="1"/>
  <c r="AJ656" i="1"/>
  <c r="AJ657" i="1"/>
  <c r="Z915" i="1"/>
  <c r="Z920" i="1" s="1"/>
  <c r="Z928" i="1" s="1"/>
  <c r="Z929" i="1" s="1"/>
  <c r="Z1107" i="1"/>
  <c r="Z1008" i="1"/>
  <c r="AI1080" i="1" l="1"/>
  <c r="AI1092" i="1" s="1"/>
  <c r="AI1093" i="1" s="1"/>
  <c r="AI1097" i="1" s="1"/>
  <c r="AI1157" i="1" s="1"/>
  <c r="AI1077" i="1"/>
  <c r="AJ1072" i="1" s="1"/>
  <c r="AK414" i="1"/>
  <c r="AJ679" i="1"/>
  <c r="AL518" i="1"/>
  <c r="AJ1106" i="1"/>
  <c r="AJ683" i="1"/>
  <c r="AJ708" i="1"/>
  <c r="AA925" i="1"/>
  <c r="AA926" i="1" s="1"/>
  <c r="Z932" i="1"/>
  <c r="AK802" i="1"/>
  <c r="AK831" i="1"/>
  <c r="AK785" i="1"/>
  <c r="AK787" i="1" s="1"/>
  <c r="AK909" i="1" s="1"/>
  <c r="AK782" i="1"/>
  <c r="AL376" i="1"/>
  <c r="AL351" i="1"/>
  <c r="AL352" i="1" s="1"/>
  <c r="AJ666" i="1"/>
  <c r="AJ665" i="1"/>
  <c r="Z1124" i="1"/>
  <c r="AJ908" i="1"/>
  <c r="AK676" i="1"/>
  <c r="AK586" i="1"/>
  <c r="AK537" i="1"/>
  <c r="AK533" i="1"/>
  <c r="AK534" i="1" s="1"/>
  <c r="AK628" i="1"/>
  <c r="AK635" i="1" s="1"/>
  <c r="AK651" i="1" s="1"/>
  <c r="AK617" i="1"/>
  <c r="AK619" i="1" s="1"/>
  <c r="AI36" i="12" l="1"/>
  <c r="AI133" i="12" s="1"/>
  <c r="AI220" i="12" s="1"/>
  <c r="AI233" i="12" s="1"/>
  <c r="AI288" i="12" s="1"/>
  <c r="AI1113" i="1"/>
  <c r="AI1130" i="1" s="1"/>
  <c r="AI22" i="7" s="1"/>
  <c r="AI35" i="7" s="1"/>
  <c r="AK415" i="1"/>
  <c r="AK1095" i="1"/>
  <c r="AT121" i="5"/>
  <c r="AT124" i="5" s="1"/>
  <c r="AK652" i="1"/>
  <c r="AJ694" i="1"/>
  <c r="AJ695" i="1" s="1"/>
  <c r="AJ684" i="1"/>
  <c r="AJ1123" i="1"/>
  <c r="AL353" i="1"/>
  <c r="AL363" i="1" s="1"/>
  <c r="AK543" i="1"/>
  <c r="AK544" i="1" s="1"/>
  <c r="Z16" i="7"/>
  <c r="Z30" i="7" s="1"/>
  <c r="AL368" i="1"/>
  <c r="AL370" i="1" s="1"/>
  <c r="AL1110" i="1" s="1"/>
  <c r="AL1127" i="1" s="1"/>
  <c r="AL19" i="7" s="1"/>
  <c r="AL33" i="7" s="1"/>
  <c r="AL364" i="1"/>
  <c r="AL379" i="1"/>
  <c r="AL378" i="1"/>
  <c r="AK813" i="1"/>
  <c r="AK816" i="1" s="1"/>
  <c r="AK825" i="1"/>
  <c r="AK655" i="1"/>
  <c r="AK587" i="1"/>
  <c r="AK592" i="1" s="1"/>
  <c r="AK593" i="1" s="1"/>
  <c r="AK602" i="1" s="1"/>
  <c r="AL603" i="1" s="1"/>
  <c r="AK682" i="1"/>
  <c r="AJ685" i="1"/>
  <c r="AJ699" i="1"/>
  <c r="AJ700" i="1" s="1"/>
  <c r="AK792" i="1"/>
  <c r="Z938" i="1"/>
  <c r="AA939" i="1" s="1"/>
  <c r="Z1009" i="1"/>
  <c r="Z1011" i="1" s="1"/>
  <c r="Z1108" i="1"/>
  <c r="AI188" i="12" l="1"/>
  <c r="AK39" i="12"/>
  <c r="AK136" i="12" s="1"/>
  <c r="AK1158" i="1"/>
  <c r="AJ686" i="1"/>
  <c r="AL366" i="1"/>
  <c r="AL397" i="1" s="1"/>
  <c r="AL1006" i="1" s="1"/>
  <c r="Z1125" i="1"/>
  <c r="AL395" i="1"/>
  <c r="AL399" i="1"/>
  <c r="AL872" i="1" s="1"/>
  <c r="AL907" i="1" s="1"/>
  <c r="AL460" i="1"/>
  <c r="AL465" i="1" s="1"/>
  <c r="AL494" i="1" s="1"/>
  <c r="AK677" i="1"/>
  <c r="AK693" i="1"/>
  <c r="AK657" i="1"/>
  <c r="AK656" i="1"/>
  <c r="Z1012" i="1"/>
  <c r="AJ1003" i="1"/>
  <c r="AJ705" i="1"/>
  <c r="AJ889" i="1"/>
  <c r="AJ849" i="1"/>
  <c r="AK678" i="1"/>
  <c r="AK698" i="1"/>
  <c r="AJ1041" i="1"/>
  <c r="AJ1045" i="1" s="1"/>
  <c r="AJ704" i="1"/>
  <c r="AL459" i="1"/>
  <c r="AL464" i="1" s="1"/>
  <c r="AL470" i="1" s="1"/>
  <c r="AL471" i="1" s="1"/>
  <c r="AL495" i="1" s="1"/>
  <c r="AL394" i="1"/>
  <c r="AL398" i="1"/>
  <c r="AJ15" i="7"/>
  <c r="AJ29" i="7" s="1"/>
  <c r="AU133" i="5"/>
  <c r="AL612" i="1"/>
  <c r="AL613" i="1"/>
  <c r="AL614" i="1"/>
  <c r="AL611" i="1"/>
  <c r="AL615" i="1"/>
  <c r="AA899" i="1"/>
  <c r="AA900" i="1" s="1"/>
  <c r="AA902" i="1" s="1"/>
  <c r="AA927" i="1" s="1"/>
  <c r="AA874" i="1"/>
  <c r="AA875" i="1" s="1"/>
  <c r="AA877" i="1" s="1"/>
  <c r="AL812" i="1"/>
  <c r="AK820" i="1"/>
  <c r="AL354" i="1"/>
  <c r="AM348" i="1" s="1"/>
  <c r="AK223" i="12" l="1"/>
  <c r="AK236" i="12" s="1"/>
  <c r="AK291" i="12" s="1"/>
  <c r="AK191" i="12"/>
  <c r="AL393" i="1"/>
  <c r="AL1044" i="1" s="1"/>
  <c r="AL372" i="1"/>
  <c r="AJ709" i="1"/>
  <c r="AA905" i="1"/>
  <c r="AA879" i="1"/>
  <c r="AL499" i="1"/>
  <c r="AL519" i="1" s="1"/>
  <c r="AL520" i="1" s="1"/>
  <c r="AM350" i="1"/>
  <c r="Z1031" i="1"/>
  <c r="AK665" i="1"/>
  <c r="AK666" i="1"/>
  <c r="AK708" i="1"/>
  <c r="AK683" i="1"/>
  <c r="AK1106" i="1"/>
  <c r="AK837" i="1"/>
  <c r="AK839" i="1" s="1"/>
  <c r="AK869" i="1" s="1"/>
  <c r="AK832" i="1"/>
  <c r="AK834" i="1" s="1"/>
  <c r="AL830" i="1" s="1"/>
  <c r="AL780" i="1"/>
  <c r="AL781" i="1" s="1"/>
  <c r="AL786" i="1"/>
  <c r="AJ1055" i="1"/>
  <c r="AJ1056" i="1" s="1"/>
  <c r="AJ1058" i="1" s="1"/>
  <c r="AJ1059" i="1" s="1"/>
  <c r="AJ1073" i="1" s="1"/>
  <c r="AJ1091" i="1"/>
  <c r="AJ1067" i="1"/>
  <c r="AJ1069" i="1" s="1"/>
  <c r="Z17" i="7"/>
  <c r="Z31" i="7" s="1"/>
  <c r="AL617" i="1"/>
  <c r="AL619" i="1" s="1"/>
  <c r="AL628" i="1"/>
  <c r="AL635" i="1" s="1"/>
  <c r="AL651" i="1" s="1"/>
  <c r="AK679" i="1"/>
  <c r="AL411" i="1" l="1"/>
  <c r="AA910" i="1"/>
  <c r="AA912" i="1" s="1"/>
  <c r="AL652" i="1"/>
  <c r="AU121" i="5"/>
  <c r="AU124" i="5" s="1"/>
  <c r="AL521" i="1"/>
  <c r="AL522" i="1" s="1"/>
  <c r="AM517" i="1" s="1"/>
  <c r="AK908" i="1"/>
  <c r="AM351" i="1"/>
  <c r="AM352" i="1" s="1"/>
  <c r="AM376" i="1"/>
  <c r="AL802" i="1"/>
  <c r="AL831" i="1"/>
  <c r="AL785" i="1"/>
  <c r="AL787" i="1" s="1"/>
  <c r="AL909" i="1" s="1"/>
  <c r="AL782" i="1"/>
  <c r="AK1123" i="1"/>
  <c r="AK694" i="1"/>
  <c r="AK695" i="1" s="1"/>
  <c r="AK684" i="1"/>
  <c r="AA884" i="1"/>
  <c r="AB878" i="1"/>
  <c r="AJ1074" i="1"/>
  <c r="AJ906" i="1" s="1"/>
  <c r="AK685" i="1"/>
  <c r="AK699" i="1"/>
  <c r="AK700" i="1" s="1"/>
  <c r="AJ1075" i="1" l="1"/>
  <c r="AJ1076" i="1" s="1"/>
  <c r="AJ1081" i="1" s="1"/>
  <c r="AJ1007" i="1" s="1"/>
  <c r="AJ850" i="1"/>
  <c r="AL414" i="1"/>
  <c r="AK686" i="1"/>
  <c r="AM518" i="1"/>
  <c r="AK1041" i="1"/>
  <c r="AK1045" i="1" s="1"/>
  <c r="AK704" i="1"/>
  <c r="AM378" i="1"/>
  <c r="AM379" i="1"/>
  <c r="AL792" i="1"/>
  <c r="AM364" i="1"/>
  <c r="AM368" i="1"/>
  <c r="AM370" i="1" s="1"/>
  <c r="AM1110" i="1" s="1"/>
  <c r="AM1127" i="1" s="1"/>
  <c r="AM19" i="7" s="1"/>
  <c r="AM33" i="7" s="1"/>
  <c r="AM353" i="1"/>
  <c r="AM363" i="1" s="1"/>
  <c r="AK705" i="1"/>
  <c r="AK889" i="1"/>
  <c r="AK849" i="1"/>
  <c r="AK1003" i="1"/>
  <c r="AA915" i="1"/>
  <c r="AA920" i="1" s="1"/>
  <c r="AA928" i="1" s="1"/>
  <c r="AA929" i="1" s="1"/>
  <c r="AA1008" i="1"/>
  <c r="AA1107" i="1"/>
  <c r="AK15" i="7"/>
  <c r="AK29" i="7" s="1"/>
  <c r="AL825" i="1"/>
  <c r="AL813" i="1"/>
  <c r="AL816" i="1" s="1"/>
  <c r="AL537" i="1"/>
  <c r="AL533" i="1"/>
  <c r="AL534" i="1" s="1"/>
  <c r="AL586" i="1"/>
  <c r="AL676" i="1"/>
  <c r="AJ1080" i="1" l="1"/>
  <c r="AJ1092" i="1" s="1"/>
  <c r="AJ1093" i="1" s="1"/>
  <c r="AJ1097" i="1" s="1"/>
  <c r="AJ1157" i="1" s="1"/>
  <c r="AJ1077" i="1"/>
  <c r="AK1072" i="1" s="1"/>
  <c r="AL415" i="1"/>
  <c r="AL1095" i="1"/>
  <c r="AM354" i="1"/>
  <c r="AN348" i="1" s="1"/>
  <c r="AN350" i="1" s="1"/>
  <c r="AM366" i="1"/>
  <c r="AM393" i="1" s="1"/>
  <c r="AM1044" i="1" s="1"/>
  <c r="AM812" i="1"/>
  <c r="AL820" i="1"/>
  <c r="AM399" i="1"/>
  <c r="AM872" i="1" s="1"/>
  <c r="AM907" i="1" s="1"/>
  <c r="AM395" i="1"/>
  <c r="AM460" i="1"/>
  <c r="AM465" i="1" s="1"/>
  <c r="AM494" i="1" s="1"/>
  <c r="AB925" i="1"/>
  <c r="AB926" i="1" s="1"/>
  <c r="AA932" i="1"/>
  <c r="AM459" i="1"/>
  <c r="AM464" i="1" s="1"/>
  <c r="AM470" i="1" s="1"/>
  <c r="AM471" i="1" s="1"/>
  <c r="AM495" i="1" s="1"/>
  <c r="AM398" i="1"/>
  <c r="AM394" i="1"/>
  <c r="AA1124" i="1"/>
  <c r="AK1055" i="1"/>
  <c r="AK1056" i="1" s="1"/>
  <c r="AK1058" i="1" s="1"/>
  <c r="AK1059" i="1" s="1"/>
  <c r="AK1073" i="1" s="1"/>
  <c r="AK1067" i="1"/>
  <c r="AK1069" i="1" s="1"/>
  <c r="AK1091" i="1"/>
  <c r="AL655" i="1"/>
  <c r="AL587" i="1"/>
  <c r="AL592" i="1" s="1"/>
  <c r="AL593" i="1" s="1"/>
  <c r="AL602" i="1" s="1"/>
  <c r="AM603" i="1" s="1"/>
  <c r="AL682" i="1"/>
  <c r="AL543" i="1"/>
  <c r="AL544" i="1" s="1"/>
  <c r="AK709" i="1"/>
  <c r="AK1074" i="1" l="1"/>
  <c r="AK906" i="1" s="1"/>
  <c r="AJ36" i="12"/>
  <c r="AJ133" i="12" s="1"/>
  <c r="AJ188" i="12" s="1"/>
  <c r="AJ1113" i="1"/>
  <c r="AJ1130" i="1" s="1"/>
  <c r="AJ22" i="7" s="1"/>
  <c r="AJ35" i="7" s="1"/>
  <c r="AL39" i="12"/>
  <c r="AL136" i="12" s="1"/>
  <c r="AL1158" i="1"/>
  <c r="AM372" i="1"/>
  <c r="AM397" i="1"/>
  <c r="AM1006" i="1" s="1"/>
  <c r="AL678" i="1"/>
  <c r="AL698" i="1"/>
  <c r="AN376" i="1"/>
  <c r="AN351" i="1"/>
  <c r="AN352" i="1" s="1"/>
  <c r="AM780" i="1"/>
  <c r="AM781" i="1" s="1"/>
  <c r="AM786" i="1"/>
  <c r="AM499" i="1"/>
  <c r="AM519" i="1" s="1"/>
  <c r="AM520" i="1" s="1"/>
  <c r="AA16" i="7"/>
  <c r="AA30" i="7" s="1"/>
  <c r="AL837" i="1"/>
  <c r="AL839" i="1" s="1"/>
  <c r="AL869" i="1" s="1"/>
  <c r="AL832" i="1"/>
  <c r="AL834" i="1" s="1"/>
  <c r="AM830" i="1" s="1"/>
  <c r="AL656" i="1"/>
  <c r="AL657" i="1"/>
  <c r="AL677" i="1"/>
  <c r="AL693" i="1"/>
  <c r="AM614" i="1"/>
  <c r="AM611" i="1"/>
  <c r="AM613" i="1"/>
  <c r="AV133" i="5"/>
  <c r="AM612" i="1"/>
  <c r="AM615" i="1"/>
  <c r="AA938" i="1"/>
  <c r="AB939" i="1" s="1"/>
  <c r="AA1108" i="1"/>
  <c r="AA1009" i="1"/>
  <c r="AA1011" i="1" s="1"/>
  <c r="AK850" i="1" l="1"/>
  <c r="AK1075" i="1"/>
  <c r="AK1076" i="1" s="1"/>
  <c r="AK1081" i="1" s="1"/>
  <c r="AK1007" i="1" s="1"/>
  <c r="AJ220" i="12"/>
  <c r="AJ233" i="12" s="1"/>
  <c r="AJ288" i="12" s="1"/>
  <c r="AL223" i="12"/>
  <c r="AL236" i="12" s="1"/>
  <c r="AL291" i="12" s="1"/>
  <c r="AL191" i="12"/>
  <c r="AM411" i="1"/>
  <c r="AN368" i="1"/>
  <c r="AN370" i="1" s="1"/>
  <c r="AN1110" i="1" s="1"/>
  <c r="AN1127" i="1" s="1"/>
  <c r="AN19" i="7" s="1"/>
  <c r="AN33" i="7" s="1"/>
  <c r="AN364" i="1"/>
  <c r="AM617" i="1"/>
  <c r="AM619" i="1" s="1"/>
  <c r="AM628" i="1"/>
  <c r="AM635" i="1" s="1"/>
  <c r="AM651" i="1" s="1"/>
  <c r="AL908" i="1"/>
  <c r="AN378" i="1"/>
  <c r="AN379" i="1"/>
  <c r="AN353" i="1"/>
  <c r="AN363" i="1" s="1"/>
  <c r="AA1012" i="1"/>
  <c r="AM521" i="1"/>
  <c r="AM522" i="1" s="1"/>
  <c r="AN517" i="1" s="1"/>
  <c r="AA1125" i="1"/>
  <c r="AL665" i="1"/>
  <c r="AL666" i="1"/>
  <c r="AB899" i="1"/>
  <c r="AB900" i="1" s="1"/>
  <c r="AB902" i="1" s="1"/>
  <c r="AB927" i="1" s="1"/>
  <c r="AB874" i="1"/>
  <c r="AB875" i="1" s="1"/>
  <c r="AB877" i="1" s="1"/>
  <c r="AL708" i="1"/>
  <c r="AL1106" i="1"/>
  <c r="AL683" i="1"/>
  <c r="AM802" i="1"/>
  <c r="AM785" i="1"/>
  <c r="AM787" i="1" s="1"/>
  <c r="AM909" i="1" s="1"/>
  <c r="AM831" i="1"/>
  <c r="AM782" i="1"/>
  <c r="AL679" i="1"/>
  <c r="AK1077" i="1" l="1"/>
  <c r="AL1072" i="1" s="1"/>
  <c r="AK1080" i="1"/>
  <c r="AK1092" i="1" s="1"/>
  <c r="AK1093" i="1" s="1"/>
  <c r="AK1097" i="1" s="1"/>
  <c r="AK1157" i="1" s="1"/>
  <c r="AM414" i="1"/>
  <c r="AV121" i="5"/>
  <c r="AV124" i="5" s="1"/>
  <c r="AM652" i="1"/>
  <c r="AN366" i="1"/>
  <c r="AN393" i="1" s="1"/>
  <c r="AN1044" i="1" s="1"/>
  <c r="AN354" i="1"/>
  <c r="AO348" i="1" s="1"/>
  <c r="AO350" i="1" s="1"/>
  <c r="AN518" i="1"/>
  <c r="AA17" i="7"/>
  <c r="AA31" i="7" s="1"/>
  <c r="AN459" i="1"/>
  <c r="AN464" i="1" s="1"/>
  <c r="AN470" i="1" s="1"/>
  <c r="AN471" i="1" s="1"/>
  <c r="AN495" i="1" s="1"/>
  <c r="AN398" i="1"/>
  <c r="AN394" i="1"/>
  <c r="AM825" i="1"/>
  <c r="AM813" i="1"/>
  <c r="AM816" i="1" s="1"/>
  <c r="AL694" i="1"/>
  <c r="AL695" i="1" s="1"/>
  <c r="AL684" i="1"/>
  <c r="AM586" i="1"/>
  <c r="AM533" i="1"/>
  <c r="AM534" i="1" s="1"/>
  <c r="AM537" i="1"/>
  <c r="AM676" i="1"/>
  <c r="AB905" i="1"/>
  <c r="AB879" i="1"/>
  <c r="AL699" i="1"/>
  <c r="AL700" i="1" s="1"/>
  <c r="AL685" i="1"/>
  <c r="AA1031" i="1"/>
  <c r="AM792" i="1"/>
  <c r="AL1123" i="1"/>
  <c r="AN460" i="1"/>
  <c r="AN465" i="1" s="1"/>
  <c r="AN494" i="1" s="1"/>
  <c r="AN399" i="1"/>
  <c r="AN872" i="1" s="1"/>
  <c r="AN907" i="1" s="1"/>
  <c r="AN395" i="1"/>
  <c r="AK1113" i="1" l="1"/>
  <c r="AK1130" i="1" s="1"/>
  <c r="AK22" i="7" s="1"/>
  <c r="AK35" i="7" s="1"/>
  <c r="AK36" i="12"/>
  <c r="AK133" i="12" s="1"/>
  <c r="AK220" i="12" s="1"/>
  <c r="AK233" i="12" s="1"/>
  <c r="AK288" i="12" s="1"/>
  <c r="AM415" i="1"/>
  <c r="AM1095" i="1"/>
  <c r="AB910" i="1"/>
  <c r="AB912" i="1" s="1"/>
  <c r="AN372" i="1"/>
  <c r="AN397" i="1"/>
  <c r="AN1006" i="1" s="1"/>
  <c r="AN499" i="1"/>
  <c r="AN519" i="1" s="1"/>
  <c r="AN520" i="1" s="1"/>
  <c r="AN521" i="1" s="1"/>
  <c r="AN522" i="1" s="1"/>
  <c r="AO517" i="1" s="1"/>
  <c r="AL686" i="1"/>
  <c r="AO351" i="1"/>
  <c r="AO352" i="1" s="1"/>
  <c r="AO376" i="1"/>
  <c r="AM682" i="1"/>
  <c r="AM587" i="1"/>
  <c r="AM592" i="1" s="1"/>
  <c r="AM593" i="1" s="1"/>
  <c r="AM602" i="1" s="1"/>
  <c r="AN603" i="1" s="1"/>
  <c r="AM655" i="1"/>
  <c r="AL1041" i="1"/>
  <c r="AL1045" i="1" s="1"/>
  <c r="AL704" i="1"/>
  <c r="AN780" i="1"/>
  <c r="AN781" i="1" s="1"/>
  <c r="AN786" i="1"/>
  <c r="AL15" i="7"/>
  <c r="AL29" i="7" s="1"/>
  <c r="AC878" i="1"/>
  <c r="AB884" i="1"/>
  <c r="AM543" i="1"/>
  <c r="AL889" i="1"/>
  <c r="AL1003" i="1"/>
  <c r="AL705" i="1"/>
  <c r="AL849" i="1"/>
  <c r="AM820" i="1"/>
  <c r="AN812" i="1"/>
  <c r="AM39" i="12" l="1"/>
  <c r="AM136" i="12" s="1"/>
  <c r="AM223" i="12" s="1"/>
  <c r="AM236" i="12" s="1"/>
  <c r="AM291" i="12" s="1"/>
  <c r="AM1158" i="1"/>
  <c r="AK188" i="12"/>
  <c r="AN411" i="1"/>
  <c r="AO518" i="1"/>
  <c r="AM832" i="1"/>
  <c r="AM834" i="1" s="1"/>
  <c r="AN830" i="1" s="1"/>
  <c r="AM837" i="1"/>
  <c r="AM839" i="1" s="1"/>
  <c r="AM869" i="1" s="1"/>
  <c r="AM693" i="1"/>
  <c r="AM677" i="1"/>
  <c r="AL709" i="1"/>
  <c r="AO379" i="1"/>
  <c r="AO378" i="1"/>
  <c r="AO353" i="1"/>
  <c r="AO363" i="1" s="1"/>
  <c r="AM544" i="1"/>
  <c r="AL1091" i="1"/>
  <c r="AL1067" i="1"/>
  <c r="AL1069" i="1" s="1"/>
  <c r="AL1055" i="1"/>
  <c r="AL1056" i="1" s="1"/>
  <c r="AL1058" i="1" s="1"/>
  <c r="AL1059" i="1" s="1"/>
  <c r="AL1073" i="1" s="1"/>
  <c r="AO368" i="1"/>
  <c r="AO370" i="1" s="1"/>
  <c r="AO1110" i="1" s="1"/>
  <c r="AO1127" i="1" s="1"/>
  <c r="AO19" i="7" s="1"/>
  <c r="AO33" i="7" s="1"/>
  <c r="AO364" i="1"/>
  <c r="AN615" i="1"/>
  <c r="AN611" i="1"/>
  <c r="AW133" i="5"/>
  <c r="AN613" i="1"/>
  <c r="AN612" i="1"/>
  <c r="AN614" i="1"/>
  <c r="AB915" i="1"/>
  <c r="AB920" i="1" s="1"/>
  <c r="AB928" i="1" s="1"/>
  <c r="AB929" i="1" s="1"/>
  <c r="AB1107" i="1"/>
  <c r="AB1008" i="1"/>
  <c r="AN802" i="1"/>
  <c r="AN785" i="1"/>
  <c r="AN787" i="1" s="1"/>
  <c r="AN909" i="1" s="1"/>
  <c r="AN831" i="1"/>
  <c r="AN782" i="1"/>
  <c r="AM657" i="1"/>
  <c r="AM656" i="1"/>
  <c r="AN537" i="1"/>
  <c r="AN676" i="1"/>
  <c r="AN533" i="1"/>
  <c r="AN534" i="1" s="1"/>
  <c r="AN586" i="1"/>
  <c r="AM191" i="12" l="1"/>
  <c r="AN414" i="1"/>
  <c r="AO354" i="1"/>
  <c r="AP348" i="1" s="1"/>
  <c r="AP350" i="1" s="1"/>
  <c r="AM908" i="1"/>
  <c r="AM666" i="1"/>
  <c r="AM665" i="1"/>
  <c r="AM1106" i="1"/>
  <c r="AM683" i="1"/>
  <c r="AM708" i="1"/>
  <c r="AN628" i="1"/>
  <c r="AN635" i="1" s="1"/>
  <c r="AN651" i="1" s="1"/>
  <c r="AN617" i="1"/>
  <c r="AN619" i="1" s="1"/>
  <c r="AB1124" i="1"/>
  <c r="AB932" i="1"/>
  <c r="AC925" i="1"/>
  <c r="AO366" i="1"/>
  <c r="AM678" i="1"/>
  <c r="AM679" i="1" s="1"/>
  <c r="AM698" i="1"/>
  <c r="AO460" i="1"/>
  <c r="AO465" i="1" s="1"/>
  <c r="AO494" i="1" s="1"/>
  <c r="AO399" i="1"/>
  <c r="AO872" i="1" s="1"/>
  <c r="AO907" i="1" s="1"/>
  <c r="AO395" i="1"/>
  <c r="AN682" i="1"/>
  <c r="AN655" i="1"/>
  <c r="AN587" i="1"/>
  <c r="AN592" i="1" s="1"/>
  <c r="AN593" i="1" s="1"/>
  <c r="AN602" i="1" s="1"/>
  <c r="AO603" i="1" s="1"/>
  <c r="AN813" i="1"/>
  <c r="AN816" i="1" s="1"/>
  <c r="AN825" i="1"/>
  <c r="AL1074" i="1"/>
  <c r="AN792" i="1"/>
  <c r="AN543" i="1"/>
  <c r="AO459" i="1"/>
  <c r="AO464" i="1" s="1"/>
  <c r="AO470" i="1" s="1"/>
  <c r="AO471" i="1" s="1"/>
  <c r="AO495" i="1" s="1"/>
  <c r="AO398" i="1"/>
  <c r="AO394" i="1"/>
  <c r="AL850" i="1" l="1"/>
  <c r="AL906" i="1"/>
  <c r="AN415" i="1"/>
  <c r="AN1095" i="1"/>
  <c r="AW121" i="5"/>
  <c r="AW124" i="5" s="1"/>
  <c r="AN652" i="1"/>
  <c r="AN657" i="1" s="1"/>
  <c r="AX133" i="5"/>
  <c r="AO611" i="1"/>
  <c r="AO615" i="1"/>
  <c r="AO614" i="1"/>
  <c r="AO613" i="1"/>
  <c r="AO612" i="1"/>
  <c r="AM694" i="1"/>
  <c r="AM695" i="1" s="1"/>
  <c r="AM684" i="1"/>
  <c r="AO780" i="1"/>
  <c r="AO781" i="1" s="1"/>
  <c r="AO786" i="1"/>
  <c r="AN656" i="1"/>
  <c r="AO499" i="1"/>
  <c r="AO519" i="1" s="1"/>
  <c r="AO520" i="1" s="1"/>
  <c r="AM1123" i="1"/>
  <c r="AB1009" i="1"/>
  <c r="AB1011" i="1" s="1"/>
  <c r="AB1108" i="1"/>
  <c r="AB938" i="1"/>
  <c r="AC939" i="1" s="1"/>
  <c r="AO397" i="1"/>
  <c r="AO1006" i="1" s="1"/>
  <c r="AO393" i="1"/>
  <c r="AO1044" i="1" s="1"/>
  <c r="AO372" i="1"/>
  <c r="AO411" i="1" s="1"/>
  <c r="AP376" i="1"/>
  <c r="AP351" i="1"/>
  <c r="AN693" i="1"/>
  <c r="AN677" i="1"/>
  <c r="AB16" i="7"/>
  <c r="AB30" i="7" s="1"/>
  <c r="AN544" i="1"/>
  <c r="AL1075" i="1"/>
  <c r="AL1076" i="1" s="1"/>
  <c r="AL1077" i="1" s="1"/>
  <c r="AM1072" i="1" s="1"/>
  <c r="AO812" i="1"/>
  <c r="AN820" i="1"/>
  <c r="AC926" i="1"/>
  <c r="AM685" i="1"/>
  <c r="AM699" i="1"/>
  <c r="AM700" i="1" s="1"/>
  <c r="AN39" i="12" l="1"/>
  <c r="AN136" i="12" s="1"/>
  <c r="AN191" i="12" s="1"/>
  <c r="AN1158" i="1"/>
  <c r="AO414" i="1"/>
  <c r="AO1095" i="1" s="1"/>
  <c r="AM686" i="1"/>
  <c r="AM1003" i="1"/>
  <c r="AM889" i="1"/>
  <c r="AM705" i="1"/>
  <c r="AM849" i="1"/>
  <c r="AN832" i="1"/>
  <c r="AN834" i="1" s="1"/>
  <c r="AO830" i="1" s="1"/>
  <c r="AN837" i="1"/>
  <c r="AN839" i="1" s="1"/>
  <c r="AN869" i="1" s="1"/>
  <c r="AB1012" i="1"/>
  <c r="AO521" i="1"/>
  <c r="AO522" i="1" s="1"/>
  <c r="AP517" i="1" s="1"/>
  <c r="AO802" i="1"/>
  <c r="AO785" i="1"/>
  <c r="AO787" i="1" s="1"/>
  <c r="AO909" i="1" s="1"/>
  <c r="AO831" i="1"/>
  <c r="AO782" i="1"/>
  <c r="AO617" i="1"/>
  <c r="AO619" i="1" s="1"/>
  <c r="AO628" i="1"/>
  <c r="AO635" i="1" s="1"/>
  <c r="AO651" i="1" s="1"/>
  <c r="AN698" i="1"/>
  <c r="AN678" i="1"/>
  <c r="AN679" i="1" s="1"/>
  <c r="AB1125" i="1"/>
  <c r="AM15" i="7"/>
  <c r="AM29" i="7" s="1"/>
  <c r="AP378" i="1"/>
  <c r="AP379" i="1"/>
  <c r="AN666" i="1"/>
  <c r="AN665" i="1"/>
  <c r="AP364" i="1"/>
  <c r="AP368" i="1"/>
  <c r="AP370" i="1" s="1"/>
  <c r="AP1110" i="1" s="1"/>
  <c r="AP1127" i="1" s="1"/>
  <c r="AP19" i="7" s="1"/>
  <c r="AP33" i="7" s="1"/>
  <c r="AL1081" i="1"/>
  <c r="AL1080" i="1"/>
  <c r="AL1092" i="1" s="1"/>
  <c r="AL1093" i="1" s="1"/>
  <c r="AC899" i="1"/>
  <c r="AC900" i="1" s="1"/>
  <c r="AC902" i="1" s="1"/>
  <c r="AC927" i="1" s="1"/>
  <c r="AC874" i="1"/>
  <c r="AC875" i="1" s="1"/>
  <c r="AC877" i="1" s="1"/>
  <c r="AN683" i="1"/>
  <c r="AN1106" i="1"/>
  <c r="AN708" i="1"/>
  <c r="AM1041" i="1"/>
  <c r="AM1045" i="1" s="1"/>
  <c r="AM704" i="1"/>
  <c r="AP352" i="1"/>
  <c r="AN223" i="12" l="1"/>
  <c r="AN236" i="12" s="1"/>
  <c r="AN291" i="12" s="1"/>
  <c r="AL1097" i="1"/>
  <c r="AL1157" i="1" s="1"/>
  <c r="AO415" i="1"/>
  <c r="AL1007" i="1"/>
  <c r="AX121" i="5"/>
  <c r="AX124" i="5" s="1"/>
  <c r="AO652" i="1"/>
  <c r="AM709" i="1"/>
  <c r="AP518" i="1"/>
  <c r="AN694" i="1"/>
  <c r="AN695" i="1" s="1"/>
  <c r="AN684" i="1"/>
  <c r="AP399" i="1"/>
  <c r="AP872" i="1" s="1"/>
  <c r="AP907" i="1" s="1"/>
  <c r="AP395" i="1"/>
  <c r="AP460" i="1"/>
  <c r="AP465" i="1" s="1"/>
  <c r="AP494" i="1" s="1"/>
  <c r="AN908" i="1"/>
  <c r="AO792" i="1"/>
  <c r="AC905" i="1"/>
  <c r="AC879" i="1"/>
  <c r="AP398" i="1"/>
  <c r="AP459" i="1"/>
  <c r="AP464" i="1" s="1"/>
  <c r="AP470" i="1" s="1"/>
  <c r="AP471" i="1" s="1"/>
  <c r="AP495" i="1" s="1"/>
  <c r="AP394" i="1"/>
  <c r="AB1031" i="1"/>
  <c r="AO676" i="1"/>
  <c r="AO537" i="1"/>
  <c r="AO543" i="1" s="1"/>
  <c r="AO533" i="1"/>
  <c r="AO534" i="1" s="1"/>
  <c r="AO586" i="1"/>
  <c r="AM1067" i="1"/>
  <c r="AM1069" i="1" s="1"/>
  <c r="AM1091" i="1"/>
  <c r="AM1055" i="1"/>
  <c r="AM1056" i="1" s="1"/>
  <c r="AM1058" i="1" s="1"/>
  <c r="AM1059" i="1" s="1"/>
  <c r="AM1073" i="1" s="1"/>
  <c r="AB17" i="7"/>
  <c r="AB31" i="7" s="1"/>
  <c r="AP353" i="1"/>
  <c r="AP363" i="1" s="1"/>
  <c r="AP366" i="1" s="1"/>
  <c r="AN1123" i="1"/>
  <c r="AN685" i="1"/>
  <c r="AN699" i="1"/>
  <c r="AN700" i="1" s="1"/>
  <c r="AO813" i="1"/>
  <c r="AO825" i="1"/>
  <c r="AL36" i="12" l="1"/>
  <c r="AL133" i="12" s="1"/>
  <c r="AL188" i="12" s="1"/>
  <c r="AL1113" i="1"/>
  <c r="AL1130" i="1" s="1"/>
  <c r="AL22" i="7" s="1"/>
  <c r="AL35" i="7" s="1"/>
  <c r="AO39" i="12"/>
  <c r="AO136" i="12" s="1"/>
  <c r="AO1158" i="1"/>
  <c r="AC910" i="1"/>
  <c r="AC912" i="1" s="1"/>
  <c r="AP354" i="1"/>
  <c r="AQ348" i="1" s="1"/>
  <c r="AQ350" i="1" s="1"/>
  <c r="AP499" i="1"/>
  <c r="AP519" i="1" s="1"/>
  <c r="AP520" i="1" s="1"/>
  <c r="AP521" i="1" s="1"/>
  <c r="AP522" i="1" s="1"/>
  <c r="AQ517" i="1" s="1"/>
  <c r="AN889" i="1"/>
  <c r="AN705" i="1"/>
  <c r="AN1003" i="1"/>
  <c r="AN849" i="1"/>
  <c r="AO655" i="1"/>
  <c r="AO682" i="1"/>
  <c r="AO587" i="1"/>
  <c r="AO592" i="1" s="1"/>
  <c r="AO593" i="1" s="1"/>
  <c r="AO602" i="1" s="1"/>
  <c r="AP603" i="1" s="1"/>
  <c r="AP780" i="1"/>
  <c r="AP781" i="1" s="1"/>
  <c r="AP786" i="1"/>
  <c r="AO815" i="1"/>
  <c r="I815" i="1" s="1"/>
  <c r="AP372" i="1"/>
  <c r="AP411" i="1" s="1"/>
  <c r="AP393" i="1"/>
  <c r="AP1044" i="1" s="1"/>
  <c r="AP397" i="1"/>
  <c r="AP1006" i="1" s="1"/>
  <c r="AM1074" i="1"/>
  <c r="AM906" i="1" s="1"/>
  <c r="AN686" i="1"/>
  <c r="AN15" i="7"/>
  <c r="AN29" i="7" s="1"/>
  <c r="AO544" i="1"/>
  <c r="AO677" i="1"/>
  <c r="AO693" i="1"/>
  <c r="AC884" i="1"/>
  <c r="AD878" i="1"/>
  <c r="AN704" i="1"/>
  <c r="AN1041" i="1"/>
  <c r="AN1045" i="1" s="1"/>
  <c r="AM1075" i="1" l="1"/>
  <c r="AM1076" i="1" s="1"/>
  <c r="AM1081" i="1" s="1"/>
  <c r="AM850" i="1"/>
  <c r="AL220" i="12"/>
  <c r="AL233" i="12" s="1"/>
  <c r="AL288" i="12" s="1"/>
  <c r="AO191" i="12"/>
  <c r="AO223" i="12"/>
  <c r="AO236" i="12" s="1"/>
  <c r="AO291" i="12" s="1"/>
  <c r="AP414" i="1"/>
  <c r="AP1095" i="1" s="1"/>
  <c r="AN709" i="1"/>
  <c r="AO816" i="1"/>
  <c r="AP812" i="1" s="1"/>
  <c r="AQ518" i="1"/>
  <c r="AQ376" i="1"/>
  <c r="AQ351" i="1"/>
  <c r="AQ352" i="1" s="1"/>
  <c r="AO657" i="1"/>
  <c r="AO656" i="1"/>
  <c r="AP802" i="1"/>
  <c r="AP831" i="1"/>
  <c r="AP785" i="1"/>
  <c r="AP787" i="1" s="1"/>
  <c r="AP909" i="1" s="1"/>
  <c r="AP782" i="1"/>
  <c r="AC915" i="1"/>
  <c r="AC920" i="1" s="1"/>
  <c r="AC928" i="1" s="1"/>
  <c r="AC929" i="1" s="1"/>
  <c r="AC1107" i="1"/>
  <c r="AC1008" i="1"/>
  <c r="AN1055" i="1"/>
  <c r="AN1056" i="1" s="1"/>
  <c r="AN1058" i="1" s="1"/>
  <c r="AN1059" i="1" s="1"/>
  <c r="AN1073" i="1" s="1"/>
  <c r="AN1067" i="1"/>
  <c r="AN1069" i="1" s="1"/>
  <c r="AN1091" i="1"/>
  <c r="AO678" i="1"/>
  <c r="AO679" i="1" s="1"/>
  <c r="AO698" i="1"/>
  <c r="AY133" i="5"/>
  <c r="AP612" i="1"/>
  <c r="AP615" i="1"/>
  <c r="AP614" i="1"/>
  <c r="AP611" i="1"/>
  <c r="AP613" i="1"/>
  <c r="AP586" i="1"/>
  <c r="AP537" i="1"/>
  <c r="AP533" i="1"/>
  <c r="AP534" i="1" s="1"/>
  <c r="AP676" i="1"/>
  <c r="AM1007" i="1" l="1"/>
  <c r="AM1077" i="1"/>
  <c r="AN1072" i="1" s="1"/>
  <c r="AN1074" i="1" s="1"/>
  <c r="AN906" i="1" s="1"/>
  <c r="AM1080" i="1"/>
  <c r="AM1092" i="1" s="1"/>
  <c r="AM1093" i="1" s="1"/>
  <c r="AM1097" i="1" s="1"/>
  <c r="AM1157" i="1" s="1"/>
  <c r="AP415" i="1"/>
  <c r="AP39" i="12" s="1"/>
  <c r="AP136" i="12" s="1"/>
  <c r="AP191" i="12" s="1"/>
  <c r="AO820" i="1"/>
  <c r="AO832" i="1" s="1"/>
  <c r="AC932" i="1"/>
  <c r="AD925" i="1"/>
  <c r="AP825" i="1"/>
  <c r="AP813" i="1"/>
  <c r="AP816" i="1" s="1"/>
  <c r="AP543" i="1"/>
  <c r="AQ353" i="1"/>
  <c r="AQ363" i="1" s="1"/>
  <c r="AC1124" i="1"/>
  <c r="AQ378" i="1"/>
  <c r="AQ379" i="1"/>
  <c r="AO666" i="1"/>
  <c r="AO665" i="1"/>
  <c r="AP587" i="1"/>
  <c r="AP592" i="1" s="1"/>
  <c r="AP593" i="1" s="1"/>
  <c r="AP602" i="1" s="1"/>
  <c r="AQ603" i="1" s="1"/>
  <c r="AP682" i="1"/>
  <c r="AP655" i="1"/>
  <c r="AP617" i="1"/>
  <c r="AP619" i="1" s="1"/>
  <c r="AP628" i="1"/>
  <c r="AP635" i="1" s="1"/>
  <c r="AP651" i="1" s="1"/>
  <c r="AO683" i="1"/>
  <c r="AO1106" i="1"/>
  <c r="AO708" i="1"/>
  <c r="AQ368" i="1"/>
  <c r="AQ370" i="1" s="1"/>
  <c r="AQ1110" i="1" s="1"/>
  <c r="AQ1127" i="1" s="1"/>
  <c r="AQ19" i="7" s="1"/>
  <c r="AQ33" i="7" s="1"/>
  <c r="AQ364" i="1"/>
  <c r="AN1075" i="1" l="1"/>
  <c r="AN1076" i="1" s="1"/>
  <c r="AN1081" i="1" s="1"/>
  <c r="AN1007" i="1" s="1"/>
  <c r="AN850" i="1"/>
  <c r="AP1158" i="1"/>
  <c r="AP223" i="12"/>
  <c r="AP236" i="12" s="1"/>
  <c r="AP291" i="12" s="1"/>
  <c r="AM36" i="12"/>
  <c r="AM133" i="12" s="1"/>
  <c r="AM188" i="12" s="1"/>
  <c r="AM1113" i="1"/>
  <c r="AM1130" i="1" s="1"/>
  <c r="AM22" i="7" s="1"/>
  <c r="AM35" i="7" s="1"/>
  <c r="AP652" i="1"/>
  <c r="AP657" i="1" s="1"/>
  <c r="AY121" i="5"/>
  <c r="AY124" i="5" s="1"/>
  <c r="AO837" i="1"/>
  <c r="AQ354" i="1"/>
  <c r="AR348" i="1" s="1"/>
  <c r="AR350" i="1" s="1"/>
  <c r="AQ614" i="1"/>
  <c r="AQ612" i="1"/>
  <c r="AZ133" i="5"/>
  <c r="AQ613" i="1"/>
  <c r="AQ611" i="1"/>
  <c r="AQ615" i="1"/>
  <c r="AO1123" i="1"/>
  <c r="AP820" i="1"/>
  <c r="AQ812" i="1"/>
  <c r="AC16" i="7"/>
  <c r="AC30" i="7" s="1"/>
  <c r="AP693" i="1"/>
  <c r="AP677" i="1"/>
  <c r="AD926" i="1"/>
  <c r="AO833" i="1"/>
  <c r="AP656" i="1"/>
  <c r="AO699" i="1"/>
  <c r="AO700" i="1" s="1"/>
  <c r="AO685" i="1"/>
  <c r="AQ460" i="1"/>
  <c r="AQ465" i="1" s="1"/>
  <c r="AQ494" i="1" s="1"/>
  <c r="AQ395" i="1"/>
  <c r="AQ399" i="1"/>
  <c r="AQ872" i="1" s="1"/>
  <c r="AQ907" i="1" s="1"/>
  <c r="AC1009" i="1"/>
  <c r="AC1011" i="1" s="1"/>
  <c r="AC1108" i="1"/>
  <c r="AC938" i="1"/>
  <c r="AD939" i="1" s="1"/>
  <c r="AO694" i="1"/>
  <c r="AO695" i="1" s="1"/>
  <c r="AO684" i="1"/>
  <c r="AQ394" i="1"/>
  <c r="AQ459" i="1"/>
  <c r="AQ464" i="1" s="1"/>
  <c r="AQ470" i="1" s="1"/>
  <c r="AQ471" i="1" s="1"/>
  <c r="AQ495" i="1" s="1"/>
  <c r="AQ398" i="1"/>
  <c r="AQ366" i="1"/>
  <c r="AP544" i="1"/>
  <c r="AN1077" i="1" l="1"/>
  <c r="AO1072" i="1" s="1"/>
  <c r="AN1080" i="1"/>
  <c r="AN1092" i="1" s="1"/>
  <c r="AN1093" i="1" s="1"/>
  <c r="AN1097" i="1" s="1"/>
  <c r="AN1157" i="1" s="1"/>
  <c r="AM220" i="12"/>
  <c r="AM233" i="12" s="1"/>
  <c r="AM288" i="12" s="1"/>
  <c r="AO686" i="1"/>
  <c r="AP683" i="1"/>
  <c r="AP708" i="1"/>
  <c r="AP1106" i="1"/>
  <c r="AO704" i="1"/>
  <c r="AO1041" i="1"/>
  <c r="AO1045" i="1" s="1"/>
  <c r="AR351" i="1"/>
  <c r="AR376" i="1"/>
  <c r="AO838" i="1"/>
  <c r="AO839" i="1" s="1"/>
  <c r="AO869" i="1" s="1"/>
  <c r="I833" i="1"/>
  <c r="I838" i="1" s="1"/>
  <c r="AO15" i="7"/>
  <c r="AO29" i="7" s="1"/>
  <c r="AQ393" i="1"/>
  <c r="AQ1044" i="1" s="1"/>
  <c r="AQ372" i="1"/>
  <c r="AQ411" i="1" s="1"/>
  <c r="AQ397" i="1"/>
  <c r="AQ1006" i="1" s="1"/>
  <c r="AC1125" i="1"/>
  <c r="AO1003" i="1"/>
  <c r="AO889" i="1"/>
  <c r="AO849" i="1"/>
  <c r="AO705" i="1"/>
  <c r="AO834" i="1"/>
  <c r="AP830" i="1" s="1"/>
  <c r="AP832" i="1"/>
  <c r="AP837" i="1"/>
  <c r="AP839" i="1" s="1"/>
  <c r="AP869" i="1" s="1"/>
  <c r="AQ499" i="1"/>
  <c r="AQ519" i="1" s="1"/>
  <c r="AQ520" i="1" s="1"/>
  <c r="AP698" i="1"/>
  <c r="AP678" i="1"/>
  <c r="AP679" i="1" s="1"/>
  <c r="AD874" i="1"/>
  <c r="AD875" i="1" s="1"/>
  <c r="AD877" i="1" s="1"/>
  <c r="AD899" i="1"/>
  <c r="AD900" i="1" s="1"/>
  <c r="AD902" i="1" s="1"/>
  <c r="AD927" i="1" s="1"/>
  <c r="AQ780" i="1"/>
  <c r="AQ781" i="1" s="1"/>
  <c r="AQ786" i="1"/>
  <c r="AC1012" i="1"/>
  <c r="AC1031" i="1" s="1"/>
  <c r="AP666" i="1"/>
  <c r="AP665" i="1"/>
  <c r="AQ628" i="1"/>
  <c r="AQ635" i="1" s="1"/>
  <c r="AQ651" i="1" s="1"/>
  <c r="AQ617" i="1"/>
  <c r="AQ619" i="1" s="1"/>
  <c r="AN1113" i="1" l="1"/>
  <c r="AN1130" i="1" s="1"/>
  <c r="AN22" i="7" s="1"/>
  <c r="AN35" i="7" s="1"/>
  <c r="AN36" i="12"/>
  <c r="AN133" i="12" s="1"/>
  <c r="AQ414" i="1"/>
  <c r="AQ652" i="1"/>
  <c r="AZ121" i="5"/>
  <c r="AZ124" i="5" s="1"/>
  <c r="AP684" i="1"/>
  <c r="AP694" i="1"/>
  <c r="AP695" i="1" s="1"/>
  <c r="AR378" i="1"/>
  <c r="AR379" i="1"/>
  <c r="AP1123" i="1"/>
  <c r="I619" i="1"/>
  <c r="F619" i="1"/>
  <c r="F1172" i="1" s="1"/>
  <c r="AQ802" i="1"/>
  <c r="AQ831" i="1"/>
  <c r="AQ785" i="1"/>
  <c r="AQ787" i="1" s="1"/>
  <c r="AQ909" i="1" s="1"/>
  <c r="AQ782" i="1"/>
  <c r="AQ521" i="1"/>
  <c r="AQ522" i="1" s="1"/>
  <c r="AR517" i="1" s="1"/>
  <c r="AP834" i="1"/>
  <c r="AQ830" i="1" s="1"/>
  <c r="AR368" i="1"/>
  <c r="AR370" i="1" s="1"/>
  <c r="AR1110" i="1" s="1"/>
  <c r="AR1127" i="1" s="1"/>
  <c r="AR19" i="7" s="1"/>
  <c r="AR33" i="7" s="1"/>
  <c r="AR364" i="1"/>
  <c r="AR352" i="1"/>
  <c r="AP908" i="1"/>
  <c r="AO1067" i="1"/>
  <c r="AO1069" i="1" s="1"/>
  <c r="AO1091" i="1"/>
  <c r="AO1055" i="1"/>
  <c r="AO1056" i="1" s="1"/>
  <c r="AO1058" i="1" s="1"/>
  <c r="AO1059" i="1" s="1"/>
  <c r="AO1073" i="1" s="1"/>
  <c r="AD905" i="1"/>
  <c r="AD879" i="1"/>
  <c r="AP685" i="1"/>
  <c r="AP699" i="1"/>
  <c r="AP700" i="1" s="1"/>
  <c r="AC17" i="7"/>
  <c r="AC31" i="7" s="1"/>
  <c r="AO908" i="1"/>
  <c r="AO709" i="1"/>
  <c r="AN220" i="12" l="1"/>
  <c r="AN233" i="12" s="1"/>
  <c r="AN288" i="12" s="1"/>
  <c r="AN188" i="12"/>
  <c r="AQ415" i="1"/>
  <c r="AQ1095" i="1"/>
  <c r="AD910" i="1"/>
  <c r="AD912" i="1" s="1"/>
  <c r="AP705" i="1"/>
  <c r="AP889" i="1"/>
  <c r="AP849" i="1"/>
  <c r="AP1003" i="1"/>
  <c r="AR518" i="1"/>
  <c r="AR353" i="1"/>
  <c r="AR363" i="1" s="1"/>
  <c r="AR366" i="1" s="1"/>
  <c r="AR395" i="1"/>
  <c r="AR460" i="1"/>
  <c r="AR465" i="1" s="1"/>
  <c r="AR494" i="1" s="1"/>
  <c r="AR399" i="1"/>
  <c r="AR872" i="1" s="1"/>
  <c r="AR907" i="1" s="1"/>
  <c r="AO1074" i="1"/>
  <c r="AR459" i="1"/>
  <c r="AR464" i="1" s="1"/>
  <c r="AR470" i="1" s="1"/>
  <c r="AR471" i="1" s="1"/>
  <c r="AR495" i="1" s="1"/>
  <c r="AR398" i="1"/>
  <c r="AR394" i="1"/>
  <c r="AP1041" i="1"/>
  <c r="AP1045" i="1" s="1"/>
  <c r="AP704" i="1"/>
  <c r="AP686" i="1"/>
  <c r="AD884" i="1"/>
  <c r="AE878" i="1"/>
  <c r="AQ537" i="1"/>
  <c r="AQ533" i="1"/>
  <c r="AQ534" i="1" s="1"/>
  <c r="AQ676" i="1"/>
  <c r="AQ586" i="1"/>
  <c r="AQ825" i="1"/>
  <c r="AQ813" i="1"/>
  <c r="AQ816" i="1" s="1"/>
  <c r="AP15" i="7"/>
  <c r="AP29" i="7" s="1"/>
  <c r="AO850" i="1" l="1"/>
  <c r="AO906" i="1"/>
  <c r="AQ39" i="12"/>
  <c r="AQ136" i="12" s="1"/>
  <c r="AQ1158" i="1"/>
  <c r="AP709" i="1"/>
  <c r="AR354" i="1"/>
  <c r="AS348" i="1" s="1"/>
  <c r="AS350" i="1" s="1"/>
  <c r="AR499" i="1"/>
  <c r="AR519" i="1" s="1"/>
  <c r="AR520" i="1" s="1"/>
  <c r="AR521" i="1" s="1"/>
  <c r="AR586" i="1" s="1"/>
  <c r="AP1091" i="1"/>
  <c r="AP1067" i="1"/>
  <c r="AP1069" i="1" s="1"/>
  <c r="AP1055" i="1"/>
  <c r="AP1056" i="1" s="1"/>
  <c r="AP1058" i="1" s="1"/>
  <c r="AP1059" i="1" s="1"/>
  <c r="AP1073" i="1" s="1"/>
  <c r="AQ543" i="1"/>
  <c r="AQ544" i="1" s="1"/>
  <c r="AD1008" i="1"/>
  <c r="AD1107" i="1"/>
  <c r="AD915" i="1"/>
  <c r="AD920" i="1" s="1"/>
  <c r="AD928" i="1" s="1"/>
  <c r="AD929" i="1" s="1"/>
  <c r="AR393" i="1"/>
  <c r="AR1044" i="1" s="1"/>
  <c r="AR372" i="1"/>
  <c r="AR411" i="1" s="1"/>
  <c r="AR397" i="1"/>
  <c r="AR1006" i="1" s="1"/>
  <c r="AQ820" i="1"/>
  <c r="AR812" i="1"/>
  <c r="AR786" i="1"/>
  <c r="AR780" i="1"/>
  <c r="AR781" i="1" s="1"/>
  <c r="AO1075" i="1"/>
  <c r="AO1076" i="1" s="1"/>
  <c r="AO1077" i="1" s="1"/>
  <c r="AP1072" i="1" s="1"/>
  <c r="AQ587" i="1"/>
  <c r="AQ592" i="1" s="1"/>
  <c r="AQ593" i="1" s="1"/>
  <c r="AQ602" i="1" s="1"/>
  <c r="AR603" i="1" s="1"/>
  <c r="AQ682" i="1"/>
  <c r="AQ655" i="1"/>
  <c r="AQ191" i="12" l="1"/>
  <c r="AQ223" i="12"/>
  <c r="AQ236" i="12" s="1"/>
  <c r="AQ291" i="12" s="1"/>
  <c r="AR414" i="1"/>
  <c r="AR676" i="1"/>
  <c r="AR533" i="1"/>
  <c r="AR534" i="1" s="1"/>
  <c r="AR682" i="1" s="1"/>
  <c r="AR537" i="1"/>
  <c r="AR543" i="1" s="1"/>
  <c r="AR522" i="1"/>
  <c r="AS517" i="1" s="1"/>
  <c r="AS518" i="1" s="1"/>
  <c r="AP1074" i="1"/>
  <c r="AP906" i="1" s="1"/>
  <c r="AQ678" i="1"/>
  <c r="AQ698" i="1"/>
  <c r="AQ677" i="1"/>
  <c r="AQ693" i="1"/>
  <c r="AO1081" i="1"/>
  <c r="AO1080" i="1"/>
  <c r="AO1092" i="1" s="1"/>
  <c r="AO1093" i="1" s="1"/>
  <c r="AD1124" i="1"/>
  <c r="AR612" i="1"/>
  <c r="AR614" i="1"/>
  <c r="AR613" i="1"/>
  <c r="BA133" i="5"/>
  <c r="AR615" i="1"/>
  <c r="AR611" i="1"/>
  <c r="AE925" i="1"/>
  <c r="AD932" i="1"/>
  <c r="AQ657" i="1"/>
  <c r="AQ656" i="1"/>
  <c r="AR802" i="1"/>
  <c r="AR831" i="1"/>
  <c r="AR785" i="1"/>
  <c r="AR787" i="1" s="1"/>
  <c r="AR909" i="1" s="1"/>
  <c r="AR782" i="1"/>
  <c r="AQ832" i="1"/>
  <c r="AQ834" i="1" s="1"/>
  <c r="AR830" i="1" s="1"/>
  <c r="AQ837" i="1"/>
  <c r="AQ839" i="1" s="1"/>
  <c r="AQ869" i="1" s="1"/>
  <c r="AS351" i="1"/>
  <c r="AS376" i="1"/>
  <c r="AP1075" i="1" l="1"/>
  <c r="AP1076" i="1" s="1"/>
  <c r="AP1081" i="1" s="1"/>
  <c r="AP1007" i="1" s="1"/>
  <c r="AP850" i="1"/>
  <c r="AO1097" i="1"/>
  <c r="AO1157" i="1" s="1"/>
  <c r="AR415" i="1"/>
  <c r="AR1095" i="1"/>
  <c r="AO1007" i="1"/>
  <c r="AR587" i="1"/>
  <c r="AR592" i="1" s="1"/>
  <c r="AR593" i="1" s="1"/>
  <c r="AR602" i="1" s="1"/>
  <c r="AS603" i="1" s="1"/>
  <c r="AS614" i="1" s="1"/>
  <c r="AR655" i="1"/>
  <c r="AR693" i="1"/>
  <c r="AR677" i="1"/>
  <c r="AQ683" i="1"/>
  <c r="AQ1106" i="1"/>
  <c r="AQ708" i="1"/>
  <c r="AS378" i="1"/>
  <c r="AS379" i="1"/>
  <c r="AD1009" i="1"/>
  <c r="AD1011" i="1" s="1"/>
  <c r="AD1108" i="1"/>
  <c r="AD938" i="1"/>
  <c r="AE939" i="1" s="1"/>
  <c r="AD16" i="7"/>
  <c r="AD30" i="7" s="1"/>
  <c r="AR628" i="1"/>
  <c r="AR635" i="1" s="1"/>
  <c r="AR651" i="1" s="1"/>
  <c r="AR617" i="1"/>
  <c r="AQ679" i="1"/>
  <c r="AQ908" i="1"/>
  <c r="AQ666" i="1"/>
  <c r="AQ665" i="1"/>
  <c r="AS368" i="1"/>
  <c r="AS370" i="1" s="1"/>
  <c r="AS1110" i="1" s="1"/>
  <c r="AS1127" i="1" s="1"/>
  <c r="AS19" i="7" s="1"/>
  <c r="AS33" i="7" s="1"/>
  <c r="AS364" i="1"/>
  <c r="AS352" i="1"/>
  <c r="AR825" i="1"/>
  <c r="AR813" i="1"/>
  <c r="AR816" i="1" s="1"/>
  <c r="AE926" i="1"/>
  <c r="AR544" i="1"/>
  <c r="AP1077" i="1" l="1"/>
  <c r="AQ1072" i="1" s="1"/>
  <c r="AP1080" i="1"/>
  <c r="AP1092" i="1" s="1"/>
  <c r="AP1093" i="1" s="1"/>
  <c r="AP1097" i="1" s="1"/>
  <c r="AP1157" i="1" s="1"/>
  <c r="AO36" i="12"/>
  <c r="AO133" i="12" s="1"/>
  <c r="AO188" i="12" s="1"/>
  <c r="AO1113" i="1"/>
  <c r="AO1130" i="1" s="1"/>
  <c r="AO22" i="7" s="1"/>
  <c r="AO35" i="7" s="1"/>
  <c r="AR39" i="12"/>
  <c r="AR136" i="12" s="1"/>
  <c r="AR1158" i="1"/>
  <c r="AR652" i="1"/>
  <c r="AR657" i="1" s="1"/>
  <c r="BA121" i="5"/>
  <c r="BA124" i="5" s="1"/>
  <c r="AS615" i="1"/>
  <c r="BB133" i="5"/>
  <c r="AR656" i="1"/>
  <c r="AR708" i="1" s="1"/>
  <c r="AS612" i="1"/>
  <c r="AS613" i="1"/>
  <c r="AS611" i="1"/>
  <c r="AD1012" i="1"/>
  <c r="AR678" i="1"/>
  <c r="AR679" i="1" s="1"/>
  <c r="AR698" i="1"/>
  <c r="AS353" i="1"/>
  <c r="AS363" i="1" s="1"/>
  <c r="AS366" i="1" s="1"/>
  <c r="AQ684" i="1"/>
  <c r="AQ694" i="1"/>
  <c r="AQ695" i="1" s="1"/>
  <c r="AS460" i="1"/>
  <c r="AS465" i="1" s="1"/>
  <c r="AS494" i="1" s="1"/>
  <c r="AS399" i="1"/>
  <c r="AS872" i="1" s="1"/>
  <c r="AS907" i="1" s="1"/>
  <c r="AS395" i="1"/>
  <c r="AQ1123" i="1"/>
  <c r="AQ699" i="1"/>
  <c r="AQ700" i="1" s="1"/>
  <c r="AQ685" i="1"/>
  <c r="AE899" i="1"/>
  <c r="AE900" i="1" s="1"/>
  <c r="AE902" i="1" s="1"/>
  <c r="AE927" i="1" s="1"/>
  <c r="AE874" i="1"/>
  <c r="AE875" i="1" s="1"/>
  <c r="AE877" i="1" s="1"/>
  <c r="AS394" i="1"/>
  <c r="AS398" i="1"/>
  <c r="AS459" i="1"/>
  <c r="AS464" i="1" s="1"/>
  <c r="AS470" i="1" s="1"/>
  <c r="AS471" i="1" s="1"/>
  <c r="AS495" i="1" s="1"/>
  <c r="AR820" i="1"/>
  <c r="AS812" i="1"/>
  <c r="AD1125" i="1"/>
  <c r="AO220" i="12" l="1"/>
  <c r="AO233" i="12" s="1"/>
  <c r="AO288" i="12" s="1"/>
  <c r="AR223" i="12"/>
  <c r="AR236" i="12" s="1"/>
  <c r="AR291" i="12" s="1"/>
  <c r="AR191" i="12"/>
  <c r="AP1113" i="1"/>
  <c r="AP1130" i="1" s="1"/>
  <c r="AP22" i="7" s="1"/>
  <c r="AP35" i="7" s="1"/>
  <c r="AP36" i="12"/>
  <c r="AP133" i="12" s="1"/>
  <c r="AP188" i="12" s="1"/>
  <c r="AR666" i="1"/>
  <c r="AR694" i="1" s="1"/>
  <c r="AR695" i="1" s="1"/>
  <c r="AR665" i="1"/>
  <c r="AR685" i="1" s="1"/>
  <c r="AR683" i="1"/>
  <c r="AR1106" i="1"/>
  <c r="AR1123" i="1" s="1"/>
  <c r="AS617" i="1"/>
  <c r="AS628" i="1"/>
  <c r="AS635" i="1" s="1"/>
  <c r="AS651" i="1" s="1"/>
  <c r="AS354" i="1"/>
  <c r="AT348" i="1" s="1"/>
  <c r="AT350" i="1" s="1"/>
  <c r="AQ686" i="1"/>
  <c r="AQ889" i="1"/>
  <c r="AQ705" i="1"/>
  <c r="AQ849" i="1"/>
  <c r="AQ1003" i="1"/>
  <c r="AQ15" i="7"/>
  <c r="AQ29" i="7" s="1"/>
  <c r="AD17" i="7"/>
  <c r="AD31" i="7" s="1"/>
  <c r="AS397" i="1"/>
  <c r="AS1006" i="1" s="1"/>
  <c r="AS372" i="1"/>
  <c r="AS411" i="1" s="1"/>
  <c r="AS393" i="1"/>
  <c r="AS1044" i="1" s="1"/>
  <c r="AS499" i="1"/>
  <c r="AS519" i="1" s="1"/>
  <c r="AS520" i="1" s="1"/>
  <c r="AS786" i="1"/>
  <c r="AS780" i="1"/>
  <c r="AS781" i="1" s="1"/>
  <c r="AR837" i="1"/>
  <c r="AR839" i="1" s="1"/>
  <c r="AR869" i="1" s="1"/>
  <c r="AR832" i="1"/>
  <c r="AR834" i="1" s="1"/>
  <c r="AS830" i="1" s="1"/>
  <c r="AE905" i="1"/>
  <c r="AE879" i="1"/>
  <c r="AQ704" i="1"/>
  <c r="AQ1041" i="1"/>
  <c r="AQ1045" i="1" s="1"/>
  <c r="AD1031" i="1"/>
  <c r="AP220" i="12" l="1"/>
  <c r="AP233" i="12" s="1"/>
  <c r="AP288" i="12" s="1"/>
  <c r="AS414" i="1"/>
  <c r="AE910" i="1"/>
  <c r="AE912" i="1" s="1"/>
  <c r="AR699" i="1"/>
  <c r="AR700" i="1" s="1"/>
  <c r="AR705" i="1" s="1"/>
  <c r="AR684" i="1"/>
  <c r="AR686" i="1" s="1"/>
  <c r="AS652" i="1"/>
  <c r="BB121" i="5"/>
  <c r="BB124" i="5" s="1"/>
  <c r="AQ709" i="1"/>
  <c r="AS521" i="1"/>
  <c r="AS522" i="1" s="1"/>
  <c r="AT517" i="1" s="1"/>
  <c r="AT351" i="1"/>
  <c r="AT376" i="1"/>
  <c r="AF878" i="1"/>
  <c r="AE884" i="1"/>
  <c r="AR1041" i="1"/>
  <c r="AR1045" i="1" s="1"/>
  <c r="AR704" i="1"/>
  <c r="AQ1067" i="1"/>
  <c r="AQ1069" i="1" s="1"/>
  <c r="AQ1055" i="1"/>
  <c r="AQ1056" i="1" s="1"/>
  <c r="AQ1058" i="1" s="1"/>
  <c r="AQ1059" i="1" s="1"/>
  <c r="AQ1073" i="1" s="1"/>
  <c r="AQ1091" i="1"/>
  <c r="AR908" i="1"/>
  <c r="AS802" i="1"/>
  <c r="AS785" i="1"/>
  <c r="AS787" i="1" s="1"/>
  <c r="AS909" i="1" s="1"/>
  <c r="AS831" i="1"/>
  <c r="AS782" i="1"/>
  <c r="AR15" i="7"/>
  <c r="AR29" i="7" s="1"/>
  <c r="AS415" i="1" l="1"/>
  <c r="AS1095" i="1"/>
  <c r="AR1003" i="1"/>
  <c r="AR849" i="1"/>
  <c r="AR889" i="1"/>
  <c r="AR709" i="1"/>
  <c r="AT518" i="1"/>
  <c r="AR1067" i="1"/>
  <c r="AR1069" i="1" s="1"/>
  <c r="AR1055" i="1"/>
  <c r="AR1056" i="1" s="1"/>
  <c r="AR1058" i="1" s="1"/>
  <c r="AR1059" i="1" s="1"/>
  <c r="AR1073" i="1" s="1"/>
  <c r="AR1091" i="1"/>
  <c r="AS813" i="1"/>
  <c r="AS816" i="1" s="1"/>
  <c r="AS825" i="1"/>
  <c r="AQ1074" i="1"/>
  <c r="AQ906" i="1" s="1"/>
  <c r="AT379" i="1"/>
  <c r="AT378" i="1"/>
  <c r="AE1008" i="1"/>
  <c r="AE915" i="1"/>
  <c r="AE920" i="1" s="1"/>
  <c r="AE928" i="1" s="1"/>
  <c r="AE929" i="1" s="1"/>
  <c r="AE1107" i="1"/>
  <c r="AT364" i="1"/>
  <c r="AT368" i="1"/>
  <c r="AT370" i="1" s="1"/>
  <c r="AT1110" i="1" s="1"/>
  <c r="AT1127" i="1" s="1"/>
  <c r="AT19" i="7" s="1"/>
  <c r="AT33" i="7" s="1"/>
  <c r="AT352" i="1"/>
  <c r="AS533" i="1"/>
  <c r="AS534" i="1" s="1"/>
  <c r="AS586" i="1"/>
  <c r="AS676" i="1"/>
  <c r="AS537" i="1"/>
  <c r="AQ1075" i="1" l="1"/>
  <c r="AQ1076" i="1" s="1"/>
  <c r="AQ1081" i="1" s="1"/>
  <c r="AQ850" i="1"/>
  <c r="AS39" i="12"/>
  <c r="AS136" i="12" s="1"/>
  <c r="AS1158" i="1"/>
  <c r="AS682" i="1"/>
  <c r="AS587" i="1"/>
  <c r="AS592" i="1" s="1"/>
  <c r="AS593" i="1" s="1"/>
  <c r="AS602" i="1" s="1"/>
  <c r="AT603" i="1" s="1"/>
  <c r="AS655" i="1"/>
  <c r="AE1124" i="1"/>
  <c r="AT398" i="1"/>
  <c r="AT394" i="1"/>
  <c r="AT459" i="1"/>
  <c r="AT464" i="1" s="1"/>
  <c r="AT470" i="1" s="1"/>
  <c r="AT471" i="1" s="1"/>
  <c r="AT495" i="1" s="1"/>
  <c r="AS820" i="1"/>
  <c r="AT812" i="1"/>
  <c r="AS543" i="1"/>
  <c r="AS544" i="1" s="1"/>
  <c r="AT353" i="1"/>
  <c r="AT363" i="1" s="1"/>
  <c r="AT366" i="1" s="1"/>
  <c r="AF925" i="1"/>
  <c r="AF926" i="1" s="1"/>
  <c r="AE932" i="1"/>
  <c r="AT399" i="1"/>
  <c r="AT872" i="1" s="1"/>
  <c r="AT907" i="1" s="1"/>
  <c r="AT395" i="1"/>
  <c r="AT460" i="1"/>
  <c r="AT465" i="1" s="1"/>
  <c r="AT494" i="1" s="1"/>
  <c r="AQ1077" i="1" l="1"/>
  <c r="AR1072" i="1" s="1"/>
  <c r="AR1074" i="1" s="1"/>
  <c r="AR906" i="1" s="1"/>
  <c r="AQ1080" i="1"/>
  <c r="AQ1092" i="1" s="1"/>
  <c r="AQ1093" i="1" s="1"/>
  <c r="AQ1097" i="1" s="1"/>
  <c r="AQ1157" i="1" s="1"/>
  <c r="AQ1007" i="1"/>
  <c r="AS191" i="12"/>
  <c r="AS223" i="12"/>
  <c r="AS236" i="12" s="1"/>
  <c r="AS291" i="12" s="1"/>
  <c r="AT354" i="1"/>
  <c r="AU348" i="1" s="1"/>
  <c r="AU350" i="1" s="1"/>
  <c r="AT499" i="1"/>
  <c r="AT519" i="1" s="1"/>
  <c r="AT520" i="1" s="1"/>
  <c r="AT521" i="1" s="1"/>
  <c r="AT522" i="1" s="1"/>
  <c r="AU517" i="1" s="1"/>
  <c r="AT614" i="1"/>
  <c r="AT611" i="1"/>
  <c r="AT612" i="1"/>
  <c r="AT613" i="1"/>
  <c r="AT615" i="1"/>
  <c r="BC133" i="5"/>
  <c r="AS832" i="1"/>
  <c r="AS834" i="1" s="1"/>
  <c r="AT830" i="1" s="1"/>
  <c r="AS837" i="1"/>
  <c r="AS839" i="1" s="1"/>
  <c r="AS869" i="1" s="1"/>
  <c r="AE1108" i="1"/>
  <c r="AE938" i="1"/>
  <c r="AF939" i="1" s="1"/>
  <c r="AE1009" i="1"/>
  <c r="AE1011" i="1" s="1"/>
  <c r="AS698" i="1"/>
  <c r="AS678" i="1"/>
  <c r="AE16" i="7"/>
  <c r="AE30" i="7" s="1"/>
  <c r="AT780" i="1"/>
  <c r="AT781" i="1" s="1"/>
  <c r="AT786" i="1"/>
  <c r="AT393" i="1"/>
  <c r="AT1044" i="1" s="1"/>
  <c r="AT372" i="1"/>
  <c r="AT411" i="1" s="1"/>
  <c r="AT397" i="1"/>
  <c r="AT1006" i="1" s="1"/>
  <c r="AS677" i="1"/>
  <c r="AS693" i="1"/>
  <c r="AS657" i="1"/>
  <c r="AS656" i="1"/>
  <c r="AR1075" i="1" l="1"/>
  <c r="AR1076" i="1" s="1"/>
  <c r="AR1081" i="1" s="1"/>
  <c r="AR1007" i="1" s="1"/>
  <c r="AR850" i="1"/>
  <c r="AQ36" i="12"/>
  <c r="AQ133" i="12" s="1"/>
  <c r="AQ188" i="12" s="1"/>
  <c r="AQ1113" i="1"/>
  <c r="AQ1130" i="1" s="1"/>
  <c r="AQ22" i="7" s="1"/>
  <c r="AQ35" i="7" s="1"/>
  <c r="AT414" i="1"/>
  <c r="AT586" i="1"/>
  <c r="AT676" i="1"/>
  <c r="AT537" i="1"/>
  <c r="AT543" i="1" s="1"/>
  <c r="AT533" i="1"/>
  <c r="AT534" i="1" s="1"/>
  <c r="AT682" i="1" s="1"/>
  <c r="AS908" i="1"/>
  <c r="AT802" i="1"/>
  <c r="AT831" i="1"/>
  <c r="AT785" i="1"/>
  <c r="AT787" i="1" s="1"/>
  <c r="AT909" i="1" s="1"/>
  <c r="AT782" i="1"/>
  <c r="AT628" i="1"/>
  <c r="AT635" i="1" s="1"/>
  <c r="AT651" i="1" s="1"/>
  <c r="AT617" i="1"/>
  <c r="AE1012" i="1"/>
  <c r="AS666" i="1"/>
  <c r="AS665" i="1"/>
  <c r="AE1125" i="1"/>
  <c r="AS683" i="1"/>
  <c r="AS1106" i="1"/>
  <c r="AS708" i="1"/>
  <c r="AS679" i="1"/>
  <c r="AF899" i="1"/>
  <c r="AF900" i="1" s="1"/>
  <c r="AF902" i="1" s="1"/>
  <c r="AF927" i="1" s="1"/>
  <c r="AF874" i="1"/>
  <c r="AF875" i="1" s="1"/>
  <c r="AF877" i="1" s="1"/>
  <c r="AU376" i="1"/>
  <c r="AU351" i="1"/>
  <c r="AU518" i="1"/>
  <c r="AR1077" i="1" l="1"/>
  <c r="AS1072" i="1" s="1"/>
  <c r="AR1080" i="1"/>
  <c r="AR1092" i="1" s="1"/>
  <c r="AR1093" i="1" s="1"/>
  <c r="AR1097" i="1" s="1"/>
  <c r="AR1157" i="1" s="1"/>
  <c r="AQ220" i="12"/>
  <c r="AQ233" i="12" s="1"/>
  <c r="AQ288" i="12" s="1"/>
  <c r="AT415" i="1"/>
  <c r="AT1095" i="1"/>
  <c r="AT652" i="1"/>
  <c r="BC121" i="5"/>
  <c r="BC124" i="5" s="1"/>
  <c r="AT655" i="1"/>
  <c r="AT656" i="1" s="1"/>
  <c r="AT587" i="1"/>
  <c r="AT592" i="1" s="1"/>
  <c r="AT593" i="1" s="1"/>
  <c r="AT602" i="1" s="1"/>
  <c r="AU603" i="1" s="1"/>
  <c r="BD133" i="5" s="1"/>
  <c r="AF905" i="1"/>
  <c r="AF879" i="1"/>
  <c r="AE17" i="7"/>
  <c r="AE31" i="7" s="1"/>
  <c r="AE1031" i="1"/>
  <c r="AT677" i="1"/>
  <c r="AT693" i="1"/>
  <c r="AT813" i="1"/>
  <c r="AT816" i="1" s="1"/>
  <c r="AT825" i="1"/>
  <c r="AS1123" i="1"/>
  <c r="AS699" i="1"/>
  <c r="AS700" i="1" s="1"/>
  <c r="AS685" i="1"/>
  <c r="AU368" i="1"/>
  <c r="AU370" i="1" s="1"/>
  <c r="AU1110" i="1" s="1"/>
  <c r="AU1127" i="1" s="1"/>
  <c r="AU19" i="7" s="1"/>
  <c r="AU33" i="7" s="1"/>
  <c r="AU364" i="1"/>
  <c r="AS684" i="1"/>
  <c r="AS694" i="1"/>
  <c r="AS695" i="1" s="1"/>
  <c r="AU378" i="1"/>
  <c r="AU379" i="1"/>
  <c r="AT544" i="1"/>
  <c r="AU352" i="1"/>
  <c r="AR1113" i="1" l="1"/>
  <c r="AR1130" i="1" s="1"/>
  <c r="AR22" i="7" s="1"/>
  <c r="AR35" i="7" s="1"/>
  <c r="AR36" i="12"/>
  <c r="AR133" i="12" s="1"/>
  <c r="AR220" i="12" s="1"/>
  <c r="AR233" i="12" s="1"/>
  <c r="AR288" i="12" s="1"/>
  <c r="AT39" i="12"/>
  <c r="AT136" i="12" s="1"/>
  <c r="AT1158" i="1"/>
  <c r="AF910" i="1"/>
  <c r="AF912" i="1" s="1"/>
  <c r="AT657" i="1"/>
  <c r="AT665" i="1" s="1"/>
  <c r="AU611" i="1"/>
  <c r="AU615" i="1"/>
  <c r="AU613" i="1"/>
  <c r="AU614" i="1"/>
  <c r="AU612" i="1"/>
  <c r="AS686" i="1"/>
  <c r="AS704" i="1"/>
  <c r="AS1041" i="1"/>
  <c r="AS1045" i="1" s="1"/>
  <c r="AU812" i="1"/>
  <c r="AT820" i="1"/>
  <c r="AU353" i="1"/>
  <c r="AU363" i="1" s="1"/>
  <c r="AU366" i="1" s="1"/>
  <c r="AT678" i="1"/>
  <c r="AT679" i="1" s="1"/>
  <c r="AT698" i="1"/>
  <c r="AS889" i="1"/>
  <c r="AS849" i="1"/>
  <c r="AS1003" i="1"/>
  <c r="AS705" i="1"/>
  <c r="AS15" i="7"/>
  <c r="AS29" i="7" s="1"/>
  <c r="AT708" i="1"/>
  <c r="AT683" i="1"/>
  <c r="AT1106" i="1"/>
  <c r="AU395" i="1"/>
  <c r="AU460" i="1"/>
  <c r="AU465" i="1" s="1"/>
  <c r="AU494" i="1" s="1"/>
  <c r="AU399" i="1"/>
  <c r="AU872" i="1" s="1"/>
  <c r="AU907" i="1" s="1"/>
  <c r="AU459" i="1"/>
  <c r="AU464" i="1" s="1"/>
  <c r="AU470" i="1" s="1"/>
  <c r="AU471" i="1" s="1"/>
  <c r="AU495" i="1" s="1"/>
  <c r="AU398" i="1"/>
  <c r="AU394" i="1"/>
  <c r="AF884" i="1"/>
  <c r="AG878" i="1"/>
  <c r="AR188" i="12" l="1"/>
  <c r="AT223" i="12"/>
  <c r="AT236" i="12" s="1"/>
  <c r="AT291" i="12" s="1"/>
  <c r="AT191" i="12"/>
  <c r="AT666" i="1"/>
  <c r="AT694" i="1" s="1"/>
  <c r="AT695" i="1" s="1"/>
  <c r="AU617" i="1"/>
  <c r="AU628" i="1"/>
  <c r="AU635" i="1" s="1"/>
  <c r="AU651" i="1" s="1"/>
  <c r="AU354" i="1"/>
  <c r="AV348" i="1" s="1"/>
  <c r="AV350" i="1" s="1"/>
  <c r="AT832" i="1"/>
  <c r="AT834" i="1" s="1"/>
  <c r="AU830" i="1" s="1"/>
  <c r="AT837" i="1"/>
  <c r="AT839" i="1" s="1"/>
  <c r="AT869" i="1" s="1"/>
  <c r="AU780" i="1"/>
  <c r="AU781" i="1" s="1"/>
  <c r="AU786" i="1"/>
  <c r="AT1123" i="1"/>
  <c r="AU499" i="1"/>
  <c r="AU519" i="1" s="1"/>
  <c r="AU520" i="1" s="1"/>
  <c r="AS1091" i="1"/>
  <c r="AS1067" i="1"/>
  <c r="AS1069" i="1" s="1"/>
  <c r="AS1055" i="1"/>
  <c r="AS1056" i="1" s="1"/>
  <c r="AS1058" i="1" s="1"/>
  <c r="AS1059" i="1" s="1"/>
  <c r="AS1073" i="1" s="1"/>
  <c r="AF1107" i="1"/>
  <c r="AF1008" i="1"/>
  <c r="AF915" i="1"/>
  <c r="AF920" i="1" s="1"/>
  <c r="AF928" i="1" s="1"/>
  <c r="AF929" i="1" s="1"/>
  <c r="AT685" i="1"/>
  <c r="AT699" i="1"/>
  <c r="AT700" i="1" s="1"/>
  <c r="AU397" i="1"/>
  <c r="AU1006" i="1" s="1"/>
  <c r="AU372" i="1"/>
  <c r="AU411" i="1" s="1"/>
  <c r="AU393" i="1"/>
  <c r="AU1044" i="1" s="1"/>
  <c r="AS709" i="1"/>
  <c r="AU414" i="1" l="1"/>
  <c r="AU652" i="1"/>
  <c r="BD121" i="5"/>
  <c r="BD124" i="5" s="1"/>
  <c r="AT684" i="1"/>
  <c r="AT686" i="1" s="1"/>
  <c r="AT889" i="1"/>
  <c r="AT1003" i="1"/>
  <c r="AT849" i="1"/>
  <c r="AT705" i="1"/>
  <c r="AF1124" i="1"/>
  <c r="AS1074" i="1"/>
  <c r="AS906" i="1" s="1"/>
  <c r="AV376" i="1"/>
  <c r="AV351" i="1"/>
  <c r="AT15" i="7"/>
  <c r="AT29" i="7" s="1"/>
  <c r="AU521" i="1"/>
  <c r="AU522" i="1" s="1"/>
  <c r="AV517" i="1" s="1"/>
  <c r="AU802" i="1"/>
  <c r="AU831" i="1"/>
  <c r="AU785" i="1"/>
  <c r="AU787" i="1" s="1"/>
  <c r="AU909" i="1" s="1"/>
  <c r="AU782" i="1"/>
  <c r="AT704" i="1"/>
  <c r="AT1041" i="1"/>
  <c r="AT1045" i="1" s="1"/>
  <c r="AG925" i="1"/>
  <c r="AG926" i="1" s="1"/>
  <c r="AF932" i="1"/>
  <c r="AT908" i="1"/>
  <c r="AS1075" i="1" l="1"/>
  <c r="AS1076" i="1" s="1"/>
  <c r="AS1081" i="1" s="1"/>
  <c r="AS850" i="1"/>
  <c r="AU415" i="1"/>
  <c r="AU1095" i="1"/>
  <c r="AU537" i="1"/>
  <c r="AU533" i="1"/>
  <c r="AU534" i="1" s="1"/>
  <c r="AU586" i="1"/>
  <c r="AU676" i="1"/>
  <c r="AV378" i="1"/>
  <c r="AV379" i="1"/>
  <c r="AV518" i="1"/>
  <c r="AV368" i="1"/>
  <c r="AV370" i="1" s="1"/>
  <c r="AV1110" i="1" s="1"/>
  <c r="AV1127" i="1" s="1"/>
  <c r="AV19" i="7" s="1"/>
  <c r="AV33" i="7" s="1"/>
  <c r="AV364" i="1"/>
  <c r="AV352" i="1"/>
  <c r="AT1067" i="1"/>
  <c r="AT1069" i="1" s="1"/>
  <c r="AT1055" i="1"/>
  <c r="AT1056" i="1" s="1"/>
  <c r="AT1058" i="1" s="1"/>
  <c r="AT1059" i="1" s="1"/>
  <c r="AT1073" i="1" s="1"/>
  <c r="AT1091" i="1"/>
  <c r="AF1108" i="1"/>
  <c r="AF1009" i="1"/>
  <c r="AF1011" i="1" s="1"/>
  <c r="AF938" i="1"/>
  <c r="AG939" i="1" s="1"/>
  <c r="AT709" i="1"/>
  <c r="AU813" i="1"/>
  <c r="AU816" i="1" s="1"/>
  <c r="AU825" i="1"/>
  <c r="AF16" i="7"/>
  <c r="AF30" i="7" s="1"/>
  <c r="AS1007" i="1" l="1"/>
  <c r="AS1077" i="1"/>
  <c r="AT1072" i="1" s="1"/>
  <c r="AS1080" i="1"/>
  <c r="AS1092" i="1" s="1"/>
  <c r="AS1093" i="1" s="1"/>
  <c r="AS1097" i="1" s="1"/>
  <c r="AS1157" i="1" s="1"/>
  <c r="AU39" i="12"/>
  <c r="AU136" i="12" s="1"/>
  <c r="AU1158" i="1"/>
  <c r="AV460" i="1"/>
  <c r="AV465" i="1" s="1"/>
  <c r="AV494" i="1" s="1"/>
  <c r="AV399" i="1"/>
  <c r="AV872" i="1" s="1"/>
  <c r="AV907" i="1" s="1"/>
  <c r="AV395" i="1"/>
  <c r="AU587" i="1"/>
  <c r="AU592" i="1" s="1"/>
  <c r="AU593" i="1" s="1"/>
  <c r="AU602" i="1" s="1"/>
  <c r="AV603" i="1" s="1"/>
  <c r="AU682" i="1"/>
  <c r="AU655" i="1"/>
  <c r="AG899" i="1"/>
  <c r="AG900" i="1" s="1"/>
  <c r="AG902" i="1" s="1"/>
  <c r="AG927" i="1" s="1"/>
  <c r="AG874" i="1"/>
  <c r="AG875" i="1" s="1"/>
  <c r="AG877" i="1" s="1"/>
  <c r="AV353" i="1"/>
  <c r="AV363" i="1" s="1"/>
  <c r="AV366" i="1" s="1"/>
  <c r="AV394" i="1"/>
  <c r="AV398" i="1"/>
  <c r="AV459" i="1"/>
  <c r="AV464" i="1" s="1"/>
  <c r="AV470" i="1" s="1"/>
  <c r="AV471" i="1" s="1"/>
  <c r="AV495" i="1" s="1"/>
  <c r="AU543" i="1"/>
  <c r="AU544" i="1" s="1"/>
  <c r="AU820" i="1"/>
  <c r="AV812" i="1"/>
  <c r="AF1012" i="1"/>
  <c r="AT1074" i="1"/>
  <c r="AT906" i="1" s="1"/>
  <c r="AF1125" i="1"/>
  <c r="AT1075" i="1" l="1"/>
  <c r="AT1076" i="1" s="1"/>
  <c r="AT1081" i="1" s="1"/>
  <c r="AT1007" i="1" s="1"/>
  <c r="AT850" i="1"/>
  <c r="AS36" i="12"/>
  <c r="AS133" i="12" s="1"/>
  <c r="AS220" i="12" s="1"/>
  <c r="AS233" i="12" s="1"/>
  <c r="AS288" i="12" s="1"/>
  <c r="AS1113" i="1"/>
  <c r="AS1130" i="1" s="1"/>
  <c r="AS22" i="7" s="1"/>
  <c r="AS35" i="7" s="1"/>
  <c r="AU223" i="12"/>
  <c r="AU236" i="12" s="1"/>
  <c r="AU291" i="12" s="1"/>
  <c r="AU191" i="12"/>
  <c r="AV354" i="1"/>
  <c r="AW348" i="1" s="1"/>
  <c r="AW350" i="1" s="1"/>
  <c r="AU832" i="1"/>
  <c r="AU834" i="1" s="1"/>
  <c r="AV830" i="1" s="1"/>
  <c r="AU837" i="1"/>
  <c r="AU839" i="1" s="1"/>
  <c r="AU869" i="1" s="1"/>
  <c r="AF1031" i="1"/>
  <c r="AV786" i="1"/>
  <c r="AV780" i="1"/>
  <c r="AV781" i="1" s="1"/>
  <c r="AG905" i="1"/>
  <c r="AG879" i="1"/>
  <c r="AV614" i="1"/>
  <c r="AV613" i="1"/>
  <c r="AV611" i="1"/>
  <c r="BE133" i="5"/>
  <c r="AV612" i="1"/>
  <c r="AV615" i="1"/>
  <c r="AU678" i="1"/>
  <c r="AU698" i="1"/>
  <c r="AU693" i="1"/>
  <c r="AU677" i="1"/>
  <c r="AU656" i="1"/>
  <c r="AU657" i="1"/>
  <c r="AF17" i="7"/>
  <c r="AF31" i="7" s="1"/>
  <c r="AV393" i="1"/>
  <c r="AV1044" i="1" s="1"/>
  <c r="AV397" i="1"/>
  <c r="AV1006" i="1" s="1"/>
  <c r="AV372" i="1"/>
  <c r="AV411" i="1" s="1"/>
  <c r="AV499" i="1"/>
  <c r="AV519" i="1" s="1"/>
  <c r="AV520" i="1" s="1"/>
  <c r="AV521" i="1" s="1"/>
  <c r="AT1077" i="1" l="1"/>
  <c r="AU1072" i="1" s="1"/>
  <c r="AT1080" i="1"/>
  <c r="AT1092" i="1" s="1"/>
  <c r="AT1093" i="1" s="1"/>
  <c r="AT1097" i="1" s="1"/>
  <c r="AT1157" i="1" s="1"/>
  <c r="AS188" i="12"/>
  <c r="AV414" i="1"/>
  <c r="AV1095" i="1" s="1"/>
  <c r="AG910" i="1"/>
  <c r="AG912" i="1" s="1"/>
  <c r="AU679" i="1"/>
  <c r="AV522" i="1"/>
  <c r="AW517" i="1" s="1"/>
  <c r="AV676" i="1"/>
  <c r="AV586" i="1"/>
  <c r="AV533" i="1"/>
  <c r="AV534" i="1" s="1"/>
  <c r="AV537" i="1"/>
  <c r="AW376" i="1"/>
  <c r="AW351" i="1"/>
  <c r="AH878" i="1"/>
  <c r="AG884" i="1"/>
  <c r="AU666" i="1"/>
  <c r="AU665" i="1"/>
  <c r="AV617" i="1"/>
  <c r="AV628" i="1"/>
  <c r="AV635" i="1" s="1"/>
  <c r="AV651" i="1" s="1"/>
  <c r="AU908" i="1"/>
  <c r="AU1106" i="1"/>
  <c r="AU683" i="1"/>
  <c r="AU708" i="1"/>
  <c r="AV802" i="1"/>
  <c r="AV831" i="1"/>
  <c r="AV785" i="1"/>
  <c r="AV787" i="1" s="1"/>
  <c r="AV909" i="1" s="1"/>
  <c r="AV782" i="1"/>
  <c r="AV415" i="1" l="1"/>
  <c r="AV39" i="12" s="1"/>
  <c r="AV136" i="12" s="1"/>
  <c r="AT1113" i="1"/>
  <c r="AT1130" i="1" s="1"/>
  <c r="AT22" i="7" s="1"/>
  <c r="AT35" i="7" s="1"/>
  <c r="AT36" i="12"/>
  <c r="AT133" i="12" s="1"/>
  <c r="AT220" i="12" s="1"/>
  <c r="AT233" i="12" s="1"/>
  <c r="AT288" i="12" s="1"/>
  <c r="AV652" i="1"/>
  <c r="BE121" i="5"/>
  <c r="BE124" i="5" s="1"/>
  <c r="AW379" i="1"/>
  <c r="AW378" i="1"/>
  <c r="AV587" i="1"/>
  <c r="AV592" i="1" s="1"/>
  <c r="AV593" i="1" s="1"/>
  <c r="AV602" i="1" s="1"/>
  <c r="AW603" i="1" s="1"/>
  <c r="AV682" i="1"/>
  <c r="AV655" i="1"/>
  <c r="AU1123" i="1"/>
  <c r="AG915" i="1"/>
  <c r="AG920" i="1" s="1"/>
  <c r="AG928" i="1" s="1"/>
  <c r="AG929" i="1" s="1"/>
  <c r="AG1008" i="1"/>
  <c r="AG1107" i="1"/>
  <c r="AV825" i="1"/>
  <c r="AV813" i="1"/>
  <c r="AV816" i="1" s="1"/>
  <c r="AU699" i="1"/>
  <c r="AU700" i="1" s="1"/>
  <c r="AU685" i="1"/>
  <c r="AU684" i="1"/>
  <c r="AU694" i="1"/>
  <c r="AU695" i="1" s="1"/>
  <c r="AW364" i="1"/>
  <c r="AW368" i="1"/>
  <c r="AW370" i="1" s="1"/>
  <c r="AW1110" i="1" s="1"/>
  <c r="AW1127" i="1" s="1"/>
  <c r="AW19" i="7" s="1"/>
  <c r="AW33" i="7" s="1"/>
  <c r="AW352" i="1"/>
  <c r="AV543" i="1"/>
  <c r="AW518" i="1"/>
  <c r="AV1158" i="1" l="1"/>
  <c r="AV223" i="12"/>
  <c r="AV236" i="12" s="1"/>
  <c r="AV291" i="12" s="1"/>
  <c r="AV191" i="12"/>
  <c r="AT188" i="12"/>
  <c r="AU686" i="1"/>
  <c r="AU1041" i="1"/>
  <c r="AU1045" i="1" s="1"/>
  <c r="AU704" i="1"/>
  <c r="AG932" i="1"/>
  <c r="AH925" i="1"/>
  <c r="AV657" i="1"/>
  <c r="AV656" i="1"/>
  <c r="AW399" i="1"/>
  <c r="AW872" i="1" s="1"/>
  <c r="AW907" i="1" s="1"/>
  <c r="AW395" i="1"/>
  <c r="AW460" i="1"/>
  <c r="AW465" i="1" s="1"/>
  <c r="AW494" i="1" s="1"/>
  <c r="AV677" i="1"/>
  <c r="AV693" i="1"/>
  <c r="BF133" i="5"/>
  <c r="AW614" i="1"/>
  <c r="AW615" i="1"/>
  <c r="AW612" i="1"/>
  <c r="AW613" i="1"/>
  <c r="AW611" i="1"/>
  <c r="AW353" i="1"/>
  <c r="AW363" i="1" s="1"/>
  <c r="AW366" i="1" s="1"/>
  <c r="AV820" i="1"/>
  <c r="AW812" i="1"/>
  <c r="AU15" i="7"/>
  <c r="AU29" i="7" s="1"/>
  <c r="AW398" i="1"/>
  <c r="AW394" i="1"/>
  <c r="AW459" i="1"/>
  <c r="AW464" i="1" s="1"/>
  <c r="AW470" i="1" s="1"/>
  <c r="AW471" i="1" s="1"/>
  <c r="AW495" i="1" s="1"/>
  <c r="AV544" i="1"/>
  <c r="AU705" i="1"/>
  <c r="AU889" i="1"/>
  <c r="AU849" i="1"/>
  <c r="AU1003" i="1"/>
  <c r="AG1124" i="1"/>
  <c r="AW354" i="1" l="1"/>
  <c r="AX348" i="1" s="1"/>
  <c r="AX350" i="1" s="1"/>
  <c r="AU709" i="1"/>
  <c r="AV708" i="1"/>
  <c r="AV1106" i="1"/>
  <c r="AV683" i="1"/>
  <c r="AW628" i="1"/>
  <c r="AW635" i="1" s="1"/>
  <c r="AW651" i="1" s="1"/>
  <c r="AW617" i="1"/>
  <c r="AW499" i="1"/>
  <c r="AW519" i="1" s="1"/>
  <c r="AW520" i="1" s="1"/>
  <c r="AV666" i="1"/>
  <c r="AV665" i="1"/>
  <c r="AG16" i="7"/>
  <c r="AG30" i="7" s="1"/>
  <c r="AW786" i="1"/>
  <c r="AW780" i="1"/>
  <c r="AW781" i="1" s="1"/>
  <c r="AV832" i="1"/>
  <c r="AV834" i="1" s="1"/>
  <c r="AW830" i="1" s="1"/>
  <c r="AV837" i="1"/>
  <c r="AV839" i="1" s="1"/>
  <c r="AV869" i="1" s="1"/>
  <c r="AH926" i="1"/>
  <c r="AU1067" i="1"/>
  <c r="AU1069" i="1" s="1"/>
  <c r="AU1091" i="1"/>
  <c r="AU1055" i="1"/>
  <c r="AU1056" i="1" s="1"/>
  <c r="AU1058" i="1" s="1"/>
  <c r="AU1059" i="1" s="1"/>
  <c r="AU1073" i="1" s="1"/>
  <c r="AV678" i="1"/>
  <c r="AV679" i="1" s="1"/>
  <c r="AV698" i="1"/>
  <c r="AW397" i="1"/>
  <c r="AW1006" i="1" s="1"/>
  <c r="AW372" i="1"/>
  <c r="AW411" i="1" s="1"/>
  <c r="AW393" i="1"/>
  <c r="AW1044" i="1" s="1"/>
  <c r="AG938" i="1"/>
  <c r="AH939" i="1" s="1"/>
  <c r="AG1108" i="1"/>
  <c r="AG1009" i="1"/>
  <c r="AG1011" i="1" s="1"/>
  <c r="AW414" i="1" l="1"/>
  <c r="AW1095" i="1" s="1"/>
  <c r="BF121" i="5"/>
  <c r="BF124" i="5" s="1"/>
  <c r="AW652" i="1"/>
  <c r="AV908" i="1"/>
  <c r="AH874" i="1"/>
  <c r="AH875" i="1" s="1"/>
  <c r="AH877" i="1" s="1"/>
  <c r="AH899" i="1"/>
  <c r="AH900" i="1" s="1"/>
  <c r="AH902" i="1" s="1"/>
  <c r="AH927" i="1" s="1"/>
  <c r="AV699" i="1"/>
  <c r="AV700" i="1" s="1"/>
  <c r="AV685" i="1"/>
  <c r="AW802" i="1"/>
  <c r="AW785" i="1"/>
  <c r="AW787" i="1" s="1"/>
  <c r="AW909" i="1" s="1"/>
  <c r="AW831" i="1"/>
  <c r="AW782" i="1"/>
  <c r="AG1012" i="1"/>
  <c r="AU1074" i="1"/>
  <c r="AU906" i="1" s="1"/>
  <c r="AV684" i="1"/>
  <c r="AV694" i="1"/>
  <c r="AV695" i="1" s="1"/>
  <c r="AG1125" i="1"/>
  <c r="AW521" i="1"/>
  <c r="AW522" i="1" s="1"/>
  <c r="AX517" i="1" s="1"/>
  <c r="AV1123" i="1"/>
  <c r="AX376" i="1"/>
  <c r="AX351" i="1"/>
  <c r="F356" i="1"/>
  <c r="I350" i="1"/>
  <c r="I376" i="1" s="1"/>
  <c r="AU1075" i="1" l="1"/>
  <c r="AU1076" i="1" s="1"/>
  <c r="AU1081" i="1" s="1"/>
  <c r="AU1007" i="1" s="1"/>
  <c r="AU850" i="1"/>
  <c r="AW415" i="1"/>
  <c r="AW39" i="12" s="1"/>
  <c r="AW136" i="12" s="1"/>
  <c r="AW223" i="12" s="1"/>
  <c r="AW236" i="12" s="1"/>
  <c r="AW291" i="12" s="1"/>
  <c r="AV686" i="1"/>
  <c r="AX518" i="1"/>
  <c r="AV705" i="1"/>
  <c r="AV1003" i="1"/>
  <c r="AV849" i="1"/>
  <c r="AV889" i="1"/>
  <c r="AX364" i="1"/>
  <c r="AX368" i="1"/>
  <c r="AX370" i="1" s="1"/>
  <c r="F358" i="1"/>
  <c r="I351" i="1"/>
  <c r="AV704" i="1"/>
  <c r="AV1041" i="1"/>
  <c r="AV1045" i="1" s="1"/>
  <c r="AG1031" i="1"/>
  <c r="AH905" i="1"/>
  <c r="AH879" i="1"/>
  <c r="AW533" i="1"/>
  <c r="AW534" i="1" s="1"/>
  <c r="AW586" i="1"/>
  <c r="AW676" i="1"/>
  <c r="AW537" i="1"/>
  <c r="AW543" i="1" s="1"/>
  <c r="AX352" i="1"/>
  <c r="AV15" i="7"/>
  <c r="AV29" i="7" s="1"/>
  <c r="AG17" i="7"/>
  <c r="AG31" i="7" s="1"/>
  <c r="AX378" i="1"/>
  <c r="AX379" i="1"/>
  <c r="F381" i="1"/>
  <c r="AW825" i="1"/>
  <c r="AW813" i="1"/>
  <c r="AW816" i="1" s="1"/>
  <c r="AU1080" i="1" l="1"/>
  <c r="AU1092" i="1" s="1"/>
  <c r="AU1093" i="1" s="1"/>
  <c r="AU1097" i="1" s="1"/>
  <c r="AU1157" i="1" s="1"/>
  <c r="AU1077" i="1"/>
  <c r="AV1072" i="1" s="1"/>
  <c r="AW1158" i="1"/>
  <c r="AW191" i="12"/>
  <c r="AH910" i="1"/>
  <c r="AH912" i="1" s="1"/>
  <c r="AX812" i="1"/>
  <c r="AW820" i="1"/>
  <c r="I364" i="1"/>
  <c r="I368" i="1"/>
  <c r="AH884" i="1"/>
  <c r="AI878" i="1"/>
  <c r="AV1055" i="1"/>
  <c r="AV1056" i="1" s="1"/>
  <c r="AV1058" i="1" s="1"/>
  <c r="AV1059" i="1" s="1"/>
  <c r="AV1073" i="1" s="1"/>
  <c r="AV1091" i="1"/>
  <c r="AV1067" i="1"/>
  <c r="AV1069" i="1" s="1"/>
  <c r="AX1110" i="1"/>
  <c r="AX1127" i="1" s="1"/>
  <c r="I370" i="1"/>
  <c r="I1110" i="1" s="1"/>
  <c r="AX399" i="1"/>
  <c r="AX460" i="1"/>
  <c r="AX465" i="1" s="1"/>
  <c r="AX395" i="1"/>
  <c r="F383" i="1"/>
  <c r="F403" i="1" s="1"/>
  <c r="I379" i="1"/>
  <c r="I460" i="1" s="1"/>
  <c r="AX394" i="1"/>
  <c r="I394" i="1" s="1"/>
  <c r="AX398" i="1"/>
  <c r="AX459" i="1"/>
  <c r="AX464" i="1" s="1"/>
  <c r="F382" i="1"/>
  <c r="F402" i="1" s="1"/>
  <c r="I378" i="1"/>
  <c r="I459" i="1" s="1"/>
  <c r="AX353" i="1"/>
  <c r="AX354" i="1" s="1"/>
  <c r="AW587" i="1"/>
  <c r="AW592" i="1" s="1"/>
  <c r="AW593" i="1" s="1"/>
  <c r="AW602" i="1" s="1"/>
  <c r="AX603" i="1" s="1"/>
  <c r="AW682" i="1"/>
  <c r="AW655" i="1"/>
  <c r="AW544" i="1"/>
  <c r="AW677" i="1"/>
  <c r="AW693" i="1"/>
  <c r="AV709" i="1"/>
  <c r="I518" i="1"/>
  <c r="F524" i="1"/>
  <c r="AU1113" i="1" l="1"/>
  <c r="AU1130" i="1" s="1"/>
  <c r="AU22" i="7" s="1"/>
  <c r="AU35" i="7" s="1"/>
  <c r="AU36" i="12"/>
  <c r="AU133" i="12" s="1"/>
  <c r="AU188" i="12" s="1"/>
  <c r="AX613" i="1"/>
  <c r="I613" i="1" s="1"/>
  <c r="AX614" i="1"/>
  <c r="I614" i="1" s="1"/>
  <c r="AX615" i="1"/>
  <c r="I615" i="1" s="1"/>
  <c r="AX612" i="1"/>
  <c r="I612" i="1" s="1"/>
  <c r="BG133" i="5"/>
  <c r="AX611" i="1"/>
  <c r="AW656" i="1"/>
  <c r="AW657" i="1"/>
  <c r="AX363" i="1"/>
  <c r="AX366" i="1" s="1"/>
  <c r="I353" i="1"/>
  <c r="I363" i="1" s="1"/>
  <c r="F359" i="1"/>
  <c r="F360" i="1" s="1"/>
  <c r="F1167" i="1" s="1"/>
  <c r="AX780" i="1"/>
  <c r="AX781" i="1" s="1"/>
  <c r="AX786" i="1"/>
  <c r="I398" i="1"/>
  <c r="I395" i="1"/>
  <c r="AV1074" i="1"/>
  <c r="AV906" i="1" s="1"/>
  <c r="AW837" i="1"/>
  <c r="AW839" i="1" s="1"/>
  <c r="AW869" i="1" s="1"/>
  <c r="AW832" i="1"/>
  <c r="AW834" i="1" s="1"/>
  <c r="AX830" i="1" s="1"/>
  <c r="AW678" i="1"/>
  <c r="AW679" i="1" s="1"/>
  <c r="AW698" i="1"/>
  <c r="AX872" i="1"/>
  <c r="AX907" i="1" s="1"/>
  <c r="I399" i="1"/>
  <c r="I872" i="1" s="1"/>
  <c r="I907" i="1" s="1"/>
  <c r="F384" i="1"/>
  <c r="F1168" i="1" s="1"/>
  <c r="AX470" i="1"/>
  <c r="AX471" i="1" s="1"/>
  <c r="I464" i="1"/>
  <c r="I470" i="1" s="1"/>
  <c r="AX494" i="1"/>
  <c r="I465" i="1"/>
  <c r="I494" i="1" s="1"/>
  <c r="AX19" i="7"/>
  <c r="F1141" i="1"/>
  <c r="O27" i="5" s="1"/>
  <c r="I1127" i="1"/>
  <c r="I19" i="7" s="1"/>
  <c r="I33" i="7" s="1"/>
  <c r="AH1107" i="1"/>
  <c r="AH915" i="1"/>
  <c r="AH920" i="1" s="1"/>
  <c r="AH928" i="1" s="1"/>
  <c r="AH929" i="1" s="1"/>
  <c r="AH1008" i="1"/>
  <c r="AV1075" i="1" l="1"/>
  <c r="AV1076" i="1" s="1"/>
  <c r="AV1081" i="1" s="1"/>
  <c r="AV850" i="1"/>
  <c r="AU220" i="12"/>
  <c r="AU233" i="12" s="1"/>
  <c r="AU288" i="12" s="1"/>
  <c r="AW708" i="1"/>
  <c r="AW1106" i="1"/>
  <c r="AW683" i="1"/>
  <c r="AW908" i="1"/>
  <c r="AX397" i="1"/>
  <c r="AX393" i="1"/>
  <c r="AX372" i="1"/>
  <c r="AX411" i="1" s="1"/>
  <c r="F401" i="1"/>
  <c r="I366" i="1"/>
  <c r="AX617" i="1"/>
  <c r="I617" i="1" s="1"/>
  <c r="AX628" i="1"/>
  <c r="AX635" i="1" s="1"/>
  <c r="AX651" i="1" s="1"/>
  <c r="I611" i="1"/>
  <c r="AH1124" i="1"/>
  <c r="I786" i="1"/>
  <c r="I780" i="1"/>
  <c r="T73" i="5"/>
  <c r="F67" i="35"/>
  <c r="J67" i="35" s="1"/>
  <c r="I67" i="35" s="1"/>
  <c r="AX495" i="1"/>
  <c r="AX499" i="1" s="1"/>
  <c r="I471" i="1"/>
  <c r="I495" i="1" s="1"/>
  <c r="AH932" i="1"/>
  <c r="AI925" i="1"/>
  <c r="AX33" i="7"/>
  <c r="F69" i="7"/>
  <c r="AX802" i="1"/>
  <c r="AX785" i="1"/>
  <c r="AX787" i="1" s="1"/>
  <c r="AX831" i="1"/>
  <c r="F804" i="1"/>
  <c r="F841" i="1" s="1"/>
  <c r="I781" i="1"/>
  <c r="AX782" i="1"/>
  <c r="AW665" i="1"/>
  <c r="AW666" i="1"/>
  <c r="AV1077" i="1" l="1"/>
  <c r="AW1072" i="1" s="1"/>
  <c r="AV1007" i="1"/>
  <c r="AV1080" i="1"/>
  <c r="AV1092" i="1" s="1"/>
  <c r="AV1093" i="1" s="1"/>
  <c r="AV1097" i="1" s="1"/>
  <c r="AV1157" i="1" s="1"/>
  <c r="AX414" i="1"/>
  <c r="AX415" i="1" s="1"/>
  <c r="AX1158" i="1" s="1"/>
  <c r="BG121" i="5"/>
  <c r="BG124" i="5" s="1"/>
  <c r="AX652" i="1"/>
  <c r="AX909" i="1"/>
  <c r="I787" i="1"/>
  <c r="I909" i="1" s="1"/>
  <c r="AW684" i="1"/>
  <c r="AW694" i="1"/>
  <c r="AW695" i="1" s="1"/>
  <c r="AH1009" i="1"/>
  <c r="AH1011" i="1" s="1"/>
  <c r="AH1108" i="1"/>
  <c r="AH938" i="1"/>
  <c r="AI939" i="1" s="1"/>
  <c r="AX1044" i="1"/>
  <c r="I393" i="1"/>
  <c r="I1044" i="1" s="1"/>
  <c r="F404" i="1"/>
  <c r="AW1123" i="1"/>
  <c r="AX519" i="1"/>
  <c r="I499" i="1"/>
  <c r="I519" i="1" s="1"/>
  <c r="F373" i="1"/>
  <c r="I372" i="1"/>
  <c r="I411" i="1" s="1"/>
  <c r="AH16" i="7"/>
  <c r="AH30" i="7" s="1"/>
  <c r="AX1006" i="1"/>
  <c r="I397" i="1"/>
  <c r="I1006" i="1" s="1"/>
  <c r="F405" i="1"/>
  <c r="AW685" i="1"/>
  <c r="AW699" i="1"/>
  <c r="AW700" i="1" s="1"/>
  <c r="I831" i="1"/>
  <c r="I785" i="1"/>
  <c r="AX825" i="1"/>
  <c r="AX813" i="1"/>
  <c r="AX816" i="1" s="1"/>
  <c r="AX820" i="1" s="1"/>
  <c r="I802" i="1"/>
  <c r="F805" i="1"/>
  <c r="F806" i="1" s="1"/>
  <c r="F1178" i="1" s="1"/>
  <c r="AI926" i="1"/>
  <c r="AV36" i="12" l="1"/>
  <c r="AV133" i="12" s="1"/>
  <c r="AV188" i="12" s="1"/>
  <c r="AV1113" i="1"/>
  <c r="AV1130" i="1" s="1"/>
  <c r="AV22" i="7" s="1"/>
  <c r="AV35" i="7" s="1"/>
  <c r="I414" i="1"/>
  <c r="I1095" i="1" s="1"/>
  <c r="AX1095" i="1"/>
  <c r="I415" i="1"/>
  <c r="AX39" i="12"/>
  <c r="AX136" i="12" s="1"/>
  <c r="AW686" i="1"/>
  <c r="F406" i="1"/>
  <c r="F1169" i="1" s="1"/>
  <c r="F525" i="1"/>
  <c r="AX520" i="1"/>
  <c r="AH1012" i="1"/>
  <c r="AH1125" i="1"/>
  <c r="I813" i="1"/>
  <c r="I825" i="1"/>
  <c r="AW704" i="1"/>
  <c r="AW1041" i="1"/>
  <c r="AW1045" i="1" s="1"/>
  <c r="AX832" i="1"/>
  <c r="AX834" i="1" s="1"/>
  <c r="AX837" i="1"/>
  <c r="AX839" i="1" s="1"/>
  <c r="F842" i="1" s="1"/>
  <c r="I820" i="1"/>
  <c r="AW849" i="1"/>
  <c r="AW889" i="1"/>
  <c r="AW705" i="1"/>
  <c r="AW1003" i="1"/>
  <c r="AW15" i="7"/>
  <c r="AW29" i="7" s="1"/>
  <c r="AI899" i="1"/>
  <c r="AI900" i="1" s="1"/>
  <c r="AI902" i="1" s="1"/>
  <c r="AI927" i="1" s="1"/>
  <c r="AI874" i="1"/>
  <c r="AI875" i="1" s="1"/>
  <c r="AI877" i="1" s="1"/>
  <c r="AV220" i="12" l="1"/>
  <c r="AV233" i="12" s="1"/>
  <c r="AV288" i="12" s="1"/>
  <c r="I39" i="12"/>
  <c r="I1158" i="1"/>
  <c r="F51" i="12"/>
  <c r="F60" i="12"/>
  <c r="AW709" i="1"/>
  <c r="I837" i="1"/>
  <c r="I832" i="1"/>
  <c r="AI905" i="1"/>
  <c r="AI879" i="1"/>
  <c r="AX521" i="1"/>
  <c r="AX522" i="1" s="1"/>
  <c r="F527" i="1" s="1"/>
  <c r="AX869" i="1"/>
  <c r="F843" i="1"/>
  <c r="I839" i="1"/>
  <c r="I869" i="1" s="1"/>
  <c r="I908" i="1" s="1"/>
  <c r="AH1031" i="1"/>
  <c r="AX223" i="12"/>
  <c r="AX236" i="12" s="1"/>
  <c r="AX191" i="12"/>
  <c r="F203" i="12" s="1"/>
  <c r="F148" i="12"/>
  <c r="I8" i="5" s="1"/>
  <c r="F22" i="35" s="1"/>
  <c r="J22" i="35" s="1"/>
  <c r="I22" i="35" s="1"/>
  <c r="I136" i="12"/>
  <c r="I223" i="12" s="1"/>
  <c r="F162" i="12"/>
  <c r="G8" i="5" s="1"/>
  <c r="AW1055" i="1"/>
  <c r="AW1056" i="1" s="1"/>
  <c r="AW1058" i="1" s="1"/>
  <c r="AW1059" i="1" s="1"/>
  <c r="AW1073" i="1" s="1"/>
  <c r="AW1067" i="1"/>
  <c r="AW1069" i="1" s="1"/>
  <c r="AW1091" i="1"/>
  <c r="AH17" i="7"/>
  <c r="AH31" i="7" s="1"/>
  <c r="AI910" i="1" l="1"/>
  <c r="AI912" i="1" s="1"/>
  <c r="F1179" i="1"/>
  <c r="AW1074" i="1"/>
  <c r="AW906" i="1" s="1"/>
  <c r="U199" i="5"/>
  <c r="K8" i="5"/>
  <c r="F34" i="35" s="1"/>
  <c r="J34" i="35" s="1"/>
  <c r="I34" i="35" s="1"/>
  <c r="AX291" i="12"/>
  <c r="F303" i="12" s="1"/>
  <c r="L8" i="5" s="1"/>
  <c r="F262" i="12"/>
  <c r="H8" i="5" s="1"/>
  <c r="F248" i="12"/>
  <c r="J8" i="5" s="1"/>
  <c r="AX537" i="1"/>
  <c r="AX543" i="1" s="1"/>
  <c r="AX533" i="1"/>
  <c r="AX534" i="1" s="1"/>
  <c r="AX676" i="1"/>
  <c r="AX586" i="1"/>
  <c r="F526" i="1"/>
  <c r="F528" i="1" s="1"/>
  <c r="F1170" i="1" s="1"/>
  <c r="I521" i="1"/>
  <c r="AX908" i="1"/>
  <c r="AJ878" i="1"/>
  <c r="AI884" i="1"/>
  <c r="AW1075" i="1" l="1"/>
  <c r="AW1076" i="1" s="1"/>
  <c r="AW1081" i="1" s="1"/>
  <c r="AW850" i="1"/>
  <c r="AI915" i="1"/>
  <c r="AI920" i="1" s="1"/>
  <c r="AI928" i="1" s="1"/>
  <c r="AI929" i="1" s="1"/>
  <c r="AI1008" i="1"/>
  <c r="AI1107" i="1"/>
  <c r="I676" i="1"/>
  <c r="I586" i="1"/>
  <c r="I537" i="1"/>
  <c r="I533" i="1"/>
  <c r="AX682" i="1"/>
  <c r="AX655" i="1"/>
  <c r="AX587" i="1"/>
  <c r="AX592" i="1" s="1"/>
  <c r="I534" i="1"/>
  <c r="AX544" i="1"/>
  <c r="AX693" i="1"/>
  <c r="AX677" i="1"/>
  <c r="I543" i="1"/>
  <c r="AW1077" i="1" l="1"/>
  <c r="AX1072" i="1" s="1"/>
  <c r="AW1080" i="1"/>
  <c r="AW1092" i="1" s="1"/>
  <c r="AW1093" i="1" s="1"/>
  <c r="AW1097" i="1" s="1"/>
  <c r="AW1157" i="1" s="1"/>
  <c r="AW1007" i="1"/>
  <c r="AX593" i="1"/>
  <c r="AX602" i="1" s="1"/>
  <c r="I592" i="1"/>
  <c r="AX657" i="1"/>
  <c r="AX656" i="1"/>
  <c r="F659" i="1"/>
  <c r="AJ925" i="1"/>
  <c r="AI932" i="1"/>
  <c r="I682" i="1"/>
  <c r="I655" i="1"/>
  <c r="I587" i="1"/>
  <c r="AX678" i="1"/>
  <c r="AX679" i="1" s="1"/>
  <c r="AX698" i="1"/>
  <c r="I544" i="1"/>
  <c r="I693" i="1"/>
  <c r="I677" i="1"/>
  <c r="AI1124" i="1"/>
  <c r="AW36" i="12" l="1"/>
  <c r="AW133" i="12" s="1"/>
  <c r="AW220" i="12" s="1"/>
  <c r="AW233" i="12" s="1"/>
  <c r="AW288" i="12" s="1"/>
  <c r="AW1113" i="1"/>
  <c r="AW1130" i="1" s="1"/>
  <c r="AW22" i="7" s="1"/>
  <c r="AW35" i="7" s="1"/>
  <c r="I678" i="1"/>
  <c r="I698" i="1"/>
  <c r="AX1106" i="1"/>
  <c r="AX683" i="1"/>
  <c r="AX708" i="1"/>
  <c r="F660" i="1"/>
  <c r="F661" i="1" s="1"/>
  <c r="I656" i="1"/>
  <c r="I679" i="1"/>
  <c r="F679" i="1"/>
  <c r="F1174" i="1" s="1"/>
  <c r="AI16" i="7"/>
  <c r="AI30" i="7" s="1"/>
  <c r="AI1108" i="1"/>
  <c r="AI1009" i="1"/>
  <c r="AI1011" i="1" s="1"/>
  <c r="AI938" i="1"/>
  <c r="AJ939" i="1" s="1"/>
  <c r="AX666" i="1"/>
  <c r="AX665" i="1"/>
  <c r="I657" i="1"/>
  <c r="AJ926" i="1"/>
  <c r="AW188" i="12" l="1"/>
  <c r="AX694" i="1"/>
  <c r="AX695" i="1" s="1"/>
  <c r="AX684" i="1"/>
  <c r="F669" i="1"/>
  <c r="I666" i="1"/>
  <c r="AJ874" i="1"/>
  <c r="AJ875" i="1" s="1"/>
  <c r="AJ877" i="1" s="1"/>
  <c r="AJ899" i="1"/>
  <c r="AJ900" i="1" s="1"/>
  <c r="AJ902" i="1" s="1"/>
  <c r="AJ927" i="1" s="1"/>
  <c r="I1106" i="1"/>
  <c r="I683" i="1"/>
  <c r="I708" i="1"/>
  <c r="AX1123" i="1"/>
  <c r="AI1012" i="1"/>
  <c r="AX699" i="1"/>
  <c r="AX700" i="1" s="1"/>
  <c r="AX685" i="1"/>
  <c r="F668" i="1"/>
  <c r="I665" i="1"/>
  <c r="AI1125" i="1"/>
  <c r="F670" i="1" l="1"/>
  <c r="F1173" i="1" s="1"/>
  <c r="AX686" i="1"/>
  <c r="F686" i="1" s="1"/>
  <c r="F1175" i="1" s="1"/>
  <c r="I699" i="1"/>
  <c r="I685" i="1"/>
  <c r="AI1031" i="1"/>
  <c r="AX15" i="7"/>
  <c r="F1137" i="1"/>
  <c r="I1123" i="1"/>
  <c r="I15" i="7" s="1"/>
  <c r="I29" i="7" s="1"/>
  <c r="AJ905" i="1"/>
  <c r="AJ879" i="1"/>
  <c r="AX704" i="1"/>
  <c r="AX1041" i="1"/>
  <c r="AX1045" i="1" s="1"/>
  <c r="I695" i="1"/>
  <c r="AI17" i="7"/>
  <c r="AI31" i="7" s="1"/>
  <c r="AX705" i="1"/>
  <c r="AX889" i="1"/>
  <c r="AX849" i="1"/>
  <c r="AX1003" i="1"/>
  <c r="I700" i="1"/>
  <c r="I684" i="1"/>
  <c r="I694" i="1"/>
  <c r="AJ910" i="1" l="1"/>
  <c r="AJ912" i="1" s="1"/>
  <c r="I686" i="1"/>
  <c r="AX1091" i="1"/>
  <c r="AX1055" i="1"/>
  <c r="AX1056" i="1" s="1"/>
  <c r="AX1067" i="1"/>
  <c r="AX1069" i="1" s="1"/>
  <c r="I1069" i="1" s="1"/>
  <c r="I1045" i="1"/>
  <c r="O23" i="5"/>
  <c r="I1041" i="1"/>
  <c r="I704" i="1"/>
  <c r="AX29" i="7"/>
  <c r="F65" i="7"/>
  <c r="I849" i="1"/>
  <c r="I889" i="1"/>
  <c r="I1003" i="1"/>
  <c r="I705" i="1"/>
  <c r="AX709" i="1"/>
  <c r="AK878" i="1"/>
  <c r="AJ884" i="1"/>
  <c r="I709" i="1" l="1"/>
  <c r="F709" i="1"/>
  <c r="F1176" i="1" s="1"/>
  <c r="I1091" i="1"/>
  <c r="I1055" i="1"/>
  <c r="I1067" i="1"/>
  <c r="AJ1008" i="1"/>
  <c r="AJ915" i="1"/>
  <c r="AJ920" i="1" s="1"/>
  <c r="AJ928" i="1" s="1"/>
  <c r="AJ929" i="1" s="1"/>
  <c r="AJ1107" i="1"/>
  <c r="T69" i="5"/>
  <c r="F63" i="35"/>
  <c r="J63" i="35" s="1"/>
  <c r="I63" i="35" s="1"/>
  <c r="AX1058" i="1"/>
  <c r="I1056" i="1"/>
  <c r="AJ932" i="1" l="1"/>
  <c r="AK925" i="1"/>
  <c r="AK926" i="1" s="1"/>
  <c r="AJ1124" i="1"/>
  <c r="AX1059" i="1"/>
  <c r="I1058" i="1"/>
  <c r="AJ16" i="7" l="1"/>
  <c r="AJ30" i="7" s="1"/>
  <c r="AX1073" i="1"/>
  <c r="I1059" i="1"/>
  <c r="I1073" i="1" s="1"/>
  <c r="AJ938" i="1"/>
  <c r="AK939" i="1" s="1"/>
  <c r="AJ1009" i="1"/>
  <c r="AJ1011" i="1" s="1"/>
  <c r="AJ1108" i="1"/>
  <c r="AJ1125" i="1" l="1"/>
  <c r="F1084" i="1"/>
  <c r="AX1074" i="1"/>
  <c r="AX906" i="1" s="1"/>
  <c r="AK899" i="1"/>
  <c r="AK900" i="1" s="1"/>
  <c r="AK902" i="1" s="1"/>
  <c r="AK927" i="1" s="1"/>
  <c r="AK874" i="1"/>
  <c r="AK875" i="1" s="1"/>
  <c r="AK877" i="1" s="1"/>
  <c r="AJ1012" i="1"/>
  <c r="AX1075" i="1" l="1"/>
  <c r="AX1076" i="1" s="1"/>
  <c r="AX850" i="1"/>
  <c r="AJ1031" i="1"/>
  <c r="AK905" i="1"/>
  <c r="AK879" i="1"/>
  <c r="I1074" i="1"/>
  <c r="F1085" i="1"/>
  <c r="AJ17" i="7"/>
  <c r="AJ31" i="7" s="1"/>
  <c r="I1075" i="1" l="1"/>
  <c r="I850" i="1"/>
  <c r="I906" i="1"/>
  <c r="AK910" i="1"/>
  <c r="AK912" i="1" s="1"/>
  <c r="AX1081" i="1"/>
  <c r="F1086" i="1"/>
  <c r="I1076" i="1"/>
  <c r="AX1080" i="1"/>
  <c r="AX1077" i="1"/>
  <c r="F1087" i="1" s="1"/>
  <c r="AL878" i="1"/>
  <c r="AK884" i="1"/>
  <c r="F1088" i="1" l="1"/>
  <c r="F1181" i="1" s="1"/>
  <c r="AX1092" i="1"/>
  <c r="AX1093" i="1" s="1"/>
  <c r="I1080" i="1"/>
  <c r="I1092" i="1" s="1"/>
  <c r="AK1008" i="1"/>
  <c r="AK915" i="1"/>
  <c r="AK920" i="1" s="1"/>
  <c r="AK928" i="1" s="1"/>
  <c r="AK929" i="1" s="1"/>
  <c r="AK1107" i="1"/>
  <c r="AX1007" i="1"/>
  <c r="I1081" i="1"/>
  <c r="AX1097" i="1" l="1"/>
  <c r="AX1157" i="1" s="1"/>
  <c r="I1007" i="1"/>
  <c r="AK932" i="1"/>
  <c r="AL925" i="1"/>
  <c r="AK1124" i="1"/>
  <c r="I1093" i="1"/>
  <c r="AX1113" i="1" l="1"/>
  <c r="AX1130" i="1" s="1"/>
  <c r="AX22" i="7" s="1"/>
  <c r="I1097" i="1"/>
  <c r="I1157" i="1" s="1"/>
  <c r="AX36" i="12"/>
  <c r="AX133" i="12" s="1"/>
  <c r="AL926" i="1"/>
  <c r="AK1009" i="1"/>
  <c r="AK1011" i="1" s="1"/>
  <c r="AK938" i="1"/>
  <c r="AL939" i="1" s="1"/>
  <c r="AK1108" i="1"/>
  <c r="AK16" i="7"/>
  <c r="AK30" i="7" s="1"/>
  <c r="F62" i="12" l="1"/>
  <c r="F1144" i="1"/>
  <c r="O30" i="5" s="1"/>
  <c r="T76" i="5" s="1"/>
  <c r="I1130" i="1"/>
  <c r="I22" i="7" s="1"/>
  <c r="I35" i="7" s="1"/>
  <c r="F48" i="12"/>
  <c r="I36" i="12"/>
  <c r="I1113" i="1"/>
  <c r="AK1125" i="1"/>
  <c r="AL899" i="1"/>
  <c r="AL900" i="1" s="1"/>
  <c r="AL902" i="1" s="1"/>
  <c r="AL927" i="1" s="1"/>
  <c r="AL874" i="1"/>
  <c r="AL875" i="1" s="1"/>
  <c r="AL877" i="1" s="1"/>
  <c r="AX35" i="7"/>
  <c r="F71" i="7"/>
  <c r="AK1012" i="1"/>
  <c r="AX220" i="12"/>
  <c r="AX233" i="12" s="1"/>
  <c r="AX188" i="12"/>
  <c r="F200" i="12" s="1"/>
  <c r="F145" i="12"/>
  <c r="I11" i="5" s="1"/>
  <c r="F25" i="35" s="1"/>
  <c r="J25" i="35" s="1"/>
  <c r="I25" i="35" s="1"/>
  <c r="I133" i="12"/>
  <c r="I220" i="12" s="1"/>
  <c r="F164" i="12"/>
  <c r="G11" i="5" s="1"/>
  <c r="F70" i="35" l="1"/>
  <c r="J70" i="35" s="1"/>
  <c r="I70" i="35" s="1"/>
  <c r="AK1031" i="1"/>
  <c r="AL905" i="1"/>
  <c r="AL879" i="1"/>
  <c r="K11" i="5"/>
  <c r="F37" i="35" s="1"/>
  <c r="J37" i="35" s="1"/>
  <c r="I37" i="35" s="1"/>
  <c r="U196" i="5"/>
  <c r="AX288" i="12"/>
  <c r="F300" i="12" s="1"/>
  <c r="L11" i="5" s="1"/>
  <c r="F264" i="12"/>
  <c r="H11" i="5" s="1"/>
  <c r="F245" i="12"/>
  <c r="J11" i="5" s="1"/>
  <c r="AK17" i="7"/>
  <c r="AK31" i="7" s="1"/>
  <c r="AL910" i="1" l="1"/>
  <c r="AL912" i="1" s="1"/>
  <c r="AL884" i="1"/>
  <c r="AM878" i="1"/>
  <c r="AL915" i="1" l="1"/>
  <c r="AL920" i="1" s="1"/>
  <c r="AL928" i="1" s="1"/>
  <c r="AL929" i="1" s="1"/>
  <c r="AL1008" i="1"/>
  <c r="AL1107" i="1"/>
  <c r="AL1124" i="1" l="1"/>
  <c r="AM925" i="1"/>
  <c r="AL932" i="1"/>
  <c r="AM926" i="1" l="1"/>
  <c r="AL16" i="7"/>
  <c r="AL30" i="7" s="1"/>
  <c r="AL1108" i="1"/>
  <c r="AL938" i="1"/>
  <c r="AM939" i="1" s="1"/>
  <c r="AL1009" i="1"/>
  <c r="AL1011" i="1" s="1"/>
  <c r="AL1012" i="1" l="1"/>
  <c r="AM899" i="1"/>
  <c r="AM900" i="1" s="1"/>
  <c r="AM902" i="1" s="1"/>
  <c r="AM927" i="1" s="1"/>
  <c r="AM874" i="1"/>
  <c r="AM875" i="1" s="1"/>
  <c r="AM877" i="1" s="1"/>
  <c r="AL1125" i="1"/>
  <c r="AM905" i="1" l="1"/>
  <c r="AM879" i="1"/>
  <c r="AL1031" i="1"/>
  <c r="AL17" i="7"/>
  <c r="AL31" i="7" s="1"/>
  <c r="AM910" i="1" l="1"/>
  <c r="AM912" i="1" s="1"/>
  <c r="AM884" i="1"/>
  <c r="AN878" i="1"/>
  <c r="AM1008" i="1" l="1"/>
  <c r="AM1107" i="1"/>
  <c r="AM915" i="1"/>
  <c r="AM920" i="1" s="1"/>
  <c r="AM928" i="1" s="1"/>
  <c r="AM929" i="1" s="1"/>
  <c r="AN925" i="1" l="1"/>
  <c r="AN926" i="1" s="1"/>
  <c r="AM932" i="1"/>
  <c r="AM1124" i="1"/>
  <c r="AM16" i="7" l="1"/>
  <c r="AM30" i="7" s="1"/>
  <c r="AM1108" i="1"/>
  <c r="AM938" i="1"/>
  <c r="AN939" i="1" s="1"/>
  <c r="AM1009" i="1"/>
  <c r="AM1011" i="1" s="1"/>
  <c r="AN899" i="1" l="1"/>
  <c r="AN900" i="1" s="1"/>
  <c r="AN902" i="1" s="1"/>
  <c r="AN927" i="1" s="1"/>
  <c r="AN874" i="1"/>
  <c r="AN875" i="1" s="1"/>
  <c r="AN877" i="1" s="1"/>
  <c r="AM1125" i="1"/>
  <c r="AM1012" i="1"/>
  <c r="AM1031" i="1" l="1"/>
  <c r="AN905" i="1"/>
  <c r="AN879" i="1"/>
  <c r="AM17" i="7"/>
  <c r="AM31" i="7" s="1"/>
  <c r="AN910" i="1" l="1"/>
  <c r="AN912" i="1" s="1"/>
  <c r="AN884" i="1"/>
  <c r="AO878" i="1"/>
  <c r="AN1107" i="1" l="1"/>
  <c r="AN1008" i="1"/>
  <c r="AN915" i="1"/>
  <c r="AN920" i="1" s="1"/>
  <c r="AN928" i="1" s="1"/>
  <c r="AN929" i="1" s="1"/>
  <c r="AN932" i="1" l="1"/>
  <c r="AO925" i="1"/>
  <c r="AO926" i="1" s="1"/>
  <c r="AN1124" i="1"/>
  <c r="AN16" i="7" l="1"/>
  <c r="AN30" i="7" s="1"/>
  <c r="AN1108" i="1"/>
  <c r="AN938" i="1"/>
  <c r="AO939" i="1" s="1"/>
  <c r="AN1009" i="1"/>
  <c r="AN1011" i="1" s="1"/>
  <c r="AN1012" i="1" l="1"/>
  <c r="AN1125" i="1"/>
  <c r="AO874" i="1"/>
  <c r="AO875" i="1" s="1"/>
  <c r="AO877" i="1" s="1"/>
  <c r="AO899" i="1"/>
  <c r="AO900" i="1" s="1"/>
  <c r="AO902" i="1" s="1"/>
  <c r="AO927" i="1" s="1"/>
  <c r="AN17" i="7" l="1"/>
  <c r="AN31" i="7" s="1"/>
  <c r="AO905" i="1"/>
  <c r="AO879" i="1"/>
  <c r="AN1031" i="1"/>
  <c r="AO910" i="1" l="1"/>
  <c r="AO912" i="1" s="1"/>
  <c r="AO884" i="1"/>
  <c r="AP878" i="1"/>
  <c r="AO1107" i="1" l="1"/>
  <c r="AO915" i="1"/>
  <c r="AO920" i="1" s="1"/>
  <c r="AO928" i="1" s="1"/>
  <c r="AO929" i="1" s="1"/>
  <c r="AO1008" i="1"/>
  <c r="AO1124" i="1" l="1"/>
  <c r="AO932" i="1"/>
  <c r="AP925" i="1"/>
  <c r="AO938" i="1" l="1"/>
  <c r="AP939" i="1" s="1"/>
  <c r="AO1009" i="1"/>
  <c r="AO1011" i="1" s="1"/>
  <c r="AO1108" i="1"/>
  <c r="AO16" i="7"/>
  <c r="AO30" i="7" s="1"/>
  <c r="AP926" i="1"/>
  <c r="AO1012" i="1" l="1"/>
  <c r="AO1125" i="1"/>
  <c r="AP874" i="1"/>
  <c r="AP875" i="1" s="1"/>
  <c r="AP877" i="1" s="1"/>
  <c r="AP899" i="1"/>
  <c r="AP900" i="1" s="1"/>
  <c r="AP902" i="1" s="1"/>
  <c r="AP927" i="1" s="1"/>
  <c r="AP905" i="1" l="1"/>
  <c r="AP879" i="1"/>
  <c r="AO1031" i="1"/>
  <c r="AO17" i="7"/>
  <c r="AO31" i="7" s="1"/>
  <c r="AP910" i="1" l="1"/>
  <c r="AP912" i="1" s="1"/>
  <c r="AP884" i="1"/>
  <c r="AQ878" i="1"/>
  <c r="AP1008" i="1" l="1"/>
  <c r="AP915" i="1"/>
  <c r="AP920" i="1" s="1"/>
  <c r="AP928" i="1" s="1"/>
  <c r="AP929" i="1" s="1"/>
  <c r="AP1107" i="1"/>
  <c r="AP1124" i="1" l="1"/>
  <c r="AP932" i="1"/>
  <c r="AQ925" i="1"/>
  <c r="AQ926" i="1" s="1"/>
  <c r="AP938" i="1" l="1"/>
  <c r="AQ939" i="1" s="1"/>
  <c r="AP1108" i="1"/>
  <c r="AP1009" i="1"/>
  <c r="AP1011" i="1" s="1"/>
  <c r="AP16" i="7"/>
  <c r="AP30" i="7" s="1"/>
  <c r="AP1017" i="1" l="1"/>
  <c r="AP1012" i="1"/>
  <c r="AP1125" i="1"/>
  <c r="AQ899" i="1"/>
  <c r="AQ900" i="1" s="1"/>
  <c r="AQ902" i="1" s="1"/>
  <c r="AQ927" i="1" s="1"/>
  <c r="AQ874" i="1"/>
  <c r="AQ875" i="1" s="1"/>
  <c r="AQ877" i="1" s="1"/>
  <c r="AP17" i="7" l="1"/>
  <c r="AP31" i="7" s="1"/>
  <c r="AQ905" i="1"/>
  <c r="AQ879" i="1"/>
  <c r="AP1031" i="1"/>
  <c r="AQ910" i="1" l="1"/>
  <c r="AQ912" i="1" s="1"/>
  <c r="AQ884" i="1"/>
  <c r="AR878" i="1"/>
  <c r="AQ915" i="1" l="1"/>
  <c r="AQ920" i="1" s="1"/>
  <c r="AQ928" i="1" s="1"/>
  <c r="AQ929" i="1" s="1"/>
  <c r="AQ1107" i="1"/>
  <c r="AQ1008" i="1"/>
  <c r="AQ1124" i="1" l="1"/>
  <c r="AR925" i="1"/>
  <c r="AQ932" i="1"/>
  <c r="AR926" i="1" l="1"/>
  <c r="AQ16" i="7"/>
  <c r="AQ30" i="7" s="1"/>
  <c r="AQ1009" i="1"/>
  <c r="AQ1011" i="1" s="1"/>
  <c r="AQ1108" i="1"/>
  <c r="AQ938" i="1"/>
  <c r="AR939" i="1" s="1"/>
  <c r="AR899" i="1" l="1"/>
  <c r="AR900" i="1" s="1"/>
  <c r="AR902" i="1" s="1"/>
  <c r="AR927" i="1" s="1"/>
  <c r="AR874" i="1"/>
  <c r="AR875" i="1" s="1"/>
  <c r="AR877" i="1" s="1"/>
  <c r="AQ1125" i="1"/>
  <c r="AQ1017" i="1"/>
  <c r="AQ1012" i="1"/>
  <c r="AR905" i="1" l="1"/>
  <c r="AR879" i="1"/>
  <c r="AQ1031" i="1"/>
  <c r="AQ17" i="7"/>
  <c r="AQ31" i="7" s="1"/>
  <c r="AR910" i="1" l="1"/>
  <c r="AR912" i="1" s="1"/>
  <c r="AS878" i="1"/>
  <c r="AR884" i="1"/>
  <c r="AR1008" i="1" l="1"/>
  <c r="AR1107" i="1"/>
  <c r="AR915" i="1"/>
  <c r="AR920" i="1" s="1"/>
  <c r="AR928" i="1" s="1"/>
  <c r="AR929" i="1" s="1"/>
  <c r="AR1124" i="1" l="1"/>
  <c r="AS925" i="1"/>
  <c r="AR932" i="1"/>
  <c r="AR1009" i="1" l="1"/>
  <c r="AR1011" i="1" s="1"/>
  <c r="AR938" i="1"/>
  <c r="AS939" i="1" s="1"/>
  <c r="AR1108" i="1"/>
  <c r="AS926" i="1"/>
  <c r="AR16" i="7"/>
  <c r="AR30" i="7" s="1"/>
  <c r="AR1125" i="1" l="1"/>
  <c r="AS874" i="1"/>
  <c r="AS875" i="1" s="1"/>
  <c r="AS877" i="1" s="1"/>
  <c r="AS899" i="1"/>
  <c r="AS900" i="1" s="1"/>
  <c r="AS902" i="1" s="1"/>
  <c r="AS927" i="1" s="1"/>
  <c r="AR1017" i="1"/>
  <c r="AR1012" i="1"/>
  <c r="AR1031" i="1" s="1"/>
  <c r="AR17" i="7" l="1"/>
  <c r="AR31" i="7" s="1"/>
  <c r="AS905" i="1"/>
  <c r="AS879" i="1"/>
  <c r="AS910" i="1" l="1"/>
  <c r="AS912" i="1" s="1"/>
  <c r="AT878" i="1"/>
  <c r="AS884" i="1"/>
  <c r="AS915" i="1" l="1"/>
  <c r="AS920" i="1" s="1"/>
  <c r="AS928" i="1" s="1"/>
  <c r="AS929" i="1" s="1"/>
  <c r="AS1107" i="1"/>
  <c r="AS1008" i="1"/>
  <c r="AS1124" i="1" l="1"/>
  <c r="AS932" i="1"/>
  <c r="AT925" i="1"/>
  <c r="AT926" i="1" s="1"/>
  <c r="AS938" i="1" l="1"/>
  <c r="AT939" i="1" s="1"/>
  <c r="AS1009" i="1"/>
  <c r="AS1011" i="1" s="1"/>
  <c r="AS1108" i="1"/>
  <c r="AS16" i="7"/>
  <c r="AS30" i="7" s="1"/>
  <c r="AS1125" i="1" l="1"/>
  <c r="AS1012" i="1"/>
  <c r="AS1017" i="1"/>
  <c r="AT874" i="1"/>
  <c r="AT875" i="1" s="1"/>
  <c r="AT877" i="1" s="1"/>
  <c r="AT899" i="1"/>
  <c r="AT900" i="1" s="1"/>
  <c r="AT902" i="1" s="1"/>
  <c r="AT927" i="1" s="1"/>
  <c r="AS1031" i="1" l="1"/>
  <c r="AT905" i="1"/>
  <c r="AT879" i="1"/>
  <c r="AS17" i="7"/>
  <c r="AS31" i="7" s="1"/>
  <c r="AT910" i="1" l="1"/>
  <c r="AT912" i="1" s="1"/>
  <c r="AT884" i="1"/>
  <c r="AU878" i="1"/>
  <c r="AT915" i="1" l="1"/>
  <c r="AT920" i="1" s="1"/>
  <c r="AT928" i="1" s="1"/>
  <c r="AT929" i="1" s="1"/>
  <c r="AT1107" i="1"/>
  <c r="AT1008" i="1"/>
  <c r="AT1124" i="1" l="1"/>
  <c r="AT932" i="1"/>
  <c r="AU925" i="1"/>
  <c r="AU926" i="1" s="1"/>
  <c r="AT938" i="1" l="1"/>
  <c r="AU939" i="1" s="1"/>
  <c r="AT1009" i="1"/>
  <c r="AT1011" i="1" s="1"/>
  <c r="AT1108" i="1"/>
  <c r="AT16" i="7"/>
  <c r="AT30" i="7" s="1"/>
  <c r="AT1017" i="1" l="1"/>
  <c r="AT1012" i="1"/>
  <c r="AT1125" i="1"/>
  <c r="AU874" i="1"/>
  <c r="AU875" i="1" s="1"/>
  <c r="AU877" i="1" s="1"/>
  <c r="AU899" i="1"/>
  <c r="AU900" i="1" s="1"/>
  <c r="AU902" i="1" s="1"/>
  <c r="AU927" i="1" s="1"/>
  <c r="AT17" i="7" l="1"/>
  <c r="AT31" i="7" s="1"/>
  <c r="AU905" i="1"/>
  <c r="AU879" i="1"/>
  <c r="AT1031" i="1"/>
  <c r="AU910" i="1" l="1"/>
  <c r="AU912" i="1" s="1"/>
  <c r="AU884" i="1"/>
  <c r="AV878" i="1"/>
  <c r="AU1107" i="1" l="1"/>
  <c r="AU915" i="1"/>
  <c r="AU920" i="1" s="1"/>
  <c r="AU928" i="1" s="1"/>
  <c r="AU929" i="1" s="1"/>
  <c r="AU1008" i="1"/>
  <c r="AV925" i="1" l="1"/>
  <c r="AU932" i="1"/>
  <c r="AU1124" i="1"/>
  <c r="AU16" i="7" l="1"/>
  <c r="AU30" i="7" s="1"/>
  <c r="AU1009" i="1"/>
  <c r="AU1011" i="1" s="1"/>
  <c r="AU1108" i="1"/>
  <c r="AU938" i="1"/>
  <c r="AV939" i="1" s="1"/>
  <c r="AV926" i="1"/>
  <c r="AU1125" i="1" l="1"/>
  <c r="AU1017" i="1"/>
  <c r="AU1012" i="1"/>
  <c r="AV899" i="1"/>
  <c r="AV900" i="1" s="1"/>
  <c r="AV902" i="1" s="1"/>
  <c r="AV927" i="1" s="1"/>
  <c r="AV874" i="1"/>
  <c r="AV875" i="1" s="1"/>
  <c r="AV877" i="1" s="1"/>
  <c r="AV905" i="1" l="1"/>
  <c r="AV879" i="1"/>
  <c r="AU1031" i="1"/>
  <c r="AU17" i="7"/>
  <c r="AU31" i="7" s="1"/>
  <c r="AV910" i="1" l="1"/>
  <c r="AV912" i="1" s="1"/>
  <c r="AV884" i="1"/>
  <c r="AW878" i="1"/>
  <c r="AV1107" i="1" l="1"/>
  <c r="AV915" i="1"/>
  <c r="AV920" i="1" s="1"/>
  <c r="AV928" i="1" s="1"/>
  <c r="AV929" i="1" s="1"/>
  <c r="AV1008" i="1"/>
  <c r="AV932" i="1" l="1"/>
  <c r="AW925" i="1"/>
  <c r="AV1124" i="1"/>
  <c r="AV1108" i="1" l="1"/>
  <c r="AV1009" i="1"/>
  <c r="AV1011" i="1" s="1"/>
  <c r="AV938" i="1"/>
  <c r="AW939" i="1" s="1"/>
  <c r="AV16" i="7"/>
  <c r="AV30" i="7" s="1"/>
  <c r="AW926" i="1"/>
  <c r="AV1017" i="1" l="1"/>
  <c r="AV1012" i="1"/>
  <c r="AW874" i="1"/>
  <c r="AW875" i="1" s="1"/>
  <c r="AW877" i="1" s="1"/>
  <c r="AW899" i="1"/>
  <c r="AW900" i="1" s="1"/>
  <c r="AW902" i="1" s="1"/>
  <c r="AW927" i="1" s="1"/>
  <c r="AV1125" i="1"/>
  <c r="AV17" i="7" l="1"/>
  <c r="AV31" i="7" s="1"/>
  <c r="AV1031" i="1"/>
  <c r="AW905" i="1"/>
  <c r="AW879" i="1"/>
  <c r="AW910" i="1" l="1"/>
  <c r="AW912" i="1" s="1"/>
  <c r="AW884" i="1"/>
  <c r="AX878" i="1"/>
  <c r="I878" i="1" l="1"/>
  <c r="AW1107" i="1"/>
  <c r="AW1008" i="1"/>
  <c r="AW915" i="1"/>
  <c r="AW920" i="1" s="1"/>
  <c r="AW928" i="1" s="1"/>
  <c r="AW929" i="1" s="1"/>
  <c r="AW1124" i="1" l="1"/>
  <c r="AX925" i="1"/>
  <c r="AX926" i="1" s="1"/>
  <c r="AW932" i="1"/>
  <c r="I926" i="1" l="1"/>
  <c r="AW16" i="7"/>
  <c r="AW30" i="7" s="1"/>
  <c r="AW1108" i="1"/>
  <c r="AW938" i="1"/>
  <c r="AX939" i="1" s="1"/>
  <c r="AW1009" i="1"/>
  <c r="AW1011" i="1" s="1"/>
  <c r="AW1017" i="1" l="1"/>
  <c r="AW1012" i="1"/>
  <c r="AX874" i="1"/>
  <c r="AX875" i="1" s="1"/>
  <c r="AX877" i="1" s="1"/>
  <c r="AX899" i="1"/>
  <c r="AX900" i="1" s="1"/>
  <c r="I939" i="1"/>
  <c r="AW1125" i="1"/>
  <c r="I875" i="1" l="1"/>
  <c r="AW1031" i="1"/>
  <c r="I899" i="1"/>
  <c r="I874" i="1"/>
  <c r="AW17" i="7"/>
  <c r="AW31" i="7" s="1"/>
  <c r="I900" i="1"/>
  <c r="AX902" i="1"/>
  <c r="AX905" i="1" l="1"/>
  <c r="AX910" i="1" s="1"/>
  <c r="I877" i="1"/>
  <c r="I905" i="1" s="1"/>
  <c r="AX879" i="1"/>
  <c r="AX927" i="1"/>
  <c r="I902" i="1"/>
  <c r="I927" i="1" s="1"/>
  <c r="AX884" i="1" l="1"/>
  <c r="I879" i="1"/>
  <c r="AX912" i="1"/>
  <c r="I910" i="1"/>
  <c r="AX1008" i="1" l="1"/>
  <c r="AX1107" i="1"/>
  <c r="AX915" i="1"/>
  <c r="AX920" i="1" s="1"/>
  <c r="I884" i="1"/>
  <c r="F912" i="1"/>
  <c r="F1180" i="1" s="1"/>
  <c r="I912" i="1"/>
  <c r="AX928" i="1" l="1"/>
  <c r="AX929" i="1" s="1"/>
  <c r="AX932" i="1" s="1"/>
  <c r="I920" i="1"/>
  <c r="I928" i="1" s="1"/>
  <c r="I915" i="1"/>
  <c r="I1107" i="1"/>
  <c r="I1008" i="1"/>
  <c r="AX1124" i="1"/>
  <c r="AX16" i="7" l="1"/>
  <c r="I1124" i="1"/>
  <c r="I16" i="7" s="1"/>
  <c r="I30" i="7" s="1"/>
  <c r="F1138" i="1"/>
  <c r="AX1108" i="1"/>
  <c r="AX938" i="1"/>
  <c r="I938" i="1" s="1"/>
  <c r="AX1009" i="1"/>
  <c r="AX1011" i="1" s="1"/>
  <c r="I932" i="1"/>
  <c r="AX1017" i="1" l="1"/>
  <c r="F1014" i="1"/>
  <c r="I1011" i="1"/>
  <c r="AX1012" i="1"/>
  <c r="AX1031" i="1" s="1"/>
  <c r="F1032" i="1" s="1"/>
  <c r="F1033" i="1" s="1" a="1"/>
  <c r="F1033" i="1" s="1"/>
  <c r="F1036" i="1" s="1"/>
  <c r="C23" i="5" s="1"/>
  <c r="O24" i="5"/>
  <c r="I1009" i="1"/>
  <c r="I1108" i="1"/>
  <c r="AX1125" i="1"/>
  <c r="AX30" i="7"/>
  <c r="F66" i="7"/>
  <c r="K1016" i="1" l="1"/>
  <c r="L1016" i="1" s="1"/>
  <c r="L1020" i="1" s="1"/>
  <c r="AX17" i="7"/>
  <c r="I1125" i="1"/>
  <c r="I17" i="7" s="1"/>
  <c r="I31" i="7" s="1"/>
  <c r="F1139" i="1"/>
  <c r="T70" i="5"/>
  <c r="F64" i="35"/>
  <c r="J64" i="35" s="1"/>
  <c r="I64" i="35" s="1"/>
  <c r="M1016" i="1" l="1"/>
  <c r="M1020" i="1" s="1"/>
  <c r="M1109" i="1" s="1"/>
  <c r="O25" i="5"/>
  <c r="AX31" i="7"/>
  <c r="F67" i="7"/>
  <c r="L1109" i="1"/>
  <c r="L1022" i="1"/>
  <c r="K1020" i="1"/>
  <c r="M1022" i="1" l="1"/>
  <c r="M38" i="12" s="1"/>
  <c r="N1016" i="1"/>
  <c r="M1126" i="1"/>
  <c r="M1112" i="1"/>
  <c r="L1126" i="1"/>
  <c r="L1112" i="1"/>
  <c r="K1109" i="1"/>
  <c r="K1022" i="1"/>
  <c r="L1156" i="1"/>
  <c r="L38" i="12"/>
  <c r="F65" i="35"/>
  <c r="J65" i="35" s="1"/>
  <c r="I65" i="35" s="1"/>
  <c r="T71" i="5"/>
  <c r="M1156" i="1" l="1"/>
  <c r="N1020" i="1"/>
  <c r="O1016" i="1"/>
  <c r="K1156" i="1"/>
  <c r="K38" i="12"/>
  <c r="M1155" i="1"/>
  <c r="M35" i="12"/>
  <c r="M1114" i="1"/>
  <c r="L18" i="7"/>
  <c r="L32" i="7" s="1"/>
  <c r="L1129" i="1"/>
  <c r="L135" i="12"/>
  <c r="L40" i="12"/>
  <c r="K1126" i="1"/>
  <c r="K1112" i="1"/>
  <c r="M18" i="7"/>
  <c r="M32" i="7" s="1"/>
  <c r="M1129" i="1"/>
  <c r="M135" i="12"/>
  <c r="M40" i="12"/>
  <c r="L1155" i="1"/>
  <c r="L1159" i="1" s="1"/>
  <c r="L1161" i="1" s="1"/>
  <c r="L1162" i="1" s="1"/>
  <c r="L35" i="12"/>
  <c r="L1114" i="1"/>
  <c r="M1159" i="1" l="1"/>
  <c r="M1161" i="1" s="1"/>
  <c r="M1162" i="1" s="1"/>
  <c r="O1020" i="1"/>
  <c r="P1016" i="1"/>
  <c r="N1109" i="1"/>
  <c r="N1022" i="1"/>
  <c r="M21" i="7"/>
  <c r="M1131" i="1"/>
  <c r="L137" i="12"/>
  <c r="L66" i="12"/>
  <c r="K1155" i="1"/>
  <c r="K1159" i="1" s="1"/>
  <c r="K35" i="12"/>
  <c r="K1114" i="1"/>
  <c r="L190" i="12"/>
  <c r="L222" i="12"/>
  <c r="L235" i="12" s="1"/>
  <c r="L290" i="12" s="1"/>
  <c r="M132" i="12"/>
  <c r="M37" i="12"/>
  <c r="M190" i="12"/>
  <c r="M222" i="12"/>
  <c r="M235" i="12" s="1"/>
  <c r="M290" i="12" s="1"/>
  <c r="K18" i="7"/>
  <c r="K1129" i="1"/>
  <c r="L21" i="7"/>
  <c r="L1131" i="1"/>
  <c r="K135" i="12"/>
  <c r="K40" i="12"/>
  <c r="L132" i="12"/>
  <c r="L37" i="12"/>
  <c r="M137" i="12"/>
  <c r="M66" i="12"/>
  <c r="N1156" i="1" l="1"/>
  <c r="N38" i="12"/>
  <c r="N1112" i="1"/>
  <c r="N1126" i="1"/>
  <c r="P1020" i="1"/>
  <c r="P1017" i="1"/>
  <c r="Q1016" i="1"/>
  <c r="O1109" i="1"/>
  <c r="O1022" i="1"/>
  <c r="M224" i="12"/>
  <c r="M237" i="12" s="1"/>
  <c r="M192" i="12"/>
  <c r="M168" i="12"/>
  <c r="K137" i="12"/>
  <c r="K66" i="12"/>
  <c r="K68" i="12" s="1"/>
  <c r="K21" i="7"/>
  <c r="K1131" i="1"/>
  <c r="K1161" i="1"/>
  <c r="L187" i="12"/>
  <c r="L219" i="12"/>
  <c r="L232" i="12" s="1"/>
  <c r="L287" i="12" s="1"/>
  <c r="K190" i="12"/>
  <c r="K222" i="12"/>
  <c r="K235" i="12" s="1"/>
  <c r="M134" i="12"/>
  <c r="M43" i="12"/>
  <c r="L192" i="12"/>
  <c r="L224" i="12"/>
  <c r="L237" i="12" s="1"/>
  <c r="L168" i="12"/>
  <c r="L134" i="12"/>
  <c r="L43" i="12"/>
  <c r="K32" i="7"/>
  <c r="U96" i="5"/>
  <c r="U99" i="5" s="1"/>
  <c r="L23" i="7"/>
  <c r="M187" i="12"/>
  <c r="M219" i="12"/>
  <c r="M232" i="12" s="1"/>
  <c r="M287" i="12" s="1"/>
  <c r="K132" i="12"/>
  <c r="K37" i="12"/>
  <c r="K43" i="12" s="1"/>
  <c r="V96" i="5"/>
  <c r="V99" i="5" s="1"/>
  <c r="M23" i="7"/>
  <c r="Q1017" i="1" l="1"/>
  <c r="Q1020" i="1"/>
  <c r="N1155" i="1"/>
  <c r="N1159" i="1" s="1"/>
  <c r="N1161" i="1" s="1"/>
  <c r="N1162" i="1" s="1"/>
  <c r="N1114" i="1"/>
  <c r="N35" i="12"/>
  <c r="O38" i="12"/>
  <c r="O1156" i="1"/>
  <c r="N135" i="12"/>
  <c r="N40" i="12"/>
  <c r="O1126" i="1"/>
  <c r="O1112" i="1"/>
  <c r="P1022" i="1"/>
  <c r="P1109" i="1"/>
  <c r="R1016" i="1"/>
  <c r="N18" i="7"/>
  <c r="N32" i="7" s="1"/>
  <c r="N1129" i="1"/>
  <c r="M189" i="12"/>
  <c r="M195" i="12" s="1"/>
  <c r="M221" i="12"/>
  <c r="M234" i="12" s="1"/>
  <c r="M140" i="12"/>
  <c r="K134" i="12"/>
  <c r="L221" i="12"/>
  <c r="L234" i="12" s="1"/>
  <c r="L189" i="12"/>
  <c r="L195" i="12" s="1"/>
  <c r="L140" i="12"/>
  <c r="L268" i="12"/>
  <c r="L292" i="12"/>
  <c r="K23" i="7"/>
  <c r="T96" i="5"/>
  <c r="T99" i="5" s="1"/>
  <c r="K1162" i="1"/>
  <c r="K219" i="12"/>
  <c r="K232" i="12" s="1"/>
  <c r="K187" i="12"/>
  <c r="K168" i="12"/>
  <c r="K170" i="12" s="1"/>
  <c r="K224" i="12"/>
  <c r="K237" i="12" s="1"/>
  <c r="K192" i="12"/>
  <c r="M292" i="12"/>
  <c r="M268" i="12"/>
  <c r="K290" i="12"/>
  <c r="K73" i="12"/>
  <c r="L68" i="12"/>
  <c r="N21" i="7" l="1"/>
  <c r="N1131" i="1"/>
  <c r="P1156" i="1"/>
  <c r="P38" i="12"/>
  <c r="N222" i="12"/>
  <c r="N235" i="12" s="1"/>
  <c r="N290" i="12" s="1"/>
  <c r="N190" i="12"/>
  <c r="O1114" i="1"/>
  <c r="O35" i="12"/>
  <c r="O1155" i="1"/>
  <c r="O1159" i="1" s="1"/>
  <c r="O1161" i="1" s="1"/>
  <c r="O1162" i="1" s="1"/>
  <c r="R1017" i="1"/>
  <c r="R1020" i="1"/>
  <c r="O1129" i="1"/>
  <c r="O18" i="7"/>
  <c r="O32" i="7" s="1"/>
  <c r="O135" i="12"/>
  <c r="O40" i="12"/>
  <c r="Q1109" i="1"/>
  <c r="Q1022" i="1"/>
  <c r="S1016" i="1"/>
  <c r="P1126" i="1"/>
  <c r="P1112" i="1"/>
  <c r="N66" i="12"/>
  <c r="N137" i="12"/>
  <c r="N37" i="12"/>
  <c r="N132" i="12"/>
  <c r="L170" i="12"/>
  <c r="K175" i="12"/>
  <c r="K189" i="12"/>
  <c r="K221" i="12"/>
  <c r="K234" i="12" s="1"/>
  <c r="K140" i="12"/>
  <c r="L289" i="12"/>
  <c r="L295" i="12" s="1"/>
  <c r="L240" i="12"/>
  <c r="L73" i="12"/>
  <c r="M68" i="12"/>
  <c r="M289" i="12"/>
  <c r="M295" i="12" s="1"/>
  <c r="M240" i="12"/>
  <c r="K268" i="12"/>
  <c r="K270" i="12" s="1"/>
  <c r="K292" i="12"/>
  <c r="K287" i="12"/>
  <c r="N43" i="12" l="1"/>
  <c r="N134" i="12"/>
  <c r="P18" i="7"/>
  <c r="P32" i="7" s="1"/>
  <c r="P1129" i="1"/>
  <c r="O137" i="12"/>
  <c r="O66" i="12"/>
  <c r="R1022" i="1"/>
  <c r="R1109" i="1"/>
  <c r="O132" i="12"/>
  <c r="O37" i="12"/>
  <c r="P135" i="12"/>
  <c r="P40" i="12"/>
  <c r="N168" i="12"/>
  <c r="N224" i="12"/>
  <c r="N237" i="12" s="1"/>
  <c r="N192" i="12"/>
  <c r="S1020" i="1"/>
  <c r="S1017" i="1"/>
  <c r="O190" i="12"/>
  <c r="O222" i="12"/>
  <c r="O235" i="12" s="1"/>
  <c r="O290" i="12" s="1"/>
  <c r="T1016" i="1"/>
  <c r="U1016" i="1" s="1"/>
  <c r="Q1156" i="1"/>
  <c r="Q38" i="12"/>
  <c r="N23" i="7"/>
  <c r="W96" i="5"/>
  <c r="W99" i="5" s="1"/>
  <c r="N219" i="12"/>
  <c r="N232" i="12" s="1"/>
  <c r="N287" i="12" s="1"/>
  <c r="N187" i="12"/>
  <c r="P1155" i="1"/>
  <c r="P1159" i="1" s="1"/>
  <c r="P1161" i="1" s="1"/>
  <c r="P1162" i="1" s="1"/>
  <c r="P35" i="12"/>
  <c r="P1114" i="1"/>
  <c r="Q1126" i="1"/>
  <c r="Q1112" i="1"/>
  <c r="O21" i="7"/>
  <c r="O1131" i="1"/>
  <c r="K275" i="12"/>
  <c r="L270" i="12"/>
  <c r="K289" i="12"/>
  <c r="K240" i="12"/>
  <c r="N68" i="12"/>
  <c r="M73" i="12"/>
  <c r="K195" i="12"/>
  <c r="L175" i="12"/>
  <c r="M170" i="12"/>
  <c r="U1020" i="1" l="1"/>
  <c r="U1017" i="1"/>
  <c r="Q35" i="12"/>
  <c r="Q1114" i="1"/>
  <c r="Q1155" i="1"/>
  <c r="Q1159" i="1" s="1"/>
  <c r="Q1161" i="1" s="1"/>
  <c r="Q1162" i="1" s="1"/>
  <c r="S1022" i="1"/>
  <c r="S1109" i="1"/>
  <c r="P66" i="12"/>
  <c r="P137" i="12"/>
  <c r="R1112" i="1"/>
  <c r="R1126" i="1"/>
  <c r="P21" i="7"/>
  <c r="P1131" i="1"/>
  <c r="Q18" i="7"/>
  <c r="Q32" i="7" s="1"/>
  <c r="Q1129" i="1"/>
  <c r="Q40" i="12"/>
  <c r="Q135" i="12"/>
  <c r="P190" i="12"/>
  <c r="P222" i="12"/>
  <c r="P235" i="12" s="1"/>
  <c r="P290" i="12" s="1"/>
  <c r="R38" i="12"/>
  <c r="R1156" i="1"/>
  <c r="O23" i="7"/>
  <c r="X96" i="5"/>
  <c r="X99" i="5" s="1"/>
  <c r="N292" i="12"/>
  <c r="N268" i="12"/>
  <c r="O43" i="12"/>
  <c r="O134" i="12"/>
  <c r="N189" i="12"/>
  <c r="N195" i="12" s="1"/>
  <c r="N221" i="12"/>
  <c r="N234" i="12" s="1"/>
  <c r="N140" i="12"/>
  <c r="P132" i="12"/>
  <c r="P37" i="12"/>
  <c r="T1020" i="1"/>
  <c r="T1017" i="1"/>
  <c r="V1016" i="1"/>
  <c r="O187" i="12"/>
  <c r="O219" i="12"/>
  <c r="O232" i="12" s="1"/>
  <c r="O287" i="12" s="1"/>
  <c r="O192" i="12"/>
  <c r="O224" i="12"/>
  <c r="O237" i="12" s="1"/>
  <c r="O168" i="12"/>
  <c r="M270" i="12"/>
  <c r="L275" i="12"/>
  <c r="O68" i="12"/>
  <c r="N73" i="12"/>
  <c r="K295" i="12"/>
  <c r="N170" i="12"/>
  <c r="M175" i="12"/>
  <c r="O268" i="12" l="1"/>
  <c r="O292" i="12"/>
  <c r="V1020" i="1"/>
  <c r="V1017" i="1"/>
  <c r="P187" i="12"/>
  <c r="P219" i="12"/>
  <c r="P232" i="12" s="1"/>
  <c r="P287" i="12" s="1"/>
  <c r="O221" i="12"/>
  <c r="O234" i="12" s="1"/>
  <c r="O189" i="12"/>
  <c r="O195" i="12" s="1"/>
  <c r="O140" i="12"/>
  <c r="Q21" i="7"/>
  <c r="Q1131" i="1"/>
  <c r="R18" i="7"/>
  <c r="R32" i="7" s="1"/>
  <c r="R1129" i="1"/>
  <c r="S1126" i="1"/>
  <c r="S1112" i="1"/>
  <c r="Q37" i="12"/>
  <c r="Q132" i="12"/>
  <c r="R1114" i="1"/>
  <c r="R1155" i="1"/>
  <c r="R1159" i="1" s="1"/>
  <c r="R1161" i="1" s="1"/>
  <c r="R1162" i="1" s="1"/>
  <c r="R35" i="12"/>
  <c r="S38" i="12"/>
  <c r="S1156" i="1"/>
  <c r="W1016" i="1"/>
  <c r="T1022" i="1"/>
  <c r="T1109" i="1"/>
  <c r="N240" i="12"/>
  <c r="N289" i="12"/>
  <c r="N295" i="12" s="1"/>
  <c r="Q222" i="12"/>
  <c r="Q235" i="12" s="1"/>
  <c r="Q290" i="12" s="1"/>
  <c r="Q190" i="12"/>
  <c r="P23" i="7"/>
  <c r="Y96" i="5"/>
  <c r="Y99" i="5" s="1"/>
  <c r="P224" i="12"/>
  <c r="P237" i="12" s="1"/>
  <c r="P168" i="12"/>
  <c r="P192" i="12"/>
  <c r="P43" i="12"/>
  <c r="P134" i="12"/>
  <c r="R135" i="12"/>
  <c r="R40" i="12"/>
  <c r="Q137" i="12"/>
  <c r="Q66" i="12"/>
  <c r="U1109" i="1"/>
  <c r="U1022" i="1"/>
  <c r="O73" i="12"/>
  <c r="P68" i="12"/>
  <c r="N175" i="12"/>
  <c r="O170" i="12"/>
  <c r="N270" i="12"/>
  <c r="M275" i="12"/>
  <c r="P221" i="12" l="1"/>
  <c r="P234" i="12" s="1"/>
  <c r="P189" i="12"/>
  <c r="P195" i="12" s="1"/>
  <c r="P140" i="12"/>
  <c r="P268" i="12"/>
  <c r="P292" i="12"/>
  <c r="T1156" i="1"/>
  <c r="T38" i="12"/>
  <c r="R132" i="12"/>
  <c r="R37" i="12"/>
  <c r="Q43" i="12"/>
  <c r="Q134" i="12"/>
  <c r="Q224" i="12"/>
  <c r="Q237" i="12" s="1"/>
  <c r="Q192" i="12"/>
  <c r="Q168" i="12"/>
  <c r="W1020" i="1"/>
  <c r="W1017" i="1"/>
  <c r="X1016" i="1"/>
  <c r="S1155" i="1"/>
  <c r="S1159" i="1" s="1"/>
  <c r="S1161" i="1" s="1"/>
  <c r="S1162" i="1" s="1"/>
  <c r="S35" i="12"/>
  <c r="S1114" i="1"/>
  <c r="Z96" i="5"/>
  <c r="Z99" i="5" s="1"/>
  <c r="Q23" i="7"/>
  <c r="O240" i="12"/>
  <c r="O289" i="12"/>
  <c r="O295" i="12" s="1"/>
  <c r="V1109" i="1"/>
  <c r="V1022" i="1"/>
  <c r="U1156" i="1"/>
  <c r="U38" i="12"/>
  <c r="R66" i="12"/>
  <c r="R137" i="12"/>
  <c r="S18" i="7"/>
  <c r="S32" i="7" s="1"/>
  <c r="S1129" i="1"/>
  <c r="U1126" i="1"/>
  <c r="U1112" i="1"/>
  <c r="R190" i="12"/>
  <c r="R222" i="12"/>
  <c r="R235" i="12" s="1"/>
  <c r="R290" i="12" s="1"/>
  <c r="T1112" i="1"/>
  <c r="T1126" i="1"/>
  <c r="S135" i="12"/>
  <c r="S40" i="12"/>
  <c r="Q187" i="12"/>
  <c r="Q219" i="12"/>
  <c r="Q232" i="12" s="1"/>
  <c r="Q287" i="12" s="1"/>
  <c r="R21" i="7"/>
  <c r="R1131" i="1"/>
  <c r="O175" i="12"/>
  <c r="P170" i="12"/>
  <c r="P73" i="12"/>
  <c r="Q68" i="12"/>
  <c r="N275" i="12"/>
  <c r="O270" i="12"/>
  <c r="AA96" i="5" l="1"/>
  <c r="AA99" i="5" s="1"/>
  <c r="R23" i="7"/>
  <c r="S66" i="12"/>
  <c r="S137" i="12"/>
  <c r="S21" i="7"/>
  <c r="S1131" i="1"/>
  <c r="U135" i="12"/>
  <c r="U40" i="12"/>
  <c r="Q268" i="12"/>
  <c r="Q292" i="12"/>
  <c r="R187" i="12"/>
  <c r="R219" i="12"/>
  <c r="R232" i="12" s="1"/>
  <c r="R287" i="12" s="1"/>
  <c r="S222" i="12"/>
  <c r="S235" i="12" s="1"/>
  <c r="S290" i="12" s="1"/>
  <c r="S190" i="12"/>
  <c r="S132" i="12"/>
  <c r="S37" i="12"/>
  <c r="W1109" i="1"/>
  <c r="W1022" i="1"/>
  <c r="Q140" i="12"/>
  <c r="Q221" i="12"/>
  <c r="Q234" i="12" s="1"/>
  <c r="Q189" i="12"/>
  <c r="Q195" i="12" s="1"/>
  <c r="T40" i="12"/>
  <c r="T135" i="12"/>
  <c r="T1129" i="1"/>
  <c r="T18" i="7"/>
  <c r="T32" i="7" s="1"/>
  <c r="U1155" i="1"/>
  <c r="U1159" i="1" s="1"/>
  <c r="U1161" i="1" s="1"/>
  <c r="U1162" i="1" s="1"/>
  <c r="U1114" i="1"/>
  <c r="U35" i="12"/>
  <c r="R168" i="12"/>
  <c r="R192" i="12"/>
  <c r="R224" i="12"/>
  <c r="R237" i="12" s="1"/>
  <c r="V1156" i="1"/>
  <c r="V38" i="12"/>
  <c r="T35" i="12"/>
  <c r="T1114" i="1"/>
  <c r="T1155" i="1"/>
  <c r="T1159" i="1" s="1"/>
  <c r="T1161" i="1" s="1"/>
  <c r="T1162" i="1" s="1"/>
  <c r="U18" i="7"/>
  <c r="U32" i="7" s="1"/>
  <c r="U1129" i="1"/>
  <c r="V1126" i="1"/>
  <c r="V1112" i="1"/>
  <c r="X1017" i="1"/>
  <c r="Y1016" i="1"/>
  <c r="X1020" i="1"/>
  <c r="R134" i="12"/>
  <c r="R43" i="12"/>
  <c r="P289" i="12"/>
  <c r="P295" i="12" s="1"/>
  <c r="P240" i="12"/>
  <c r="O275" i="12"/>
  <c r="P270" i="12"/>
  <c r="P175" i="12"/>
  <c r="Q170" i="12"/>
  <c r="Q73" i="12"/>
  <c r="R68" i="12"/>
  <c r="R189" i="12" l="1"/>
  <c r="R195" i="12" s="1"/>
  <c r="R140" i="12"/>
  <c r="R221" i="12"/>
  <c r="R234" i="12" s="1"/>
  <c r="V35" i="12"/>
  <c r="V1155" i="1"/>
  <c r="V1159" i="1" s="1"/>
  <c r="V1161" i="1" s="1"/>
  <c r="V1162" i="1" s="1"/>
  <c r="V1114" i="1"/>
  <c r="U132" i="12"/>
  <c r="U37" i="12"/>
  <c r="T21" i="7"/>
  <c r="T1131" i="1"/>
  <c r="Q289" i="12"/>
  <c r="Q295" i="12" s="1"/>
  <c r="Q240" i="12"/>
  <c r="S134" i="12"/>
  <c r="S43" i="12"/>
  <c r="U66" i="12"/>
  <c r="U137" i="12"/>
  <c r="S224" i="12"/>
  <c r="S237" i="12" s="1"/>
  <c r="S192" i="12"/>
  <c r="S168" i="12"/>
  <c r="X1022" i="1"/>
  <c r="X1109" i="1"/>
  <c r="V18" i="7"/>
  <c r="V32" i="7" s="1"/>
  <c r="V1129" i="1"/>
  <c r="R292" i="12"/>
  <c r="R268" i="12"/>
  <c r="T222" i="12"/>
  <c r="T235" i="12" s="1"/>
  <c r="T290" i="12" s="1"/>
  <c r="T190" i="12"/>
  <c r="S187" i="12"/>
  <c r="S219" i="12"/>
  <c r="S232" i="12" s="1"/>
  <c r="S287" i="12" s="1"/>
  <c r="U222" i="12"/>
  <c r="U235" i="12" s="1"/>
  <c r="U290" i="12" s="1"/>
  <c r="U190" i="12"/>
  <c r="Y1020" i="1"/>
  <c r="Z1016" i="1"/>
  <c r="Y1017" i="1"/>
  <c r="U1131" i="1"/>
  <c r="U21" i="7"/>
  <c r="T37" i="12"/>
  <c r="T132" i="12"/>
  <c r="T66" i="12"/>
  <c r="T137" i="12"/>
  <c r="W1156" i="1"/>
  <c r="W38" i="12"/>
  <c r="S23" i="7"/>
  <c r="AB96" i="5"/>
  <c r="AB99" i="5" s="1"/>
  <c r="V135" i="12"/>
  <c r="V40" i="12"/>
  <c r="W1126" i="1"/>
  <c r="W1112" i="1"/>
  <c r="Q175" i="12"/>
  <c r="R170" i="12"/>
  <c r="P275" i="12"/>
  <c r="Q270" i="12"/>
  <c r="R73" i="12"/>
  <c r="S68" i="12"/>
  <c r="W1114" i="1" l="1"/>
  <c r="W1155" i="1"/>
  <c r="W1159" i="1" s="1"/>
  <c r="W1161" i="1" s="1"/>
  <c r="W1162" i="1" s="1"/>
  <c r="W35" i="12"/>
  <c r="T224" i="12"/>
  <c r="T237" i="12" s="1"/>
  <c r="T192" i="12"/>
  <c r="T168" i="12"/>
  <c r="Y1109" i="1"/>
  <c r="Y1022" i="1"/>
  <c r="X1156" i="1"/>
  <c r="X38" i="12"/>
  <c r="U224" i="12"/>
  <c r="U237" i="12" s="1"/>
  <c r="U192" i="12"/>
  <c r="U168" i="12"/>
  <c r="U134" i="12"/>
  <c r="U43" i="12"/>
  <c r="V132" i="12"/>
  <c r="V37" i="12"/>
  <c r="W1129" i="1"/>
  <c r="W18" i="7"/>
  <c r="W32" i="7" s="1"/>
  <c r="AD96" i="5"/>
  <c r="AD99" i="5" s="1"/>
  <c r="U23" i="7"/>
  <c r="V21" i="7"/>
  <c r="V1131" i="1"/>
  <c r="U187" i="12"/>
  <c r="U219" i="12"/>
  <c r="U232" i="12" s="1"/>
  <c r="U287" i="12" s="1"/>
  <c r="R289" i="12"/>
  <c r="R295" i="12" s="1"/>
  <c r="R240" i="12"/>
  <c r="V137" i="12"/>
  <c r="V66" i="12"/>
  <c r="W40" i="12"/>
  <c r="W135" i="12"/>
  <c r="T187" i="12"/>
  <c r="T219" i="12"/>
  <c r="T232" i="12" s="1"/>
  <c r="T287" i="12" s="1"/>
  <c r="AC96" i="5"/>
  <c r="AC99" i="5" s="1"/>
  <c r="T23" i="7"/>
  <c r="V222" i="12"/>
  <c r="V235" i="12" s="1"/>
  <c r="V290" i="12" s="1"/>
  <c r="V190" i="12"/>
  <c r="T134" i="12"/>
  <c r="T43" i="12"/>
  <c r="Z1017" i="1"/>
  <c r="AA1016" i="1"/>
  <c r="Z1020" i="1"/>
  <c r="X1126" i="1"/>
  <c r="X1112" i="1"/>
  <c r="S268" i="12"/>
  <c r="S292" i="12"/>
  <c r="S221" i="12"/>
  <c r="S234" i="12" s="1"/>
  <c r="S189" i="12"/>
  <c r="S195" i="12" s="1"/>
  <c r="S140" i="12"/>
  <c r="S73" i="12"/>
  <c r="T68" i="12"/>
  <c r="R175" i="12"/>
  <c r="S170" i="12"/>
  <c r="Q275" i="12"/>
  <c r="R270" i="12"/>
  <c r="X35" i="12" l="1"/>
  <c r="X1155" i="1"/>
  <c r="X1159" i="1" s="1"/>
  <c r="X1161" i="1" s="1"/>
  <c r="X1162" i="1" s="1"/>
  <c r="X1114" i="1"/>
  <c r="V224" i="12"/>
  <c r="V237" i="12" s="1"/>
  <c r="V168" i="12"/>
  <c r="V192" i="12"/>
  <c r="V187" i="12"/>
  <c r="V219" i="12"/>
  <c r="V232" i="12" s="1"/>
  <c r="V287" i="12" s="1"/>
  <c r="Y38" i="12"/>
  <c r="Y1156" i="1"/>
  <c r="T268" i="12"/>
  <c r="T292" i="12"/>
  <c r="S289" i="12"/>
  <c r="S295" i="12" s="1"/>
  <c r="S240" i="12"/>
  <c r="X1129" i="1"/>
  <c r="X18" i="7"/>
  <c r="X32" i="7" s="1"/>
  <c r="W190" i="12"/>
  <c r="W222" i="12"/>
  <c r="W235" i="12" s="1"/>
  <c r="W290" i="12" s="1"/>
  <c r="V23" i="7"/>
  <c r="AE96" i="5"/>
  <c r="AE99" i="5" s="1"/>
  <c r="U292" i="12"/>
  <c r="U268" i="12"/>
  <c r="Y1112" i="1"/>
  <c r="Y1126" i="1"/>
  <c r="W132" i="12"/>
  <c r="W37" i="12"/>
  <c r="Z1109" i="1"/>
  <c r="Z1022" i="1"/>
  <c r="T221" i="12"/>
  <c r="T234" i="12" s="1"/>
  <c r="T140" i="12"/>
  <c r="T189" i="12"/>
  <c r="T195" i="12" s="1"/>
  <c r="W137" i="12"/>
  <c r="W66" i="12"/>
  <c r="W21" i="7"/>
  <c r="W1131" i="1"/>
  <c r="U140" i="12"/>
  <c r="U221" i="12"/>
  <c r="U234" i="12" s="1"/>
  <c r="U189" i="12"/>
  <c r="U195" i="12" s="1"/>
  <c r="X40" i="12"/>
  <c r="X135" i="12"/>
  <c r="AA1017" i="1"/>
  <c r="AB1016" i="1"/>
  <c r="AA1020" i="1"/>
  <c r="V134" i="12"/>
  <c r="V43" i="12"/>
  <c r="S175" i="12"/>
  <c r="T170" i="12"/>
  <c r="T73" i="12"/>
  <c r="U68" i="12"/>
  <c r="R275" i="12"/>
  <c r="S270" i="12"/>
  <c r="V140" i="12" l="1"/>
  <c r="V189" i="12"/>
  <c r="V195" i="12" s="1"/>
  <c r="V221" i="12"/>
  <c r="V234" i="12" s="1"/>
  <c r="X190" i="12"/>
  <c r="X222" i="12"/>
  <c r="X235" i="12" s="1"/>
  <c r="X290" i="12" s="1"/>
  <c r="W192" i="12"/>
  <c r="W168" i="12"/>
  <c r="W224" i="12"/>
  <c r="W237" i="12" s="1"/>
  <c r="Z1156" i="1"/>
  <c r="Z38" i="12"/>
  <c r="Y1129" i="1"/>
  <c r="Y18" i="7"/>
  <c r="Y32" i="7" s="1"/>
  <c r="V268" i="12"/>
  <c r="V292" i="12"/>
  <c r="AA1109" i="1"/>
  <c r="AA1022" i="1"/>
  <c r="X66" i="12"/>
  <c r="X137" i="12"/>
  <c r="W23" i="7"/>
  <c r="AF96" i="5"/>
  <c r="AF99" i="5" s="1"/>
  <c r="Z1126" i="1"/>
  <c r="Z1112" i="1"/>
  <c r="Y1155" i="1"/>
  <c r="Y1159" i="1" s="1"/>
  <c r="Y1161" i="1" s="1"/>
  <c r="Y1162" i="1" s="1"/>
  <c r="Y1114" i="1"/>
  <c r="Y35" i="12"/>
  <c r="X1131" i="1"/>
  <c r="X21" i="7"/>
  <c r="AB1017" i="1"/>
  <c r="AC1016" i="1"/>
  <c r="AB1020" i="1"/>
  <c r="W134" i="12"/>
  <c r="W43" i="12"/>
  <c r="U289" i="12"/>
  <c r="U295" i="12" s="1"/>
  <c r="U240" i="12"/>
  <c r="T289" i="12"/>
  <c r="T295" i="12" s="1"/>
  <c r="T240" i="12"/>
  <c r="W219" i="12"/>
  <c r="W232" i="12" s="1"/>
  <c r="W287" i="12" s="1"/>
  <c r="W187" i="12"/>
  <c r="Y135" i="12"/>
  <c r="Y40" i="12"/>
  <c r="X37" i="12"/>
  <c r="X132" i="12"/>
  <c r="S275" i="12"/>
  <c r="T270" i="12"/>
  <c r="U73" i="12"/>
  <c r="V68" i="12"/>
  <c r="T175" i="12"/>
  <c r="U170" i="12"/>
  <c r="Y222" i="12" l="1"/>
  <c r="Y235" i="12" s="1"/>
  <c r="Y290" i="12" s="1"/>
  <c r="Y190" i="12"/>
  <c r="W221" i="12"/>
  <c r="W234" i="12" s="1"/>
  <c r="W189" i="12"/>
  <c r="W195" i="12" s="1"/>
  <c r="W140" i="12"/>
  <c r="AA1112" i="1"/>
  <c r="AA1126" i="1"/>
  <c r="Y21" i="7"/>
  <c r="Y1131" i="1"/>
  <c r="V240" i="12"/>
  <c r="V289" i="12"/>
  <c r="V295" i="12" s="1"/>
  <c r="X187" i="12"/>
  <c r="X219" i="12"/>
  <c r="X232" i="12" s="1"/>
  <c r="X287" i="12" s="1"/>
  <c r="AB1022" i="1"/>
  <c r="AB1109" i="1"/>
  <c r="AG96" i="5"/>
  <c r="AG99" i="5" s="1"/>
  <c r="X23" i="7"/>
  <c r="Z35" i="12"/>
  <c r="Z1155" i="1"/>
  <c r="Z1159" i="1" s="1"/>
  <c r="Z1161" i="1" s="1"/>
  <c r="Z1162" i="1" s="1"/>
  <c r="Z1114" i="1"/>
  <c r="X168" i="12"/>
  <c r="X224" i="12"/>
  <c r="X237" i="12" s="1"/>
  <c r="X192" i="12"/>
  <c r="Z40" i="12"/>
  <c r="Z135" i="12"/>
  <c r="X43" i="12"/>
  <c r="X134" i="12"/>
  <c r="AC1020" i="1"/>
  <c r="AC1017" i="1"/>
  <c r="Y37" i="12"/>
  <c r="Y132" i="12"/>
  <c r="Z18" i="7"/>
  <c r="Z32" i="7" s="1"/>
  <c r="Z1129" i="1"/>
  <c r="Y66" i="12"/>
  <c r="Y137" i="12"/>
  <c r="AA1156" i="1"/>
  <c r="AA38" i="12"/>
  <c r="W268" i="12"/>
  <c r="W292" i="12"/>
  <c r="AD1016" i="1"/>
  <c r="U175" i="12"/>
  <c r="V170" i="12"/>
  <c r="T275" i="12"/>
  <c r="U270" i="12"/>
  <c r="V73" i="12"/>
  <c r="W68" i="12"/>
  <c r="AE1016" i="1" l="1"/>
  <c r="AD1017" i="1"/>
  <c r="AD1020" i="1"/>
  <c r="AC1022" i="1"/>
  <c r="AC1109" i="1"/>
  <c r="Z137" i="12"/>
  <c r="Z66" i="12"/>
  <c r="Y168" i="12"/>
  <c r="Y224" i="12"/>
  <c r="Y237" i="12" s="1"/>
  <c r="Y192" i="12"/>
  <c r="Y219" i="12"/>
  <c r="Y232" i="12" s="1"/>
  <c r="Y287" i="12" s="1"/>
  <c r="Y187" i="12"/>
  <c r="X221" i="12"/>
  <c r="X234" i="12" s="1"/>
  <c r="X189" i="12"/>
  <c r="X195" i="12" s="1"/>
  <c r="X140" i="12"/>
  <c r="AB1126" i="1"/>
  <c r="AB1112" i="1"/>
  <c r="AA18" i="7"/>
  <c r="AA32" i="7" s="1"/>
  <c r="AA1129" i="1"/>
  <c r="W289" i="12"/>
  <c r="W295" i="12" s="1"/>
  <c r="W240" i="12"/>
  <c r="Y43" i="12"/>
  <c r="Y134" i="12"/>
  <c r="X292" i="12"/>
  <c r="X268" i="12"/>
  <c r="Z37" i="12"/>
  <c r="Z132" i="12"/>
  <c r="AB38" i="12"/>
  <c r="AB1156" i="1"/>
  <c r="AA1155" i="1"/>
  <c r="AA1159" i="1" s="1"/>
  <c r="AA1161" i="1" s="1"/>
  <c r="AA1162" i="1" s="1"/>
  <c r="AA35" i="12"/>
  <c r="AA1114" i="1"/>
  <c r="AA40" i="12"/>
  <c r="AA135" i="12"/>
  <c r="Z21" i="7"/>
  <c r="Z1131" i="1"/>
  <c r="Z222" i="12"/>
  <c r="Z235" i="12" s="1"/>
  <c r="Z290" i="12" s="1"/>
  <c r="Z190" i="12"/>
  <c r="Y23" i="7"/>
  <c r="AH96" i="5"/>
  <c r="AH99" i="5" s="1"/>
  <c r="W73" i="12"/>
  <c r="X68" i="12"/>
  <c r="U275" i="12"/>
  <c r="V270" i="12"/>
  <c r="V175" i="12"/>
  <c r="W170" i="12"/>
  <c r="Z23" i="7" l="1"/>
  <c r="AI96" i="5"/>
  <c r="AI99" i="5" s="1"/>
  <c r="AB135" i="12"/>
  <c r="AB40" i="12"/>
  <c r="AB18" i="7"/>
  <c r="AB32" i="7" s="1"/>
  <c r="AB1129" i="1"/>
  <c r="AC1156" i="1"/>
  <c r="AC38" i="12"/>
  <c r="AA132" i="12"/>
  <c r="AA37" i="12"/>
  <c r="Z219" i="12"/>
  <c r="Z232" i="12" s="1"/>
  <c r="Z287" i="12" s="1"/>
  <c r="Z187" i="12"/>
  <c r="Y221" i="12"/>
  <c r="Y234" i="12" s="1"/>
  <c r="Y189" i="12"/>
  <c r="Y195" i="12" s="1"/>
  <c r="Y140" i="12"/>
  <c r="AA1131" i="1"/>
  <c r="AA21" i="7"/>
  <c r="AD1109" i="1"/>
  <c r="AD1022" i="1"/>
  <c r="AA190" i="12"/>
  <c r="AA222" i="12"/>
  <c r="AA235" i="12" s="1"/>
  <c r="AA290" i="12" s="1"/>
  <c r="Z134" i="12"/>
  <c r="Z43" i="12"/>
  <c r="Z192" i="12"/>
  <c r="Z224" i="12"/>
  <c r="Z237" i="12" s="1"/>
  <c r="Z168" i="12"/>
  <c r="AA137" i="12"/>
  <c r="AA66" i="12"/>
  <c r="AB1155" i="1"/>
  <c r="AB1159" i="1" s="1"/>
  <c r="AB1161" i="1" s="1"/>
  <c r="AB1162" i="1" s="1"/>
  <c r="AB35" i="12"/>
  <c r="AB1114" i="1"/>
  <c r="X289" i="12"/>
  <c r="X295" i="12" s="1"/>
  <c r="X240" i="12"/>
  <c r="Y292" i="12"/>
  <c r="Y268" i="12"/>
  <c r="AC1126" i="1"/>
  <c r="AC1112" i="1"/>
  <c r="AE1017" i="1"/>
  <c r="AF1016" i="1"/>
  <c r="AE1020" i="1"/>
  <c r="V275" i="12"/>
  <c r="W270" i="12"/>
  <c r="X73" i="12"/>
  <c r="Y68" i="12"/>
  <c r="W175" i="12"/>
  <c r="X170" i="12"/>
  <c r="AE1022" i="1" l="1"/>
  <c r="AE1109" i="1"/>
  <c r="AC18" i="7"/>
  <c r="AC32" i="7" s="1"/>
  <c r="AC1129" i="1"/>
  <c r="AJ96" i="5"/>
  <c r="AJ99" i="5" s="1"/>
  <c r="AA23" i="7"/>
  <c r="AC135" i="12"/>
  <c r="AC40" i="12"/>
  <c r="AB66" i="12"/>
  <c r="AB137" i="12"/>
  <c r="AG1016" i="1"/>
  <c r="AF1020" i="1"/>
  <c r="AF1017" i="1"/>
  <c r="AA168" i="12"/>
  <c r="AA224" i="12"/>
  <c r="AA237" i="12" s="1"/>
  <c r="AA192" i="12"/>
  <c r="AD1156" i="1"/>
  <c r="AD38" i="12"/>
  <c r="AB222" i="12"/>
  <c r="AB235" i="12" s="1"/>
  <c r="AB290" i="12" s="1"/>
  <c r="AB190" i="12"/>
  <c r="AB132" i="12"/>
  <c r="AB37" i="12"/>
  <c r="Z189" i="12"/>
  <c r="Z195" i="12" s="1"/>
  <c r="Z140" i="12"/>
  <c r="Z221" i="12"/>
  <c r="Z234" i="12" s="1"/>
  <c r="AD1112" i="1"/>
  <c r="AD1126" i="1"/>
  <c r="AA43" i="12"/>
  <c r="AA134" i="12"/>
  <c r="AB21" i="7"/>
  <c r="AB1131" i="1"/>
  <c r="AC1114" i="1"/>
  <c r="AC1155" i="1"/>
  <c r="AC1159" i="1" s="1"/>
  <c r="AC1161" i="1" s="1"/>
  <c r="AC1162" i="1" s="1"/>
  <c r="AC35" i="12"/>
  <c r="Z268" i="12"/>
  <c r="Z292" i="12"/>
  <c r="Y240" i="12"/>
  <c r="Y289" i="12"/>
  <c r="Y295" i="12" s="1"/>
  <c r="AA187" i="12"/>
  <c r="AA219" i="12"/>
  <c r="AA232" i="12" s="1"/>
  <c r="AA287" i="12" s="1"/>
  <c r="Y73" i="12"/>
  <c r="Z68" i="12"/>
  <c r="W275" i="12"/>
  <c r="X270" i="12"/>
  <c r="X175" i="12"/>
  <c r="Y170" i="12"/>
  <c r="AF1109" i="1" l="1"/>
  <c r="AF1022" i="1"/>
  <c r="AC66" i="12"/>
  <c r="AC137" i="12"/>
  <c r="AC21" i="7"/>
  <c r="AC1131" i="1"/>
  <c r="AK96" i="5"/>
  <c r="AK99" i="5" s="1"/>
  <c r="AB23" i="7"/>
  <c r="AD18" i="7"/>
  <c r="AD32" i="7" s="1"/>
  <c r="AD1129" i="1"/>
  <c r="AA268" i="12"/>
  <c r="AA292" i="12"/>
  <c r="AG1020" i="1"/>
  <c r="AG1017" i="1"/>
  <c r="AH1016" i="1"/>
  <c r="AC190" i="12"/>
  <c r="AC222" i="12"/>
  <c r="AC235" i="12" s="1"/>
  <c r="AC290" i="12" s="1"/>
  <c r="AC132" i="12"/>
  <c r="AC37" i="12"/>
  <c r="AD35" i="12"/>
  <c r="AD1155" i="1"/>
  <c r="AD1159" i="1" s="1"/>
  <c r="AD1161" i="1" s="1"/>
  <c r="AD1162" i="1" s="1"/>
  <c r="AD1114" i="1"/>
  <c r="AB43" i="12"/>
  <c r="AB134" i="12"/>
  <c r="AD40" i="12"/>
  <c r="AD135" i="12"/>
  <c r="AB224" i="12"/>
  <c r="AB237" i="12" s="1"/>
  <c r="AB192" i="12"/>
  <c r="AB168" i="12"/>
  <c r="AE1126" i="1"/>
  <c r="AE1112" i="1"/>
  <c r="AA140" i="12"/>
  <c r="AA189" i="12"/>
  <c r="AA195" i="12" s="1"/>
  <c r="AA221" i="12"/>
  <c r="AA234" i="12" s="1"/>
  <c r="Z289" i="12"/>
  <c r="Z295" i="12" s="1"/>
  <c r="Z240" i="12"/>
  <c r="AB187" i="12"/>
  <c r="AB219" i="12"/>
  <c r="AB232" i="12" s="1"/>
  <c r="AB287" i="12" s="1"/>
  <c r="AE1156" i="1"/>
  <c r="AE38" i="12"/>
  <c r="Y175" i="12"/>
  <c r="Z170" i="12"/>
  <c r="X275" i="12"/>
  <c r="Y270" i="12"/>
  <c r="Z73" i="12"/>
  <c r="AA68" i="12"/>
  <c r="AE40" i="12" l="1"/>
  <c r="AE135" i="12"/>
  <c r="AB221" i="12"/>
  <c r="AB234" i="12" s="1"/>
  <c r="AB189" i="12"/>
  <c r="AB195" i="12" s="1"/>
  <c r="AB140" i="12"/>
  <c r="AD132" i="12"/>
  <c r="AD37" i="12"/>
  <c r="AC192" i="12"/>
  <c r="AC224" i="12"/>
  <c r="AC237" i="12" s="1"/>
  <c r="AC168" i="12"/>
  <c r="AE35" i="12"/>
  <c r="AE1114" i="1"/>
  <c r="AE1155" i="1"/>
  <c r="AE1159" i="1" s="1"/>
  <c r="AE1161" i="1" s="1"/>
  <c r="AE1162" i="1" s="1"/>
  <c r="AB292" i="12"/>
  <c r="AB268" i="12"/>
  <c r="AC43" i="12"/>
  <c r="AC134" i="12"/>
  <c r="AH1017" i="1"/>
  <c r="AI1016" i="1"/>
  <c r="AH1020" i="1"/>
  <c r="AA240" i="12"/>
  <c r="AA289" i="12"/>
  <c r="AA295" i="12" s="1"/>
  <c r="AE18" i="7"/>
  <c r="AE32" i="7" s="1"/>
  <c r="AE1129" i="1"/>
  <c r="AD190" i="12"/>
  <c r="AD222" i="12"/>
  <c r="AD235" i="12" s="1"/>
  <c r="AD290" i="12" s="1"/>
  <c r="AC219" i="12"/>
  <c r="AC232" i="12" s="1"/>
  <c r="AC287" i="12" s="1"/>
  <c r="AC187" i="12"/>
  <c r="AD21" i="7"/>
  <c r="AD1131" i="1"/>
  <c r="AC23" i="7"/>
  <c r="AL96" i="5"/>
  <c r="AL99" i="5" s="1"/>
  <c r="AF38" i="12"/>
  <c r="AF1156" i="1"/>
  <c r="AD137" i="12"/>
  <c r="AD66" i="12"/>
  <c r="AG1109" i="1"/>
  <c r="AG1022" i="1"/>
  <c r="AF1126" i="1"/>
  <c r="AF1112" i="1"/>
  <c r="AA73" i="12"/>
  <c r="AB68" i="12"/>
  <c r="Z175" i="12"/>
  <c r="AA170" i="12"/>
  <c r="Y275" i="12"/>
  <c r="Z270" i="12"/>
  <c r="AF1114" i="1" l="1"/>
  <c r="AF1155" i="1"/>
  <c r="AF1159" i="1" s="1"/>
  <c r="AF1161" i="1" s="1"/>
  <c r="AF1162" i="1" s="1"/>
  <c r="AF35" i="12"/>
  <c r="AE21" i="7"/>
  <c r="AE1131" i="1"/>
  <c r="AH1022" i="1"/>
  <c r="AH1109" i="1"/>
  <c r="AF1129" i="1"/>
  <c r="AF18" i="7"/>
  <c r="AF32" i="7" s="1"/>
  <c r="AD224" i="12"/>
  <c r="AD237" i="12" s="1"/>
  <c r="AD192" i="12"/>
  <c r="AD168" i="12"/>
  <c r="AI1020" i="1"/>
  <c r="AI1017" i="1"/>
  <c r="AJ1016" i="1"/>
  <c r="AE132" i="12"/>
  <c r="AE37" i="12"/>
  <c r="AD43" i="12"/>
  <c r="AD134" i="12"/>
  <c r="AB240" i="12"/>
  <c r="AB289" i="12"/>
  <c r="AB295" i="12" s="1"/>
  <c r="AG38" i="12"/>
  <c r="AG1156" i="1"/>
  <c r="AM96" i="5"/>
  <c r="AM99" i="5" s="1"/>
  <c r="AD23" i="7"/>
  <c r="AD219" i="12"/>
  <c r="AD232" i="12" s="1"/>
  <c r="AD287" i="12" s="1"/>
  <c r="AD187" i="12"/>
  <c r="AE190" i="12"/>
  <c r="AE222" i="12"/>
  <c r="AE235" i="12" s="1"/>
  <c r="AE290" i="12" s="1"/>
  <c r="AG1126" i="1"/>
  <c r="AG1112" i="1"/>
  <c r="AF135" i="12"/>
  <c r="AF40" i="12"/>
  <c r="AC189" i="12"/>
  <c r="AC195" i="12" s="1"/>
  <c r="AC221" i="12"/>
  <c r="AC234" i="12" s="1"/>
  <c r="AC140" i="12"/>
  <c r="AC268" i="12"/>
  <c r="AC292" i="12"/>
  <c r="AE137" i="12"/>
  <c r="AE66" i="12"/>
  <c r="Z275" i="12"/>
  <c r="AA270" i="12"/>
  <c r="AA175" i="12"/>
  <c r="AB170" i="12"/>
  <c r="AB73" i="12"/>
  <c r="AC68" i="12"/>
  <c r="AF222" i="12" l="1"/>
  <c r="AF235" i="12" s="1"/>
  <c r="AF290" i="12" s="1"/>
  <c r="AF190" i="12"/>
  <c r="AE187" i="12"/>
  <c r="AE219" i="12"/>
  <c r="AE232" i="12" s="1"/>
  <c r="AE287" i="12" s="1"/>
  <c r="AF1131" i="1"/>
  <c r="AF21" i="7"/>
  <c r="AE224" i="12"/>
  <c r="AE237" i="12" s="1"/>
  <c r="AE192" i="12"/>
  <c r="AE168" i="12"/>
  <c r="AC289" i="12"/>
  <c r="AC295" i="12" s="1"/>
  <c r="AC240" i="12"/>
  <c r="AG1155" i="1"/>
  <c r="AG1159" i="1" s="1"/>
  <c r="AG1161" i="1" s="1"/>
  <c r="AG1162" i="1" s="1"/>
  <c r="AG1114" i="1"/>
  <c r="AG35" i="12"/>
  <c r="AD189" i="12"/>
  <c r="AD195" i="12" s="1"/>
  <c r="AD221" i="12"/>
  <c r="AD234" i="12" s="1"/>
  <c r="AD140" i="12"/>
  <c r="AJ1020" i="1"/>
  <c r="AJ1017" i="1"/>
  <c r="AK1016" i="1"/>
  <c r="AH1126" i="1"/>
  <c r="AH1112" i="1"/>
  <c r="AF132" i="12"/>
  <c r="AF37" i="12"/>
  <c r="AG1129" i="1"/>
  <c r="AG18" i="7"/>
  <c r="AG32" i="7" s="1"/>
  <c r="AG135" i="12"/>
  <c r="AG40" i="12"/>
  <c r="AD292" i="12"/>
  <c r="AD268" i="12"/>
  <c r="AH38" i="12"/>
  <c r="AH1156" i="1"/>
  <c r="AF137" i="12"/>
  <c r="AF66" i="12"/>
  <c r="AE43" i="12"/>
  <c r="AE134" i="12"/>
  <c r="AI1022" i="1"/>
  <c r="AI1109" i="1"/>
  <c r="AE23" i="7"/>
  <c r="AN96" i="5"/>
  <c r="AN99" i="5" s="1"/>
  <c r="AC73" i="12"/>
  <c r="AD68" i="12"/>
  <c r="AA275" i="12"/>
  <c r="AB270" i="12"/>
  <c r="AB175" i="12"/>
  <c r="AC170" i="12"/>
  <c r="AE189" i="12" l="1"/>
  <c r="AE195" i="12" s="1"/>
  <c r="AE221" i="12"/>
  <c r="AE234" i="12" s="1"/>
  <c r="AE140" i="12"/>
  <c r="AG66" i="12"/>
  <c r="AG137" i="12"/>
  <c r="AF134" i="12"/>
  <c r="AF43" i="12"/>
  <c r="AL1016" i="1"/>
  <c r="AK1020" i="1"/>
  <c r="AK1017" i="1"/>
  <c r="AD289" i="12"/>
  <c r="AD295" i="12" s="1"/>
  <c r="AD240" i="12"/>
  <c r="AH40" i="12"/>
  <c r="AH135" i="12"/>
  <c r="AG222" i="12"/>
  <c r="AG235" i="12" s="1"/>
  <c r="AG290" i="12" s="1"/>
  <c r="AG190" i="12"/>
  <c r="AF219" i="12"/>
  <c r="AF232" i="12" s="1"/>
  <c r="AF287" i="12" s="1"/>
  <c r="AF187" i="12"/>
  <c r="AE268" i="12"/>
  <c r="AE292" i="12"/>
  <c r="AI1112" i="1"/>
  <c r="AI1126" i="1"/>
  <c r="AH1155" i="1"/>
  <c r="AH1159" i="1" s="1"/>
  <c r="AH1161" i="1" s="1"/>
  <c r="AH1162" i="1" s="1"/>
  <c r="AH1114" i="1"/>
  <c r="AH35" i="12"/>
  <c r="AJ1022" i="1"/>
  <c r="AJ1109" i="1"/>
  <c r="AG37" i="12"/>
  <c r="AG132" i="12"/>
  <c r="AI38" i="12"/>
  <c r="AI1156" i="1"/>
  <c r="AF192" i="12"/>
  <c r="AF224" i="12"/>
  <c r="AF237" i="12" s="1"/>
  <c r="AF168" i="12"/>
  <c r="AG21" i="7"/>
  <c r="AG1131" i="1"/>
  <c r="AH18" i="7"/>
  <c r="AH32" i="7" s="1"/>
  <c r="AH1129" i="1"/>
  <c r="AF23" i="7"/>
  <c r="AO96" i="5"/>
  <c r="AO99" i="5" s="1"/>
  <c r="AD73" i="12"/>
  <c r="AE68" i="12"/>
  <c r="AC175" i="12"/>
  <c r="AD170" i="12"/>
  <c r="AB275" i="12"/>
  <c r="AC270" i="12"/>
  <c r="AG23" i="7" l="1"/>
  <c r="AP96" i="5"/>
  <c r="AP99" i="5" s="1"/>
  <c r="AG43" i="12"/>
  <c r="AG134" i="12"/>
  <c r="AL1020" i="1"/>
  <c r="AM1016" i="1"/>
  <c r="AL1017" i="1"/>
  <c r="AJ1126" i="1"/>
  <c r="AJ1112" i="1"/>
  <c r="AH21" i="7"/>
  <c r="AH1131" i="1"/>
  <c r="AI40" i="12"/>
  <c r="AI135" i="12"/>
  <c r="AJ38" i="12"/>
  <c r="AJ1156" i="1"/>
  <c r="AI18" i="7"/>
  <c r="AI32" i="7" s="1"/>
  <c r="AI1129" i="1"/>
  <c r="AH190" i="12"/>
  <c r="AH222" i="12"/>
  <c r="AH235" i="12" s="1"/>
  <c r="AH290" i="12" s="1"/>
  <c r="AF140" i="12"/>
  <c r="AF189" i="12"/>
  <c r="AF195" i="12" s="1"/>
  <c r="AF221" i="12"/>
  <c r="AF234" i="12" s="1"/>
  <c r="AE289" i="12"/>
  <c r="AE295" i="12" s="1"/>
  <c r="AE240" i="12"/>
  <c r="AF292" i="12"/>
  <c r="AF268" i="12"/>
  <c r="AG219" i="12"/>
  <c r="AG232" i="12" s="1"/>
  <c r="AG287" i="12" s="1"/>
  <c r="AG187" i="12"/>
  <c r="AH37" i="12"/>
  <c r="AH132" i="12"/>
  <c r="AI1155" i="1"/>
  <c r="AI1159" i="1" s="1"/>
  <c r="AI1161" i="1" s="1"/>
  <c r="AI1162" i="1" s="1"/>
  <c r="AI35" i="12"/>
  <c r="AI1114" i="1"/>
  <c r="AH66" i="12"/>
  <c r="AH137" i="12"/>
  <c r="AK1022" i="1"/>
  <c r="AK1109" i="1"/>
  <c r="AG224" i="12"/>
  <c r="AG237" i="12" s="1"/>
  <c r="AG168" i="12"/>
  <c r="AG192" i="12"/>
  <c r="AC275" i="12"/>
  <c r="AD270" i="12"/>
  <c r="AD175" i="12"/>
  <c r="AE170" i="12"/>
  <c r="AE73" i="12"/>
  <c r="AF68" i="12"/>
  <c r="AK38" i="12" l="1"/>
  <c r="AK1156" i="1"/>
  <c r="AI132" i="12"/>
  <c r="AI37" i="12"/>
  <c r="AI66" i="12"/>
  <c r="AI137" i="12"/>
  <c r="AJ18" i="7"/>
  <c r="AJ32" i="7" s="1"/>
  <c r="AJ1129" i="1"/>
  <c r="AG140" i="12"/>
  <c r="AG221" i="12"/>
  <c r="AG234" i="12" s="1"/>
  <c r="AG189" i="12"/>
  <c r="AG195" i="12" s="1"/>
  <c r="AH224" i="12"/>
  <c r="AH237" i="12" s="1"/>
  <c r="AH192" i="12"/>
  <c r="AH168" i="12"/>
  <c r="AQ96" i="5"/>
  <c r="AQ99" i="5" s="1"/>
  <c r="AH23" i="7"/>
  <c r="AG268" i="12"/>
  <c r="AG292" i="12"/>
  <c r="AH219" i="12"/>
  <c r="AH232" i="12" s="1"/>
  <c r="AH287" i="12" s="1"/>
  <c r="AH187" i="12"/>
  <c r="AF289" i="12"/>
  <c r="AF295" i="12" s="1"/>
  <c r="AF240" i="12"/>
  <c r="AJ40" i="12"/>
  <c r="AJ135" i="12"/>
  <c r="AN1016" i="1"/>
  <c r="AM1020" i="1"/>
  <c r="AM1017" i="1"/>
  <c r="AK1126" i="1"/>
  <c r="AK1112" i="1"/>
  <c r="AH43" i="12"/>
  <c r="AH134" i="12"/>
  <c r="AI1131" i="1"/>
  <c r="AI21" i="7"/>
  <c r="AI222" i="12"/>
  <c r="AI235" i="12" s="1"/>
  <c r="AI290" i="12" s="1"/>
  <c r="AI190" i="12"/>
  <c r="AJ1155" i="1"/>
  <c r="AJ1159" i="1" s="1"/>
  <c r="AJ1161" i="1" s="1"/>
  <c r="AJ1162" i="1" s="1"/>
  <c r="AJ1114" i="1"/>
  <c r="AJ35" i="12"/>
  <c r="AL1109" i="1"/>
  <c r="AL1022" i="1"/>
  <c r="AD275" i="12"/>
  <c r="AE270" i="12"/>
  <c r="AF73" i="12"/>
  <c r="AG68" i="12"/>
  <c r="AE175" i="12"/>
  <c r="AF170" i="12"/>
  <c r="AL38" i="12" l="1"/>
  <c r="AL1156" i="1"/>
  <c r="AI23" i="7"/>
  <c r="AR96" i="5"/>
  <c r="AR99" i="5" s="1"/>
  <c r="AK1129" i="1"/>
  <c r="AK18" i="7"/>
  <c r="AK32" i="7" s="1"/>
  <c r="AJ190" i="12"/>
  <c r="AJ222" i="12"/>
  <c r="AJ235" i="12" s="1"/>
  <c r="AJ290" i="12" s="1"/>
  <c r="AH292" i="12"/>
  <c r="AH268" i="12"/>
  <c r="AJ21" i="7"/>
  <c r="AJ1131" i="1"/>
  <c r="AI134" i="12"/>
  <c r="AI43" i="12"/>
  <c r="AL1126" i="1"/>
  <c r="AL1112" i="1"/>
  <c r="AH221" i="12"/>
  <c r="AH234" i="12" s="1"/>
  <c r="AH189" i="12"/>
  <c r="AH195" i="12" s="1"/>
  <c r="AH140" i="12"/>
  <c r="AJ66" i="12"/>
  <c r="AJ137" i="12"/>
  <c r="AI187" i="12"/>
  <c r="AI219" i="12"/>
  <c r="AI232" i="12" s="1"/>
  <c r="AI287" i="12" s="1"/>
  <c r="AJ132" i="12"/>
  <c r="AJ37" i="12"/>
  <c r="AM1022" i="1"/>
  <c r="AM1109" i="1"/>
  <c r="AG289" i="12"/>
  <c r="AG295" i="12" s="1"/>
  <c r="AG240" i="12"/>
  <c r="AI192" i="12"/>
  <c r="AI224" i="12"/>
  <c r="AI237" i="12" s="1"/>
  <c r="AI168" i="12"/>
  <c r="AK35" i="12"/>
  <c r="AK1114" i="1"/>
  <c r="AK1155" i="1"/>
  <c r="AK1159" i="1" s="1"/>
  <c r="AK1161" i="1" s="1"/>
  <c r="AK1162" i="1" s="1"/>
  <c r="AO1016" i="1"/>
  <c r="AN1020" i="1"/>
  <c r="AN1017" i="1"/>
  <c r="AK135" i="12"/>
  <c r="AK40" i="12"/>
  <c r="AG73" i="12"/>
  <c r="AH68" i="12"/>
  <c r="AF175" i="12"/>
  <c r="AG170" i="12"/>
  <c r="AE275" i="12"/>
  <c r="AF270" i="12"/>
  <c r="AK137" i="12" l="1"/>
  <c r="AK66" i="12"/>
  <c r="AO1020" i="1"/>
  <c r="AO1017" i="1"/>
  <c r="I1017" i="1" s="1"/>
  <c r="AP1016" i="1"/>
  <c r="AJ219" i="12"/>
  <c r="AJ232" i="12" s="1"/>
  <c r="AJ287" i="12" s="1"/>
  <c r="AJ187" i="12"/>
  <c r="AL35" i="12"/>
  <c r="AL1114" i="1"/>
  <c r="AL1155" i="1"/>
  <c r="AL1159" i="1" s="1"/>
  <c r="AL1161" i="1" s="1"/>
  <c r="AL1162" i="1" s="1"/>
  <c r="AJ23" i="7"/>
  <c r="AS96" i="5"/>
  <c r="AS99" i="5" s="1"/>
  <c r="AK222" i="12"/>
  <c r="AK235" i="12" s="1"/>
  <c r="AK290" i="12" s="1"/>
  <c r="AK190" i="12"/>
  <c r="AI268" i="12"/>
  <c r="AI292" i="12"/>
  <c r="AM1126" i="1"/>
  <c r="AM1112" i="1"/>
  <c r="AL18" i="7"/>
  <c r="AL32" i="7" s="1"/>
  <c r="AL1129" i="1"/>
  <c r="AM1156" i="1"/>
  <c r="AM38" i="12"/>
  <c r="AN1109" i="1"/>
  <c r="AN1022" i="1"/>
  <c r="AK37" i="12"/>
  <c r="AK132" i="12"/>
  <c r="AJ43" i="12"/>
  <c r="AJ134" i="12"/>
  <c r="AJ224" i="12"/>
  <c r="AJ237" i="12" s="1"/>
  <c r="AJ192" i="12"/>
  <c r="AJ168" i="12"/>
  <c r="AH240" i="12"/>
  <c r="AH289" i="12"/>
  <c r="AH295" i="12" s="1"/>
  <c r="AI140" i="12"/>
  <c r="AI189" i="12"/>
  <c r="AI195" i="12" s="1"/>
  <c r="AI221" i="12"/>
  <c r="AI234" i="12" s="1"/>
  <c r="AK21" i="7"/>
  <c r="AK1131" i="1"/>
  <c r="AL40" i="12"/>
  <c r="AL135" i="12"/>
  <c r="AG175" i="12"/>
  <c r="AH170" i="12"/>
  <c r="AH73" i="12"/>
  <c r="AI68" i="12"/>
  <c r="AF275" i="12"/>
  <c r="AG270" i="12"/>
  <c r="AL190" i="12" l="1"/>
  <c r="AL222" i="12"/>
  <c r="AL235" i="12" s="1"/>
  <c r="AL290" i="12" s="1"/>
  <c r="AI289" i="12"/>
  <c r="AI295" i="12" s="1"/>
  <c r="AI240" i="12"/>
  <c r="AJ221" i="12"/>
  <c r="AJ234" i="12" s="1"/>
  <c r="AJ140" i="12"/>
  <c r="AJ189" i="12"/>
  <c r="AJ195" i="12" s="1"/>
  <c r="AN38" i="12"/>
  <c r="AN1156" i="1"/>
  <c r="AL21" i="7"/>
  <c r="AL1131" i="1"/>
  <c r="AL132" i="12"/>
  <c r="AL37" i="12"/>
  <c r="AL137" i="12"/>
  <c r="AL66" i="12"/>
  <c r="AN1126" i="1"/>
  <c r="AN1112" i="1"/>
  <c r="AO1109" i="1"/>
  <c r="AO1022" i="1"/>
  <c r="AT96" i="5"/>
  <c r="AT99" i="5" s="1"/>
  <c r="AK23" i="7"/>
  <c r="AK219" i="12"/>
  <c r="AK232" i="12" s="1"/>
  <c r="AK287" i="12" s="1"/>
  <c r="AK187" i="12"/>
  <c r="AM40" i="12"/>
  <c r="AM135" i="12"/>
  <c r="AM1114" i="1"/>
  <c r="AM35" i="12"/>
  <c r="AM1155" i="1"/>
  <c r="AM1159" i="1" s="1"/>
  <c r="AM1161" i="1" s="1"/>
  <c r="AM1162" i="1" s="1"/>
  <c r="AJ268" i="12"/>
  <c r="AJ292" i="12"/>
  <c r="AK134" i="12"/>
  <c r="AK43" i="12"/>
  <c r="AM18" i="7"/>
  <c r="AM32" i="7" s="1"/>
  <c r="AM1129" i="1"/>
  <c r="AP1020" i="1"/>
  <c r="AQ1016" i="1"/>
  <c r="AK168" i="12"/>
  <c r="AK192" i="12"/>
  <c r="AK224" i="12"/>
  <c r="AK237" i="12" s="1"/>
  <c r="AI73" i="12"/>
  <c r="AJ68" i="12"/>
  <c r="AH175" i="12"/>
  <c r="AI170" i="12"/>
  <c r="AG275" i="12"/>
  <c r="AH270" i="12"/>
  <c r="AR1016" i="1" l="1"/>
  <c r="AR1020" i="1" s="1"/>
  <c r="AR1109" i="1" s="1"/>
  <c r="AQ1020" i="1"/>
  <c r="AM137" i="12"/>
  <c r="AM66" i="12"/>
  <c r="AN1129" i="1"/>
  <c r="AN18" i="7"/>
  <c r="AN32" i="7" s="1"/>
  <c r="AL187" i="12"/>
  <c r="AL219" i="12"/>
  <c r="AL232" i="12" s="1"/>
  <c r="AL287" i="12" s="1"/>
  <c r="AN135" i="12"/>
  <c r="AN40" i="12"/>
  <c r="AK268" i="12"/>
  <c r="AK292" i="12"/>
  <c r="AP1109" i="1"/>
  <c r="AP1022" i="1"/>
  <c r="AK221" i="12"/>
  <c r="AK234" i="12" s="1"/>
  <c r="AK189" i="12"/>
  <c r="AK195" i="12" s="1"/>
  <c r="AK140" i="12"/>
  <c r="AM132" i="12"/>
  <c r="AM37" i="12"/>
  <c r="AO38" i="12"/>
  <c r="AO1156" i="1"/>
  <c r="AL23" i="7"/>
  <c r="AU96" i="5"/>
  <c r="AU99" i="5" s="1"/>
  <c r="AM21" i="7"/>
  <c r="AM1131" i="1"/>
  <c r="AO1126" i="1"/>
  <c r="AO1112" i="1"/>
  <c r="AL168" i="12"/>
  <c r="AL192" i="12"/>
  <c r="AL224" i="12"/>
  <c r="AL237" i="12" s="1"/>
  <c r="AM190" i="12"/>
  <c r="AM222" i="12"/>
  <c r="AM235" i="12" s="1"/>
  <c r="AM290" i="12" s="1"/>
  <c r="AN1155" i="1"/>
  <c r="AN1159" i="1" s="1"/>
  <c r="AN1161" i="1" s="1"/>
  <c r="AN1162" i="1" s="1"/>
  <c r="AN1114" i="1"/>
  <c r="AN35" i="12"/>
  <c r="AL134" i="12"/>
  <c r="AL43" i="12"/>
  <c r="AJ289" i="12"/>
  <c r="AJ295" i="12" s="1"/>
  <c r="AJ240" i="12"/>
  <c r="AI175" i="12"/>
  <c r="AJ170" i="12"/>
  <c r="AH275" i="12"/>
  <c r="AI270" i="12"/>
  <c r="AJ73" i="12"/>
  <c r="AK68" i="12"/>
  <c r="AR1022" i="1" l="1"/>
  <c r="AR1156" i="1" s="1"/>
  <c r="AS1016" i="1"/>
  <c r="AS1020" i="1" s="1"/>
  <c r="AS1022" i="1" s="1"/>
  <c r="AN37" i="12"/>
  <c r="AN132" i="12"/>
  <c r="AO35" i="12"/>
  <c r="AO1114" i="1"/>
  <c r="AO1155" i="1"/>
  <c r="AO1159" i="1" s="1"/>
  <c r="AO1161" i="1" s="1"/>
  <c r="AO1162" i="1" s="1"/>
  <c r="AO40" i="12"/>
  <c r="AO135" i="12"/>
  <c r="AL268" i="12"/>
  <c r="AL292" i="12"/>
  <c r="AO18" i="7"/>
  <c r="AO32" i="7" s="1"/>
  <c r="AO1129" i="1"/>
  <c r="AM134" i="12"/>
  <c r="AM43" i="12"/>
  <c r="AK240" i="12"/>
  <c r="AK289" i="12"/>
  <c r="AK295" i="12" s="1"/>
  <c r="AM192" i="12"/>
  <c r="AM224" i="12"/>
  <c r="AM237" i="12" s="1"/>
  <c r="AM168" i="12"/>
  <c r="AV96" i="5"/>
  <c r="AV99" i="5" s="1"/>
  <c r="AM23" i="7"/>
  <c r="AM187" i="12"/>
  <c r="AM219" i="12"/>
  <c r="AM232" i="12" s="1"/>
  <c r="AM287" i="12" s="1"/>
  <c r="AP38" i="12"/>
  <c r="AP1156" i="1"/>
  <c r="AN137" i="12"/>
  <c r="AN66" i="12"/>
  <c r="AQ1109" i="1"/>
  <c r="AQ1022" i="1"/>
  <c r="AL189" i="12"/>
  <c r="AL195" i="12" s="1"/>
  <c r="AL140" i="12"/>
  <c r="AL221" i="12"/>
  <c r="AL234" i="12" s="1"/>
  <c r="AP1112" i="1"/>
  <c r="AP1126" i="1"/>
  <c r="AN190" i="12"/>
  <c r="AN222" i="12"/>
  <c r="AN235" i="12" s="1"/>
  <c r="AN290" i="12" s="1"/>
  <c r="AN1131" i="1"/>
  <c r="AN21" i="7"/>
  <c r="AK73" i="12"/>
  <c r="AL68" i="12"/>
  <c r="AJ175" i="12"/>
  <c r="AK170" i="12"/>
  <c r="AI275" i="12"/>
  <c r="AJ270" i="12"/>
  <c r="AR1126" i="1"/>
  <c r="AR1112" i="1"/>
  <c r="AR38" i="12" l="1"/>
  <c r="AR135" i="12" s="1"/>
  <c r="AS1109" i="1"/>
  <c r="AS1112" i="1" s="1"/>
  <c r="AT1016" i="1"/>
  <c r="AW96" i="5"/>
  <c r="AW99" i="5" s="1"/>
  <c r="AN23" i="7"/>
  <c r="AP1155" i="1"/>
  <c r="AP1159" i="1" s="1"/>
  <c r="AP1161" i="1" s="1"/>
  <c r="AP1162" i="1" s="1"/>
  <c r="AP35" i="12"/>
  <c r="AP1114" i="1"/>
  <c r="AQ1156" i="1"/>
  <c r="AQ38" i="12"/>
  <c r="AM140" i="12"/>
  <c r="AM189" i="12"/>
  <c r="AM195" i="12" s="1"/>
  <c r="AM221" i="12"/>
  <c r="AM234" i="12" s="1"/>
  <c r="AL289" i="12"/>
  <c r="AL295" i="12" s="1"/>
  <c r="AL240" i="12"/>
  <c r="AQ1126" i="1"/>
  <c r="AQ1112" i="1"/>
  <c r="AP135" i="12"/>
  <c r="AP40" i="12"/>
  <c r="AO21" i="7"/>
  <c r="AO1131" i="1"/>
  <c r="AO222" i="12"/>
  <c r="AO235" i="12" s="1"/>
  <c r="AO290" i="12" s="1"/>
  <c r="AO190" i="12"/>
  <c r="AO132" i="12"/>
  <c r="AO37" i="12"/>
  <c r="AO66" i="12"/>
  <c r="AO137" i="12"/>
  <c r="AN219" i="12"/>
  <c r="AN232" i="12" s="1"/>
  <c r="AN287" i="12" s="1"/>
  <c r="AN187" i="12"/>
  <c r="AP18" i="7"/>
  <c r="AP32" i="7" s="1"/>
  <c r="AP1129" i="1"/>
  <c r="AN224" i="12"/>
  <c r="AN237" i="12" s="1"/>
  <c r="AN192" i="12"/>
  <c r="AN168" i="12"/>
  <c r="AM268" i="12"/>
  <c r="AM292" i="12"/>
  <c r="AN43" i="12"/>
  <c r="AN134" i="12"/>
  <c r="AJ275" i="12"/>
  <c r="AK270" i="12"/>
  <c r="AR1155" i="1"/>
  <c r="AR1159" i="1" s="1"/>
  <c r="AR1161" i="1" s="1"/>
  <c r="AR1162" i="1" s="1"/>
  <c r="AR35" i="12"/>
  <c r="AR1114" i="1"/>
  <c r="AS1156" i="1"/>
  <c r="AS38" i="12"/>
  <c r="AK175" i="12"/>
  <c r="AL170" i="12"/>
  <c r="AL73" i="12"/>
  <c r="AM68" i="12"/>
  <c r="AR18" i="7"/>
  <c r="AR32" i="7" s="1"/>
  <c r="AR1129" i="1"/>
  <c r="AR40" i="12" l="1"/>
  <c r="AR137" i="12" s="1"/>
  <c r="AS1126" i="1"/>
  <c r="AS18" i="7" s="1"/>
  <c r="AS32" i="7" s="1"/>
  <c r="AT1020" i="1"/>
  <c r="AU1016" i="1"/>
  <c r="AP21" i="7"/>
  <c r="AP1131" i="1"/>
  <c r="AO192" i="12"/>
  <c r="AO168" i="12"/>
  <c r="AO224" i="12"/>
  <c r="AO237" i="12" s="1"/>
  <c r="AP137" i="12"/>
  <c r="AP66" i="12"/>
  <c r="AP132" i="12"/>
  <c r="AP37" i="12"/>
  <c r="AN221" i="12"/>
  <c r="AN234" i="12" s="1"/>
  <c r="AN140" i="12"/>
  <c r="AN189" i="12"/>
  <c r="AN195" i="12" s="1"/>
  <c r="AP222" i="12"/>
  <c r="AP235" i="12" s="1"/>
  <c r="AP290" i="12" s="1"/>
  <c r="AP190" i="12"/>
  <c r="AQ135" i="12"/>
  <c r="AQ40" i="12"/>
  <c r="AO134" i="12"/>
  <c r="AO43" i="12"/>
  <c r="AO23" i="7"/>
  <c r="AX96" i="5"/>
  <c r="AX99" i="5" s="1"/>
  <c r="AQ35" i="12"/>
  <c r="AQ1155" i="1"/>
  <c r="AQ1159" i="1" s="1"/>
  <c r="AQ1161" i="1" s="1"/>
  <c r="AQ1162" i="1" s="1"/>
  <c r="AQ1114" i="1"/>
  <c r="AM289" i="12"/>
  <c r="AM295" i="12" s="1"/>
  <c r="AM240" i="12"/>
  <c r="AN292" i="12"/>
  <c r="AN268" i="12"/>
  <c r="AO187" i="12"/>
  <c r="AO219" i="12"/>
  <c r="AO232" i="12" s="1"/>
  <c r="AO287" i="12" s="1"/>
  <c r="AQ18" i="7"/>
  <c r="AQ32" i="7" s="1"/>
  <c r="AQ1129" i="1"/>
  <c r="AS1155" i="1"/>
  <c r="AS1159" i="1" s="1"/>
  <c r="AS1161" i="1" s="1"/>
  <c r="AS1162" i="1" s="1"/>
  <c r="AS35" i="12"/>
  <c r="AS1114" i="1"/>
  <c r="AR21" i="7"/>
  <c r="AR1131" i="1"/>
  <c r="AR222" i="12"/>
  <c r="AR235" i="12" s="1"/>
  <c r="AR290" i="12" s="1"/>
  <c r="AR190" i="12"/>
  <c r="AS135" i="12"/>
  <c r="AS40" i="12"/>
  <c r="AM73" i="12"/>
  <c r="AN68" i="12"/>
  <c r="AL175" i="12"/>
  <c r="AM170" i="12"/>
  <c r="AR132" i="12"/>
  <c r="AR37" i="12"/>
  <c r="AK275" i="12"/>
  <c r="AL270" i="12"/>
  <c r="AR66" i="12" l="1"/>
  <c r="AS1129" i="1"/>
  <c r="AS1131" i="1" s="1"/>
  <c r="AU1020" i="1"/>
  <c r="AV1016" i="1"/>
  <c r="AT1109" i="1"/>
  <c r="AT1022" i="1"/>
  <c r="AQ137" i="12"/>
  <c r="AQ66" i="12"/>
  <c r="AP187" i="12"/>
  <c r="AP219" i="12"/>
  <c r="AP232" i="12" s="1"/>
  <c r="AP287" i="12" s="1"/>
  <c r="AQ1131" i="1"/>
  <c r="AQ21" i="7"/>
  <c r="AQ222" i="12"/>
  <c r="AQ235" i="12" s="1"/>
  <c r="AQ290" i="12" s="1"/>
  <c r="AQ190" i="12"/>
  <c r="AN240" i="12"/>
  <c r="AN289" i="12"/>
  <c r="AN295" i="12" s="1"/>
  <c r="AP224" i="12"/>
  <c r="AP237" i="12" s="1"/>
  <c r="AP168" i="12"/>
  <c r="AP192" i="12"/>
  <c r="AP23" i="7"/>
  <c r="AY96" i="5"/>
  <c r="AY99" i="5" s="1"/>
  <c r="AQ132" i="12"/>
  <c r="AQ37" i="12"/>
  <c r="AO189" i="12"/>
  <c r="AO195" i="12" s="1"/>
  <c r="AO140" i="12"/>
  <c r="AO221" i="12"/>
  <c r="AO234" i="12" s="1"/>
  <c r="AP134" i="12"/>
  <c r="AP43" i="12"/>
  <c r="AO292" i="12"/>
  <c r="AO268" i="12"/>
  <c r="AR134" i="12"/>
  <c r="AR43" i="12"/>
  <c r="AR224" i="12"/>
  <c r="AR237" i="12" s="1"/>
  <c r="AR192" i="12"/>
  <c r="AR168" i="12"/>
  <c r="AR187" i="12"/>
  <c r="AR219" i="12"/>
  <c r="AR232" i="12" s="1"/>
  <c r="AR287" i="12" s="1"/>
  <c r="AN73" i="12"/>
  <c r="AO68" i="12"/>
  <c r="AS137" i="12"/>
  <c r="AS66" i="12"/>
  <c r="AL275" i="12"/>
  <c r="AM270" i="12"/>
  <c r="AS222" i="12"/>
  <c r="AS235" i="12" s="1"/>
  <c r="AS290" i="12" s="1"/>
  <c r="AS190" i="12"/>
  <c r="AS132" i="12"/>
  <c r="AS37" i="12"/>
  <c r="AR23" i="7"/>
  <c r="BA96" i="5"/>
  <c r="BA99" i="5" s="1"/>
  <c r="AM175" i="12"/>
  <c r="AN170" i="12"/>
  <c r="AS21" i="7" l="1"/>
  <c r="AT1156" i="1"/>
  <c r="AT38" i="12"/>
  <c r="AT1112" i="1"/>
  <c r="AT1126" i="1"/>
  <c r="AV1020" i="1"/>
  <c r="AW1016" i="1"/>
  <c r="AU1109" i="1"/>
  <c r="AU1022" i="1"/>
  <c r="AO289" i="12"/>
  <c r="AO295" i="12" s="1"/>
  <c r="AO240" i="12"/>
  <c r="AQ187" i="12"/>
  <c r="AQ219" i="12"/>
  <c r="AQ232" i="12" s="1"/>
  <c r="AQ287" i="12" s="1"/>
  <c r="AP268" i="12"/>
  <c r="AP292" i="12"/>
  <c r="AP221" i="12"/>
  <c r="AP234" i="12" s="1"/>
  <c r="AP140" i="12"/>
  <c r="AP189" i="12"/>
  <c r="AP195" i="12" s="1"/>
  <c r="AQ134" i="12"/>
  <c r="AQ43" i="12"/>
  <c r="AQ23" i="7"/>
  <c r="AZ96" i="5"/>
  <c r="AZ99" i="5" s="1"/>
  <c r="AQ224" i="12"/>
  <c r="AQ237" i="12" s="1"/>
  <c r="AQ192" i="12"/>
  <c r="AQ168" i="12"/>
  <c r="AS134" i="12"/>
  <c r="AS43" i="12"/>
  <c r="AM275" i="12"/>
  <c r="AN270" i="12"/>
  <c r="BB96" i="5"/>
  <c r="BB99" i="5" s="1"/>
  <c r="AS23" i="7"/>
  <c r="AO73" i="12"/>
  <c r="AP68" i="12"/>
  <c r="AS187" i="12"/>
  <c r="AS219" i="12"/>
  <c r="AS232" i="12" s="1"/>
  <c r="AS287" i="12" s="1"/>
  <c r="AS224" i="12"/>
  <c r="AS237" i="12" s="1"/>
  <c r="AS168" i="12"/>
  <c r="AS192" i="12"/>
  <c r="AR140" i="12"/>
  <c r="AR221" i="12"/>
  <c r="AR234" i="12" s="1"/>
  <c r="AR189" i="12"/>
  <c r="AR195" i="12" s="1"/>
  <c r="AN175" i="12"/>
  <c r="AO170" i="12"/>
  <c r="AR292" i="12"/>
  <c r="AR268" i="12"/>
  <c r="AU38" i="12" l="1"/>
  <c r="AU1156" i="1"/>
  <c r="AT18" i="7"/>
  <c r="AT32" i="7" s="1"/>
  <c r="AT1129" i="1"/>
  <c r="AU1126" i="1"/>
  <c r="AU1112" i="1"/>
  <c r="AT35" i="12"/>
  <c r="AT1155" i="1"/>
  <c r="AT1159" i="1" s="1"/>
  <c r="AT1161" i="1" s="1"/>
  <c r="AT1162" i="1" s="1"/>
  <c r="AT1114" i="1"/>
  <c r="AW1020" i="1"/>
  <c r="AX1016" i="1"/>
  <c r="AT135" i="12"/>
  <c r="AT40" i="12"/>
  <c r="AV1109" i="1"/>
  <c r="AV1022" i="1"/>
  <c r="AP240" i="12"/>
  <c r="AP289" i="12"/>
  <c r="AP295" i="12" s="1"/>
  <c r="AQ268" i="12"/>
  <c r="AQ292" i="12"/>
  <c r="AQ189" i="12"/>
  <c r="AQ195" i="12" s="1"/>
  <c r="AQ140" i="12"/>
  <c r="AQ221" i="12"/>
  <c r="AQ234" i="12" s="1"/>
  <c r="AO175" i="12"/>
  <c r="AP170" i="12"/>
  <c r="AR289" i="12"/>
  <c r="AR295" i="12" s="1"/>
  <c r="AR240" i="12"/>
  <c r="AP73" i="12"/>
  <c r="AQ68" i="12"/>
  <c r="AN275" i="12"/>
  <c r="AO270" i="12"/>
  <c r="AS292" i="12"/>
  <c r="AS268" i="12"/>
  <c r="AS189" i="12"/>
  <c r="AS195" i="12" s="1"/>
  <c r="AS221" i="12"/>
  <c r="AS234" i="12" s="1"/>
  <c r="AS140" i="12"/>
  <c r="AT222" i="12" l="1"/>
  <c r="AT235" i="12" s="1"/>
  <c r="AT290" i="12" s="1"/>
  <c r="AT190" i="12"/>
  <c r="AT21" i="7"/>
  <c r="AT1131" i="1"/>
  <c r="AV38" i="12"/>
  <c r="AV1156" i="1"/>
  <c r="AX1020" i="1"/>
  <c r="I1016" i="1"/>
  <c r="AT37" i="12"/>
  <c r="AT132" i="12"/>
  <c r="AV1112" i="1"/>
  <c r="AV1126" i="1"/>
  <c r="AW1109" i="1"/>
  <c r="AW1022" i="1"/>
  <c r="AU35" i="12"/>
  <c r="AU1114" i="1"/>
  <c r="AU1155" i="1"/>
  <c r="AU1159" i="1" s="1"/>
  <c r="AU1161" i="1" s="1"/>
  <c r="AU1162" i="1" s="1"/>
  <c r="AT66" i="12"/>
  <c r="AT137" i="12"/>
  <c r="AU1129" i="1"/>
  <c r="AU18" i="7"/>
  <c r="AU32" i="7" s="1"/>
  <c r="AU135" i="12"/>
  <c r="AU40" i="12"/>
  <c r="AQ240" i="12"/>
  <c r="AQ289" i="12"/>
  <c r="AQ295" i="12" s="1"/>
  <c r="AO275" i="12"/>
  <c r="AP270" i="12"/>
  <c r="AP175" i="12"/>
  <c r="AQ170" i="12"/>
  <c r="AS289" i="12"/>
  <c r="AS295" i="12" s="1"/>
  <c r="AS240" i="12"/>
  <c r="AQ73" i="12"/>
  <c r="AR68" i="12"/>
  <c r="AU1131" i="1" l="1"/>
  <c r="AU21" i="7"/>
  <c r="AV18" i="7"/>
  <c r="AV32" i="7" s="1"/>
  <c r="AV1129" i="1"/>
  <c r="BC96" i="5"/>
  <c r="BC99" i="5" s="1"/>
  <c r="AT23" i="7"/>
  <c r="AU137" i="12"/>
  <c r="AU66" i="12"/>
  <c r="AT168" i="12"/>
  <c r="AT192" i="12"/>
  <c r="AT224" i="12"/>
  <c r="AT237" i="12" s="1"/>
  <c r="AU132" i="12"/>
  <c r="AU37" i="12"/>
  <c r="AV1155" i="1"/>
  <c r="AV1159" i="1" s="1"/>
  <c r="AV1161" i="1" s="1"/>
  <c r="AV1162" i="1" s="1"/>
  <c r="AV1114" i="1"/>
  <c r="AV35" i="12"/>
  <c r="I1020" i="1"/>
  <c r="I1109" i="1" s="1"/>
  <c r="AX1109" i="1"/>
  <c r="AX1022" i="1"/>
  <c r="AU222" i="12"/>
  <c r="AU235" i="12" s="1"/>
  <c r="AU290" i="12" s="1"/>
  <c r="AU190" i="12"/>
  <c r="AW1156" i="1"/>
  <c r="AW38" i="12"/>
  <c r="AT187" i="12"/>
  <c r="AT219" i="12"/>
  <c r="AT232" i="12" s="1"/>
  <c r="AT287" i="12" s="1"/>
  <c r="AW1126" i="1"/>
  <c r="AW1112" i="1"/>
  <c r="AT43" i="12"/>
  <c r="AT134" i="12"/>
  <c r="AV40" i="12"/>
  <c r="AV135" i="12"/>
  <c r="AR73" i="12"/>
  <c r="AS68" i="12"/>
  <c r="AQ175" i="12"/>
  <c r="AR170" i="12"/>
  <c r="AP275" i="12"/>
  <c r="AQ270" i="12"/>
  <c r="AV37" i="12" l="1"/>
  <c r="AV132" i="12"/>
  <c r="AU187" i="12"/>
  <c r="AU219" i="12"/>
  <c r="AU232" i="12" s="1"/>
  <c r="AU287" i="12" s="1"/>
  <c r="AV21" i="7"/>
  <c r="AV1131" i="1"/>
  <c r="AV190" i="12"/>
  <c r="AV222" i="12"/>
  <c r="AV235" i="12" s="1"/>
  <c r="AV290" i="12" s="1"/>
  <c r="AW35" i="12"/>
  <c r="AW1155" i="1"/>
  <c r="AW1159" i="1" s="1"/>
  <c r="AW1161" i="1" s="1"/>
  <c r="AW1162" i="1" s="1"/>
  <c r="AW1114" i="1"/>
  <c r="AW135" i="12"/>
  <c r="AW40" i="12"/>
  <c r="AX1156" i="1"/>
  <c r="AX38" i="12"/>
  <c r="I1022" i="1"/>
  <c r="AT292" i="12"/>
  <c r="AT268" i="12"/>
  <c r="AU168" i="12"/>
  <c r="AU224" i="12"/>
  <c r="AU237" i="12" s="1"/>
  <c r="AU192" i="12"/>
  <c r="AV137" i="12"/>
  <c r="AV66" i="12"/>
  <c r="AW1129" i="1"/>
  <c r="AW18" i="7"/>
  <c r="AW32" i="7" s="1"/>
  <c r="AX1126" i="1"/>
  <c r="AX1112" i="1"/>
  <c r="AT140" i="12"/>
  <c r="AT189" i="12"/>
  <c r="AT195" i="12" s="1"/>
  <c r="AT221" i="12"/>
  <c r="AT234" i="12" s="1"/>
  <c r="AU43" i="12"/>
  <c r="AU134" i="12"/>
  <c r="AU23" i="7"/>
  <c r="BD96" i="5"/>
  <c r="BD99" i="5" s="1"/>
  <c r="AS73" i="12"/>
  <c r="AT68" i="12"/>
  <c r="AQ275" i="12"/>
  <c r="AR270" i="12"/>
  <c r="AR175" i="12"/>
  <c r="AS170" i="12"/>
  <c r="AU189" i="12" l="1"/>
  <c r="AU195" i="12" s="1"/>
  <c r="AU221" i="12"/>
  <c r="AU234" i="12" s="1"/>
  <c r="AU140" i="12"/>
  <c r="AW21" i="7"/>
  <c r="AW1131" i="1"/>
  <c r="AU268" i="12"/>
  <c r="AU292" i="12"/>
  <c r="I1156" i="1"/>
  <c r="I38" i="12"/>
  <c r="AW222" i="12"/>
  <c r="AW235" i="12" s="1"/>
  <c r="AW290" i="12" s="1"/>
  <c r="AW190" i="12"/>
  <c r="AX1114" i="1"/>
  <c r="I1114" i="1" s="1"/>
  <c r="I1112" i="1"/>
  <c r="AX1155" i="1"/>
  <c r="AX1159" i="1" s="1"/>
  <c r="AX35" i="12"/>
  <c r="AX135" i="12"/>
  <c r="AX40" i="12"/>
  <c r="F59" i="12"/>
  <c r="F50" i="12"/>
  <c r="AT240" i="12"/>
  <c r="AT289" i="12"/>
  <c r="AT295" i="12" s="1"/>
  <c r="AX18" i="7"/>
  <c r="AX1129" i="1"/>
  <c r="F1140" i="1"/>
  <c r="O26" i="5" s="1"/>
  <c r="T72" i="5" s="1"/>
  <c r="I1126" i="1"/>
  <c r="I18" i="7" s="1"/>
  <c r="I32" i="7" s="1"/>
  <c r="AV224" i="12"/>
  <c r="AV237" i="12" s="1"/>
  <c r="AV168" i="12"/>
  <c r="AV192" i="12"/>
  <c r="BE96" i="5"/>
  <c r="BE99" i="5" s="1"/>
  <c r="AV23" i="7"/>
  <c r="AV187" i="12"/>
  <c r="AV219" i="12"/>
  <c r="AV232" i="12" s="1"/>
  <c r="AV287" i="12" s="1"/>
  <c r="AW66" i="12"/>
  <c r="AW137" i="12"/>
  <c r="AW132" i="12"/>
  <c r="AW37" i="12"/>
  <c r="AV134" i="12"/>
  <c r="AV43" i="12"/>
  <c r="AT73" i="12"/>
  <c r="AU68" i="12"/>
  <c r="AS175" i="12"/>
  <c r="AT170" i="12"/>
  <c r="AR275" i="12"/>
  <c r="AS270" i="12"/>
  <c r="F66" i="35" l="1"/>
  <c r="J66" i="35" s="1"/>
  <c r="I66" i="35" s="1"/>
  <c r="AW43" i="12"/>
  <c r="AW134" i="12"/>
  <c r="F147" i="12"/>
  <c r="I7" i="5" s="1"/>
  <c r="F21" i="35" s="1"/>
  <c r="J21" i="35" s="1"/>
  <c r="I21" i="35" s="1"/>
  <c r="I135" i="12"/>
  <c r="I222" i="12" s="1"/>
  <c r="AX222" i="12"/>
  <c r="AX235" i="12" s="1"/>
  <c r="F161" i="12"/>
  <c r="G7" i="5" s="1"/>
  <c r="AX190" i="12"/>
  <c r="F202" i="12" s="1"/>
  <c r="AW224" i="12"/>
  <c r="AW237" i="12" s="1"/>
  <c r="AW168" i="12"/>
  <c r="AW192" i="12"/>
  <c r="AW219" i="12"/>
  <c r="AW232" i="12" s="1"/>
  <c r="AW287" i="12" s="1"/>
  <c r="AW187" i="12"/>
  <c r="F1143" i="1"/>
  <c r="O29" i="5" s="1"/>
  <c r="AX1131" i="1"/>
  <c r="I1129" i="1"/>
  <c r="I21" i="7" s="1"/>
  <c r="AX21" i="7"/>
  <c r="AX37" i="12"/>
  <c r="F47" i="12"/>
  <c r="AX132" i="12"/>
  <c r="AV292" i="12"/>
  <c r="AV268" i="12"/>
  <c r="F68" i="7"/>
  <c r="AX32" i="7"/>
  <c r="AX1161" i="1"/>
  <c r="I1159" i="1"/>
  <c r="AU240" i="12"/>
  <c r="AU289" i="12"/>
  <c r="AU295" i="12" s="1"/>
  <c r="AV189" i="12"/>
  <c r="AV195" i="12" s="1"/>
  <c r="AV221" i="12"/>
  <c r="AV234" i="12" s="1"/>
  <c r="AV140" i="12"/>
  <c r="F52" i="12"/>
  <c r="I40" i="12"/>
  <c r="I66" i="12" s="1"/>
  <c r="AX137" i="12"/>
  <c r="I137" i="12" s="1"/>
  <c r="F61" i="12"/>
  <c r="AX66" i="12"/>
  <c r="I35" i="12"/>
  <c r="I1155" i="1"/>
  <c r="BF96" i="5"/>
  <c r="BF99" i="5" s="1"/>
  <c r="AW23" i="7"/>
  <c r="AT175" i="12"/>
  <c r="AU170" i="12"/>
  <c r="AU73" i="12"/>
  <c r="AV68" i="12"/>
  <c r="AS275" i="12"/>
  <c r="AT270" i="12"/>
  <c r="I168" i="12" l="1"/>
  <c r="I224" i="12"/>
  <c r="AX23" i="7"/>
  <c r="F72" i="7" s="1"/>
  <c r="F1145" i="1"/>
  <c r="I1131" i="1"/>
  <c r="I23" i="7" s="1"/>
  <c r="BG96" i="5"/>
  <c r="BG99" i="5" s="1"/>
  <c r="K7" i="5"/>
  <c r="F33" i="35" s="1"/>
  <c r="J33" i="35" s="1"/>
  <c r="I33" i="35" s="1"/>
  <c r="U198" i="5"/>
  <c r="AX192" i="12"/>
  <c r="F204" i="12" s="1"/>
  <c r="F163" i="12"/>
  <c r="G9" i="5" s="1"/>
  <c r="AX168" i="12"/>
  <c r="AX224" i="12"/>
  <c r="AX237" i="12" s="1"/>
  <c r="AV289" i="12"/>
  <c r="AV295" i="12" s="1"/>
  <c r="AV240" i="12"/>
  <c r="F49" i="12"/>
  <c r="F55" i="12" s="1"/>
  <c r="F318" i="12" s="1"/>
  <c r="AX43" i="12"/>
  <c r="I37" i="12"/>
  <c r="AX134" i="12"/>
  <c r="T75" i="5"/>
  <c r="F69" i="35"/>
  <c r="J69" i="35" s="1"/>
  <c r="I69" i="35" s="1"/>
  <c r="AW140" i="12"/>
  <c r="AW221" i="12"/>
  <c r="AW234" i="12" s="1"/>
  <c r="AW189" i="12"/>
  <c r="AW195" i="12" s="1"/>
  <c r="AX1162" i="1"/>
  <c r="I1161" i="1"/>
  <c r="F247" i="12"/>
  <c r="J7" i="5" s="1"/>
  <c r="F261" i="12"/>
  <c r="H7" i="5" s="1"/>
  <c r="AX290" i="12"/>
  <c r="F302" i="12" s="1"/>
  <c r="L7" i="5" s="1"/>
  <c r="T83" i="5" s="1"/>
  <c r="I132" i="12"/>
  <c r="I219" i="12" s="1"/>
  <c r="F144" i="12"/>
  <c r="AX219" i="12"/>
  <c r="AX232" i="12" s="1"/>
  <c r="AX187" i="12"/>
  <c r="F199" i="12" s="1"/>
  <c r="AW292" i="12"/>
  <c r="AW268" i="12"/>
  <c r="F149" i="12"/>
  <c r="I9" i="5" s="1"/>
  <c r="F23" i="35" s="1"/>
  <c r="J23" i="35" s="1"/>
  <c r="I23" i="35" s="1"/>
  <c r="AT275" i="12"/>
  <c r="AU270" i="12"/>
  <c r="AV73" i="12"/>
  <c r="AW68" i="12"/>
  <c r="AU175" i="12"/>
  <c r="AV170" i="12"/>
  <c r="K10" i="5" l="1"/>
  <c r="F36" i="35" s="1"/>
  <c r="J36" i="35" s="1"/>
  <c r="I36" i="35" s="1"/>
  <c r="U195" i="5"/>
  <c r="U204" i="5" s="1"/>
  <c r="F210" i="12"/>
  <c r="F1162" i="1"/>
  <c r="F1183" i="1" s="1"/>
  <c r="I1162" i="1"/>
  <c r="F43" i="12"/>
  <c r="F317" i="12" s="1"/>
  <c r="I43" i="12"/>
  <c r="F263" i="12"/>
  <c r="H9" i="5" s="1"/>
  <c r="T80" i="5" s="1"/>
  <c r="T176" i="5" s="1"/>
  <c r="F249" i="12"/>
  <c r="J9" i="5" s="1"/>
  <c r="AX292" i="12"/>
  <c r="F304" i="12" s="1"/>
  <c r="L9" i="5" s="1"/>
  <c r="T84" i="5" s="1"/>
  <c r="AX268" i="12"/>
  <c r="O31" i="5"/>
  <c r="F1147" i="1"/>
  <c r="F1182" i="1" s="1"/>
  <c r="G68" i="7"/>
  <c r="G62" i="7"/>
  <c r="G65" i="7"/>
  <c r="G72" i="7"/>
  <c r="G64" i="7"/>
  <c r="G63" i="7"/>
  <c r="G71" i="7"/>
  <c r="G70" i="7"/>
  <c r="G69" i="7"/>
  <c r="G66" i="7"/>
  <c r="G67" i="7"/>
  <c r="I10" i="5"/>
  <c r="F24" i="35" s="1"/>
  <c r="J24" i="35" s="1"/>
  <c r="I24" i="35" s="1"/>
  <c r="F155" i="12"/>
  <c r="AW240" i="12"/>
  <c r="AW289" i="12"/>
  <c r="AW295" i="12" s="1"/>
  <c r="F146" i="12"/>
  <c r="AX189" i="12"/>
  <c r="AX140" i="12"/>
  <c r="I134" i="12"/>
  <c r="I221" i="12" s="1"/>
  <c r="AX221" i="12"/>
  <c r="AX234" i="12" s="1"/>
  <c r="AX287" i="12"/>
  <c r="F299" i="12" s="1"/>
  <c r="F244" i="12"/>
  <c r="U200" i="5"/>
  <c r="K9" i="5"/>
  <c r="AU275" i="12"/>
  <c r="AV270" i="12"/>
  <c r="AV175" i="12"/>
  <c r="AW170" i="12"/>
  <c r="AW73" i="12"/>
  <c r="AX68" i="12"/>
  <c r="AX73" i="12" s="1"/>
  <c r="F1186" i="1" l="1"/>
  <c r="K7" i="34" s="1"/>
  <c r="F94" i="35" s="1"/>
  <c r="J94" i="35" s="1"/>
  <c r="I94" i="35" s="1"/>
  <c r="T180" i="5"/>
  <c r="T177" i="5"/>
  <c r="AX240" i="12"/>
  <c r="AX289" i="12"/>
  <c r="F246" i="12"/>
  <c r="F152" i="12"/>
  <c r="F321" i="12" s="1"/>
  <c r="F157" i="12"/>
  <c r="I14" i="5" s="1"/>
  <c r="I12" i="5"/>
  <c r="F156" i="12"/>
  <c r="I13" i="5" s="1"/>
  <c r="F71" i="35"/>
  <c r="J71" i="35" s="1"/>
  <c r="I71" i="35" s="1"/>
  <c r="P20" i="5"/>
  <c r="P23" i="5"/>
  <c r="P26" i="5"/>
  <c r="T77" i="5"/>
  <c r="P30" i="5"/>
  <c r="P24" i="5"/>
  <c r="P21" i="5"/>
  <c r="P28" i="5"/>
  <c r="P29" i="5"/>
  <c r="O32" i="5"/>
  <c r="F72" i="35" s="1"/>
  <c r="J72" i="35" s="1"/>
  <c r="I72" i="35" s="1"/>
  <c r="P31" i="5"/>
  <c r="P22" i="5"/>
  <c r="P27" i="5"/>
  <c r="P25" i="5"/>
  <c r="K52" i="5"/>
  <c r="J10" i="5"/>
  <c r="F255" i="12"/>
  <c r="F140" i="12"/>
  <c r="F320" i="12" s="1"/>
  <c r="I140" i="12"/>
  <c r="F310" i="12"/>
  <c r="L10" i="5"/>
  <c r="AX195" i="12"/>
  <c r="F201" i="12"/>
  <c r="C216" i="5"/>
  <c r="C217" i="5" s="1"/>
  <c r="K216" i="5"/>
  <c r="G220" i="5" s="1"/>
  <c r="F35" i="35"/>
  <c r="J35" i="35" s="1"/>
  <c r="I35" i="35" s="1"/>
  <c r="F76" i="12"/>
  <c r="AV275" i="12"/>
  <c r="AW270" i="12"/>
  <c r="AW175" i="12"/>
  <c r="AX170" i="12"/>
  <c r="AX175" i="12" s="1"/>
  <c r="F195" i="12" l="1"/>
  <c r="F322" i="12" s="1"/>
  <c r="I195" i="12"/>
  <c r="I16" i="5"/>
  <c r="I17" i="5"/>
  <c r="T91" i="5"/>
  <c r="K53" i="5" s="1"/>
  <c r="F26" i="35"/>
  <c r="J26" i="35" s="1"/>
  <c r="I26" i="35" s="1"/>
  <c r="AX295" i="12"/>
  <c r="F301" i="12"/>
  <c r="T89" i="5"/>
  <c r="D148" i="5" s="1"/>
  <c r="F29" i="35"/>
  <c r="J29" i="35" s="1"/>
  <c r="I29" i="35" s="1"/>
  <c r="I240" i="12"/>
  <c r="F240" i="12"/>
  <c r="F324" i="12" s="1"/>
  <c r="F207" i="12"/>
  <c r="F323" i="12" s="1"/>
  <c r="F211" i="12"/>
  <c r="K13" i="5" s="1"/>
  <c r="K12" i="5"/>
  <c r="F212" i="12"/>
  <c r="K14" i="5" s="1"/>
  <c r="U197" i="5"/>
  <c r="T87" i="5"/>
  <c r="F28" i="35"/>
  <c r="J28" i="35" s="1"/>
  <c r="I28" i="35" s="1"/>
  <c r="F256" i="12"/>
  <c r="J13" i="5" s="1"/>
  <c r="F257" i="12"/>
  <c r="J14" i="5" s="1"/>
  <c r="J12" i="5"/>
  <c r="F252" i="12"/>
  <c r="F325" i="12" s="1"/>
  <c r="F178" i="12"/>
  <c r="AW275" i="12"/>
  <c r="AX270" i="12"/>
  <c r="AX275" i="12" s="1"/>
  <c r="F41" i="35" l="1"/>
  <c r="J41" i="35" s="1"/>
  <c r="I41" i="35" s="1"/>
  <c r="T90" i="5"/>
  <c r="D149" i="5" s="1"/>
  <c r="F311" i="12"/>
  <c r="L13" i="5" s="1"/>
  <c r="F307" i="12"/>
  <c r="F327" i="12" s="1"/>
  <c r="F312" i="12"/>
  <c r="L14" i="5" s="1"/>
  <c r="L12" i="5"/>
  <c r="K16" i="5"/>
  <c r="K17" i="5"/>
  <c r="F38" i="35"/>
  <c r="J38" i="35" s="1"/>
  <c r="I38" i="35" s="1"/>
  <c r="I295" i="12"/>
  <c r="F295" i="12"/>
  <c r="F326" i="12" s="1"/>
  <c r="D146" i="5"/>
  <c r="D151" i="5" s="1"/>
  <c r="S148" i="5" s="1"/>
  <c r="T178" i="5"/>
  <c r="J17" i="5"/>
  <c r="J16" i="5"/>
  <c r="F40" i="35"/>
  <c r="J40" i="35" s="1"/>
  <c r="I40" i="35" s="1"/>
  <c r="T88" i="5"/>
  <c r="U203" i="5"/>
  <c r="U205" i="5"/>
  <c r="U207" i="5"/>
  <c r="V210" i="5" s="1"/>
  <c r="K54" i="5" s="1"/>
  <c r="F278" i="12"/>
  <c r="F329" i="12" l="1"/>
  <c r="K8" i="34" s="1"/>
  <c r="F95" i="35" s="1"/>
  <c r="J95" i="35" s="1"/>
  <c r="I95" i="35" s="1"/>
  <c r="D147" i="5"/>
  <c r="T179" i="5"/>
  <c r="L17" i="5"/>
  <c r="K51" i="5" s="1"/>
  <c r="T85" i="5"/>
  <c r="L16" i="5"/>
  <c r="K50" i="5" s="1"/>
  <c r="K56" i="5" l="1"/>
  <c r="K5" i="34" s="1"/>
  <c r="F92" i="35" l="1"/>
  <c r="J92" i="35" s="1"/>
  <c r="I92" i="35" s="1"/>
  <c r="F1" i="35" s="1"/>
  <c r="D7" i="34"/>
  <c r="F3" i="12" l="1"/>
  <c r="F3" i="7"/>
  <c r="E1" i="24"/>
  <c r="F3" i="33"/>
  <c r="F3" i="1"/>
  <c r="F3" i="31"/>
  <c r="C1" i="5"/>
  <c r="F3" i="6"/>
  <c r="F3" i="21"/>
  <c r="F3" i="11"/>
  <c r="F3" i="36"/>
  <c r="K3" i="1"/>
  <c r="K3" i="11"/>
  <c r="J1" i="5"/>
  <c r="K3" i="6"/>
  <c r="K3" i="12"/>
  <c r="K3" i="31"/>
  <c r="K3" i="7"/>
  <c r="D8" i="3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<sst xmlns="http://schemas.openxmlformats.org/spreadsheetml/2006/main" count="2985" uniqueCount="2758">
  <si>
    <t>Thomas Benninger (tbenninger@imf.org)</t>
  </si>
  <si>
    <t>Breakeven1</t>
  </si>
  <si>
    <t>=Dashboard!$U$176</t>
  </si>
  <si>
    <t>BreakevenMacroDifference</t>
  </si>
  <si>
    <t>=Dashboard!$T$181</t>
  </si>
  <si>
    <t>BreakevenRegimeCount</t>
  </si>
  <si>
    <t>=Dashboard!$S$175</t>
  </si>
  <si>
    <t>BreakevenResults</t>
  </si>
  <si>
    <t>=Dashboard!$T$177:$T$184</t>
  </si>
  <si>
    <t>BreakevenResultsTable</t>
  </si>
  <si>
    <t>=Dashboard!$U$177:$Y$184</t>
  </si>
  <si>
    <t>CHK_TOL</t>
  </si>
  <si>
    <t>=Inputs!$F$82</t>
  </si>
  <si>
    <t>Dashboard</t>
  </si>
  <si>
    <t>=Dashboard!$A$1</t>
  </si>
  <si>
    <t>OilPrice</t>
  </si>
  <si>
    <t>=Dashboard!$C$9</t>
  </si>
  <si>
    <t>RegimeSelected</t>
  </si>
  <si>
    <t>=Dashboard!$C$6</t>
  </si>
  <si>
    <t>Baseline</t>
  </si>
  <si>
    <t>Royalty + CIT</t>
  </si>
  <si>
    <t>800MMbbl_A</t>
  </si>
  <si>
    <t>FARI Simplified Petroleum 5b.xlsm</t>
  </si>
  <si>
    <t>English</t>
  </si>
  <si>
    <t>%</t>
  </si>
  <si>
    <t xml:space="preserve">&lt;= </t>
  </si>
  <si>
    <t>R-factor PSC</t>
  </si>
  <si>
    <t>--------------</t>
  </si>
  <si>
    <t>Government profit petroleum share %</t>
  </si>
  <si>
    <t>AETR: full-cycle, undiscounted</t>
  </si>
  <si>
    <t>RRT</t>
  </si>
  <si>
    <t>Royalty + CIT, no debt</t>
  </si>
  <si>
    <t>DROP PSC</t>
  </si>
  <si>
    <t>yes</t>
  </si>
  <si>
    <t>Simplified Petroleum FARI model</t>
  </si>
  <si>
    <t>April 2022</t>
  </si>
  <si>
    <t>French</t>
  </si>
  <si>
    <t>Spanish</t>
  </si>
  <si>
    <t>Other1</t>
  </si>
  <si>
    <t>Other2</t>
  </si>
  <si>
    <t>no</t>
  </si>
  <si>
    <t>net</t>
  </si>
  <si>
    <t>nominal</t>
  </si>
  <si>
    <t>Percentage</t>
  </si>
  <si>
    <t>T&amp;R</t>
  </si>
  <si>
    <t>PSC</t>
  </si>
  <si>
    <t>DROP</t>
  </si>
  <si>
    <t>R-Factor</t>
  </si>
  <si>
    <t>expensed</t>
  </si>
  <si>
    <t>Production</t>
  </si>
  <si>
    <t>less</t>
  </si>
  <si>
    <t>row</t>
  </si>
  <si>
    <t>% Total</t>
  </si>
  <si>
    <t>Authors</t>
  </si>
  <si>
    <t>Auteurs</t>
  </si>
  <si>
    <t>Autores</t>
  </si>
  <si>
    <t>Contact in IMF FAD</t>
  </si>
  <si>
    <t>Personne à contacter au Département des finances publiques du FMI</t>
  </si>
  <si>
    <t>Contacto en el Departamento de Asuntos Fiscales de FMI</t>
  </si>
  <si>
    <t>Owner</t>
  </si>
  <si>
    <t>Propriétaire</t>
  </si>
  <si>
    <t>Propietario</t>
  </si>
  <si>
    <t>Overall checks</t>
  </si>
  <si>
    <t>Vérifications globales</t>
  </si>
  <si>
    <t>Verificaciones generales</t>
  </si>
  <si>
    <t>Checks</t>
  </si>
  <si>
    <t>Vérifications</t>
  </si>
  <si>
    <t>Verificaciones</t>
  </si>
  <si>
    <t>Changes</t>
  </si>
  <si>
    <t>Modifications</t>
  </si>
  <si>
    <t>Modificaciones</t>
  </si>
  <si>
    <t>Enter fiscal regime assumptions</t>
  </si>
  <si>
    <t>Saisir les hypothèses liées au régime fiscal</t>
  </si>
  <si>
    <t>Introducir supuestos sobre el régimen fiscal</t>
  </si>
  <si>
    <t>Enter project data</t>
  </si>
  <si>
    <t>Saisir les données du projet</t>
  </si>
  <si>
    <t>Introducir datos del proyecto</t>
  </si>
  <si>
    <t>Select fiscal regime</t>
  </si>
  <si>
    <t>Choisir un régime fiscal</t>
  </si>
  <si>
    <t>Seleccionar régimen fiscal</t>
  </si>
  <si>
    <t>Select project</t>
  </si>
  <si>
    <t>Choisir un projet</t>
  </si>
  <si>
    <t>Seleccionar proyecto</t>
  </si>
  <si>
    <t>Change oil price</t>
  </si>
  <si>
    <t>Modifier le prix du pétrole</t>
  </si>
  <si>
    <t>Modificación del precio del petróleo</t>
  </si>
  <si>
    <t>Review results</t>
  </si>
  <si>
    <t>Examiner les résultats</t>
  </si>
  <si>
    <t>Resultados del examen</t>
  </si>
  <si>
    <t>Review detailed results</t>
  </si>
  <si>
    <t>Examiner les résultats détaillés</t>
  </si>
  <si>
    <t>Resultados detallados del examen</t>
  </si>
  <si>
    <t>Analytical routines</t>
  </si>
  <si>
    <t>Programmes analytiques</t>
  </si>
  <si>
    <t>Rutinas analíticas</t>
  </si>
  <si>
    <t>Abbreviations</t>
  </si>
  <si>
    <t>Sigles et abréviations</t>
  </si>
  <si>
    <t>Abreviaturas</t>
  </si>
  <si>
    <t>Name ranges used in the model</t>
  </si>
  <si>
    <t>Plages de noms utilisées dans le modèle</t>
  </si>
  <si>
    <t>Rangos de nombres utilizados en el modelo</t>
  </si>
  <si>
    <t>Sheet tabs</t>
  </si>
  <si>
    <t>Onglets de feuille</t>
  </si>
  <si>
    <t>Etiquetas de las hojas</t>
  </si>
  <si>
    <t>Font colour only</t>
  </si>
  <si>
    <t>Couleur de police uniquement</t>
  </si>
  <si>
    <t>Color de fuente solamente</t>
  </si>
  <si>
    <t>Font + shade combinations</t>
  </si>
  <si>
    <t>Police + combinaison de teintes</t>
  </si>
  <si>
    <t>Combinaciones de fuente + sombreado</t>
  </si>
  <si>
    <t>Error checks &amp; alerts</t>
  </si>
  <si>
    <t>Contrôles d’erreurs et alertes</t>
  </si>
  <si>
    <t>Alertas y verificaciones de errores</t>
  </si>
  <si>
    <t>Tableau de bord</t>
  </si>
  <si>
    <t>Panel de información</t>
  </si>
  <si>
    <t>Input sheets</t>
  </si>
  <si>
    <t>Feuilles de saisie</t>
  </si>
  <si>
    <t>Hojas de datos iniciales</t>
  </si>
  <si>
    <t>Calculation sheets</t>
  </si>
  <si>
    <t>Feuilles de calcul</t>
  </si>
  <si>
    <t>Hojas de cálculo</t>
  </si>
  <si>
    <t>Key output sheets</t>
  </si>
  <si>
    <t>Feuilles de sortie clés</t>
  </si>
  <si>
    <t>Hojas de resultados principales</t>
  </si>
  <si>
    <t>Documentation sheets</t>
  </si>
  <si>
    <t>Feuilles de documentation</t>
  </si>
  <si>
    <t>Hojas de documentación</t>
  </si>
  <si>
    <t>Quality control sheets</t>
  </si>
  <si>
    <t>Feuilles de contrôle qualité</t>
  </si>
  <si>
    <t>Hojas de control de calidad</t>
  </si>
  <si>
    <t>Imported from another sheet</t>
  </si>
  <si>
    <t>Importé d’une autre feuille</t>
  </si>
  <si>
    <t>Importado desde otra hoja</t>
  </si>
  <si>
    <t>Exported to another sheet (except from Input sheets)</t>
  </si>
  <si>
    <t>Exporté vers une autre feuille (sauf depuis les feuilles de saisie)</t>
  </si>
  <si>
    <t>Exportado a otra hoja (excepto desde hojas de datos iniciales)</t>
  </si>
  <si>
    <t>Within sheet link or calculation</t>
  </si>
  <si>
    <t>Lien ou calcul à l’intérieur d’une feuille</t>
  </si>
  <si>
    <t>Cálculo o enlace dentro de la hoja</t>
  </si>
  <si>
    <t>Calling fiscal parameter from fiscal regime inputs</t>
  </si>
  <si>
    <t>Appel d’un paramètre fiscal à partir des entrées du régime fiscal</t>
  </si>
  <si>
    <t>Obtener parámetro fiscal a partir de los insumos sobre el régimen fiscal</t>
  </si>
  <si>
    <t>Inputs</t>
  </si>
  <si>
    <t>Données d’entrée</t>
  </si>
  <si>
    <t>Datos iniciales</t>
  </si>
  <si>
    <t>Calculations</t>
  </si>
  <si>
    <t>Calculs</t>
  </si>
  <si>
    <t>Cálculos</t>
  </si>
  <si>
    <t>Blocks of data linked by arrays OR Indirect formula</t>
  </si>
  <si>
    <t>Blocs de données liés par des séries OU formule indirecte</t>
  </si>
  <si>
    <t>Bloques de datos vinculados por matrices O la función INDIRECTO</t>
  </si>
  <si>
    <t xml:space="preserve">Within-worksheet counter-flow </t>
  </si>
  <si>
    <t xml:space="preserve">Flux inverse à l’intérieur d’une feuille </t>
  </si>
  <si>
    <t xml:space="preserve">Flujo inverso dentro de una hoja de cálculo </t>
  </si>
  <si>
    <t>Empty cells being deliberately referenced</t>
  </si>
  <si>
    <t>Cellules vides délibérément référencées</t>
  </si>
  <si>
    <t>Celdas vacías con referencias deliberadas</t>
  </si>
  <si>
    <t>Section separator</t>
  </si>
  <si>
    <t>Séparateur de section</t>
  </si>
  <si>
    <t>Separador de sección</t>
  </si>
  <si>
    <t>OK</t>
  </si>
  <si>
    <t>Error</t>
  </si>
  <si>
    <t>Erreur</t>
  </si>
  <si>
    <t>Alert</t>
  </si>
  <si>
    <t>Alerte</t>
  </si>
  <si>
    <t>Alerta</t>
  </si>
  <si>
    <t>Average effective tax rate</t>
  </si>
  <si>
    <t>Taux moyen effectif d'imposition</t>
  </si>
  <si>
    <t>Tasa impositiva efectiva promedio</t>
  </si>
  <si>
    <t>Barrel</t>
  </si>
  <si>
    <t>Baril</t>
  </si>
  <si>
    <t>Barril</t>
  </si>
  <si>
    <t>Barrels of oil equivalent</t>
  </si>
  <si>
    <t>Barils équivalent pétrole</t>
  </si>
  <si>
    <t>Barriles de petróleo equivalente</t>
  </si>
  <si>
    <t>Carbon dioxide equivalent</t>
  </si>
  <si>
    <t>Équivalent dioxyde de carbone</t>
  </si>
  <si>
    <t>Dióxido de carbono equivalente</t>
  </si>
  <si>
    <t>Economic limit</t>
  </si>
  <si>
    <t>Limite économique</t>
  </si>
  <si>
    <t>Límite económico</t>
  </si>
  <si>
    <t>Economic limit test</t>
  </si>
  <si>
    <t>Test de limite économique</t>
  </si>
  <si>
    <t>Prueba del límite económico</t>
  </si>
  <si>
    <t>Final investment decision (start of development)</t>
  </si>
  <si>
    <t>Décision finale d’investissement (début du développement)</t>
  </si>
  <si>
    <t>Decisión final de inversión (DFI) (inicio de la explotación)</t>
  </si>
  <si>
    <t>Final investment decision forward</t>
  </si>
  <si>
    <t>Décision finale d’investissement (horizon futur)</t>
  </si>
  <si>
    <t>Decisión final de inversión adelantada</t>
  </si>
  <si>
    <t>Grams</t>
  </si>
  <si>
    <t>Grammes</t>
  </si>
  <si>
    <t>Gramos</t>
  </si>
  <si>
    <t>Internal rate of return</t>
  </si>
  <si>
    <t>Taux de rentabilité interne</t>
  </si>
  <si>
    <t>Tasa interna de retorno</t>
  </si>
  <si>
    <t>Megajoules</t>
  </si>
  <si>
    <t>Mégajoules</t>
  </si>
  <si>
    <t>Megajulios</t>
  </si>
  <si>
    <t>Millions of barrels</t>
  </si>
  <si>
    <t>Millions de barils</t>
  </si>
  <si>
    <t>Millones de barriles</t>
  </si>
  <si>
    <t>Million</t>
  </si>
  <si>
    <t>Millón</t>
  </si>
  <si>
    <t>Net present value</t>
  </si>
  <si>
    <t>Valeur actuelle nette</t>
  </si>
  <si>
    <t>Valor presente neto</t>
  </si>
  <si>
    <t>Percent per year</t>
  </si>
  <si>
    <t>Pourcentage par an</t>
  </si>
  <si>
    <t>Porcentaje anual</t>
  </si>
  <si>
    <t>Thousands of barrels per day</t>
  </si>
  <si>
    <t>Milliers de barils par jour</t>
  </si>
  <si>
    <t>Miles de barriles diarios</t>
  </si>
  <si>
    <t>Tonnes</t>
  </si>
  <si>
    <t>Toneladas</t>
  </si>
  <si>
    <t>undiscounted</t>
  </si>
  <si>
    <t>non actualisé</t>
  </si>
  <si>
    <t>no descontado</t>
  </si>
  <si>
    <t>US$</t>
  </si>
  <si>
    <t>White</t>
  </si>
  <si>
    <t>Blanc</t>
  </si>
  <si>
    <t>Blanco</t>
  </si>
  <si>
    <t>Light yellow</t>
  </si>
  <si>
    <t>Jaune clair</t>
  </si>
  <si>
    <t>Amarillo claro</t>
  </si>
  <si>
    <t>Transparent/light gray</t>
  </si>
  <si>
    <t>Transparent/gris clair</t>
  </si>
  <si>
    <t>Gris claro / transparente</t>
  </si>
  <si>
    <t>Pale blue</t>
  </si>
  <si>
    <t>Bleu pâle</t>
  </si>
  <si>
    <t>Azul claro</t>
  </si>
  <si>
    <t>Dark gray</t>
  </si>
  <si>
    <t>Gris foncé</t>
  </si>
  <si>
    <t>Gris oscuro</t>
  </si>
  <si>
    <t>Turquoise</t>
  </si>
  <si>
    <t>Turquesa</t>
  </si>
  <si>
    <t>Blue font</t>
  </si>
  <si>
    <t>Police bleue</t>
  </si>
  <si>
    <t>Fuente azul</t>
  </si>
  <si>
    <t xml:space="preserve">Red font </t>
  </si>
  <si>
    <t xml:space="preserve">Police rouge </t>
  </si>
  <si>
    <t xml:space="preserve">Fuente roja </t>
  </si>
  <si>
    <t>Black font</t>
  </si>
  <si>
    <t>Police noire</t>
  </si>
  <si>
    <t>Fuente negra</t>
  </si>
  <si>
    <t>Green font</t>
  </si>
  <si>
    <t>Police verte</t>
  </si>
  <si>
    <t>Fuente verde</t>
  </si>
  <si>
    <t>Black font + Light Yellow shade</t>
  </si>
  <si>
    <t>Police noire + teinte jaune clair</t>
  </si>
  <si>
    <t>Fuente negra + Sombreado amarillo claro</t>
  </si>
  <si>
    <t>Transparent</t>
  </si>
  <si>
    <t>Transparente</t>
  </si>
  <si>
    <t>Blue font and blue shade</t>
  </si>
  <si>
    <t>Police bleue et teinte bleue</t>
  </si>
  <si>
    <t>Fuente azul y sombreado azul</t>
  </si>
  <si>
    <t>Black font + light gray shade on entire row</t>
  </si>
  <si>
    <t>Police noire + teinte gris clair sur toute la ligne</t>
  </si>
  <si>
    <t>Fuente negra + sombreado gris claro en toda la fila</t>
  </si>
  <si>
    <t>Empty cell with light gray shade</t>
  </si>
  <si>
    <t>Cellule vide avec teinte gris clair</t>
  </si>
  <si>
    <t>Celda vacía con sombreado gris claro</t>
  </si>
  <si>
    <t>White font + pale blue shade on entire row</t>
  </si>
  <si>
    <t>Police blanche + teinte bleu clair sur toute la ligne</t>
  </si>
  <si>
    <t>Fuente blanca + sombreado azul claro en toda la fila</t>
  </si>
  <si>
    <t>Green shade</t>
  </si>
  <si>
    <t>Teinte verte</t>
  </si>
  <si>
    <t>Sombreado verde</t>
  </si>
  <si>
    <t>Red shade</t>
  </si>
  <si>
    <t>Teinte rouge</t>
  </si>
  <si>
    <t>Sombreado rojo</t>
  </si>
  <si>
    <t>Gold shade</t>
  </si>
  <si>
    <t>Teinte or</t>
  </si>
  <si>
    <t>Sombreado dorado</t>
  </si>
  <si>
    <t>bbl</t>
  </si>
  <si>
    <t>bl</t>
  </si>
  <si>
    <t>BOE</t>
  </si>
  <si>
    <t>BEP</t>
  </si>
  <si>
    <t>CO2 eq</t>
  </si>
  <si>
    <t>éq. CO2</t>
  </si>
  <si>
    <t xml:space="preserve">CO2(e) </t>
  </si>
  <si>
    <t>EL</t>
  </si>
  <si>
    <t>LE</t>
  </si>
  <si>
    <t>ELT</t>
  </si>
  <si>
    <t>TLE</t>
  </si>
  <si>
    <t>FID</t>
  </si>
  <si>
    <t>DFI</t>
  </si>
  <si>
    <t>g</t>
  </si>
  <si>
    <t>MJ</t>
  </si>
  <si>
    <t>Mn Bbl</t>
  </si>
  <si>
    <t>MM bbl</t>
  </si>
  <si>
    <t>Mbl</t>
  </si>
  <si>
    <t>mn</t>
  </si>
  <si>
    <t>MM</t>
  </si>
  <si>
    <t>t</t>
  </si>
  <si>
    <t>United States Dollars</t>
  </si>
  <si>
    <t>Dollars des États-Unis</t>
  </si>
  <si>
    <t>Dólares de Estados Unidos</t>
  </si>
  <si>
    <t>Regime number</t>
  </si>
  <si>
    <t>Numéro du régime</t>
  </si>
  <si>
    <t>Número del régimen</t>
  </si>
  <si>
    <t>Regime name</t>
  </si>
  <si>
    <t>Nom du régime</t>
  </si>
  <si>
    <t>Nombre del régimen</t>
  </si>
  <si>
    <t>number</t>
  </si>
  <si>
    <t>numéro</t>
  </si>
  <si>
    <t>número</t>
  </si>
  <si>
    <t>Fiscal regime selection</t>
  </si>
  <si>
    <t>Choix du régime fiscal</t>
  </si>
  <si>
    <t>Selección del régimen fiscal</t>
  </si>
  <si>
    <t>Fiscal regime parameters</t>
  </si>
  <si>
    <t>Paramètres du régime fiscal</t>
  </si>
  <si>
    <t>Parámetros del régimen fiscal</t>
  </si>
  <si>
    <t>Selected regime number</t>
  </si>
  <si>
    <t>Numéro du régime choisi</t>
  </si>
  <si>
    <t>Número del régimen seleccionado</t>
  </si>
  <si>
    <t>Project, Fiscal Regime &amp; Prices</t>
  </si>
  <si>
    <t>Projet, régime fiscal et prix</t>
  </si>
  <si>
    <t>Proyecto, régimen fiscal y precios</t>
  </si>
  <si>
    <t>Language</t>
  </si>
  <si>
    <t>Langue</t>
  </si>
  <si>
    <t>Idioma</t>
  </si>
  <si>
    <t>Fiscal regime selected</t>
  </si>
  <si>
    <t>Régime fiscal choisi</t>
  </si>
  <si>
    <t>Régimen fiscal seleccionado</t>
  </si>
  <si>
    <t>Selected project</t>
  </si>
  <si>
    <t>Projet choisi</t>
  </si>
  <si>
    <t>Proyecto seleccionado</t>
  </si>
  <si>
    <t>Oil price (constant real terms)</t>
  </si>
  <si>
    <t>Prix du pétrole (en termes réels constants)</t>
  </si>
  <si>
    <t>Precio del petróleo (términos reales constantes)</t>
  </si>
  <si>
    <t>Option</t>
  </si>
  <si>
    <t>Opción</t>
  </si>
  <si>
    <t>Price sensitivity</t>
  </si>
  <si>
    <t>Sensibilité aux prix</t>
  </si>
  <si>
    <t>Sensibilidad al precio</t>
  </si>
  <si>
    <t>Production sensitivity</t>
  </si>
  <si>
    <t>Sensibilité à la production</t>
  </si>
  <si>
    <t>Sensibilidad a la producción</t>
  </si>
  <si>
    <t>Exploration cost sensitivity</t>
  </si>
  <si>
    <t>Sensibilité aux coûts d’exploration</t>
  </si>
  <si>
    <t>Sensibilidad al costo de prospección</t>
  </si>
  <si>
    <t xml:space="preserve">Capex sensitivity (Dev; Replace; Decomm.) </t>
  </si>
  <si>
    <t xml:space="preserve">Sensibilité aux dépenses d'investissement (développement ; remplacement ; abandon) </t>
  </si>
  <si>
    <t xml:space="preserve">Sensibilidad al gasto de capital (desarrollo, reemplazo, desmantelamiento) </t>
  </si>
  <si>
    <t>Operating cost sensitivity</t>
  </si>
  <si>
    <t>Sensibilité aux coûts d’exploitation</t>
  </si>
  <si>
    <t>Sensibilidad a los costos de operación</t>
  </si>
  <si>
    <t>Discount rate</t>
  </si>
  <si>
    <t>Taux d’actualisation</t>
  </si>
  <si>
    <t>Tasa de descuento</t>
  </si>
  <si>
    <t>factor</t>
  </si>
  <si>
    <t>Facteur</t>
  </si>
  <si>
    <t>FID forward</t>
  </si>
  <si>
    <t>DFI (horizon futur)</t>
  </si>
  <si>
    <t>DFI adelantada</t>
  </si>
  <si>
    <t>Project</t>
  </si>
  <si>
    <t>Projet</t>
  </si>
  <si>
    <t>Proyecto</t>
  </si>
  <si>
    <t>IOC</t>
  </si>
  <si>
    <t>SPI</t>
  </si>
  <si>
    <t>EPI</t>
  </si>
  <si>
    <t>Lender</t>
  </si>
  <si>
    <t>Prêteur</t>
  </si>
  <si>
    <t>Prestamista</t>
  </si>
  <si>
    <t>Government excl. participation</t>
  </si>
  <si>
    <t>Gouvernement, hors participation</t>
  </si>
  <si>
    <t>Gobierno excl. participación</t>
  </si>
  <si>
    <t>Government including participation</t>
  </si>
  <si>
    <t>Gouvernement, y compris participation</t>
  </si>
  <si>
    <t>Gobierno incl. participación</t>
  </si>
  <si>
    <t>Government share</t>
  </si>
  <si>
    <t>Part du Gouvernement</t>
  </si>
  <si>
    <t>Proporción del gobierno</t>
  </si>
  <si>
    <t>Government share (AETR)</t>
  </si>
  <si>
    <t>Part du Gouvernement (TMEI)</t>
  </si>
  <si>
    <t>Proporción del gobierno (TMEI)</t>
  </si>
  <si>
    <t>Government share of project benefits</t>
  </si>
  <si>
    <t>Part du Gouvernement dans les bénéfices du projet</t>
  </si>
  <si>
    <t>Proporción del gobierno de los beneficios del proyecto</t>
  </si>
  <si>
    <t>AETR</t>
  </si>
  <si>
    <t>TMEI</t>
  </si>
  <si>
    <t>Net decommissioning fund</t>
  </si>
  <si>
    <t>Fonds d'abandon net</t>
  </si>
  <si>
    <t>Fondo para desmantelamiento neto</t>
  </si>
  <si>
    <t>Participant cashflows</t>
  </si>
  <si>
    <t>Flux de trésorerie des participants</t>
  </si>
  <si>
    <t>Flujos de caja de los participantes</t>
  </si>
  <si>
    <t>Bonus</t>
  </si>
  <si>
    <t>Bono</t>
  </si>
  <si>
    <t>Signature bonus (first period of activity)</t>
  </si>
  <si>
    <t>Bonus  de signature (première période d’activité)</t>
  </si>
  <si>
    <t>Bono por suscripción de contratos (primer período de actividad)</t>
  </si>
  <si>
    <t>Production bonus (start of production)</t>
  </si>
  <si>
    <t>Bonus de production (démarrage de la production)</t>
  </si>
  <si>
    <t>Bono por producción (inicio de la producción)</t>
  </si>
  <si>
    <t>Bonuses cost recoverable and CIT and RRT deductible</t>
  </si>
  <si>
    <t>Bonus récupérables et déductibles pour IBS et IRRN</t>
  </si>
  <si>
    <t>Bonificaciones recuperables y dedictibles para ISR y IRRN</t>
  </si>
  <si>
    <t>Royalty</t>
  </si>
  <si>
    <t>Redevance</t>
  </si>
  <si>
    <t>Regalía</t>
  </si>
  <si>
    <t>Royalty rate</t>
  </si>
  <si>
    <t>Taux de redevance</t>
  </si>
  <si>
    <t>Tasa de regalía</t>
  </si>
  <si>
    <t>Additional royalty rate above price threshold</t>
  </si>
  <si>
    <t>Taux de redevance additionnel au-dessus d'un seuil de prix</t>
  </si>
  <si>
    <t>Tasa de regalía adicional por encima del umbral de precios</t>
  </si>
  <si>
    <t>Threshold for price royalty (0 = no price royalty)</t>
  </si>
  <si>
    <t>Prix de déclenchement de la redevance  liée au prix (0 = pas de redevance liée aux prix)</t>
  </si>
  <si>
    <t xml:space="preserve">Umbral de la regalía por precios (0 = sin regalías por precios) </t>
  </si>
  <si>
    <t>Price threshold inflation indexed</t>
  </si>
  <si>
    <t>Seuil de prix indexé à l’inflation</t>
  </si>
  <si>
    <t>Umbral de precios indexado por la inflación</t>
  </si>
  <si>
    <t>Royalty base (net/gross)</t>
  </si>
  <si>
    <t>Assiette de la redevance (nette/brute)</t>
  </si>
  <si>
    <t>Base de la regalía (neto/bruto)</t>
  </si>
  <si>
    <t>gross</t>
  </si>
  <si>
    <t>brut(e)</t>
  </si>
  <si>
    <t>bruto</t>
  </si>
  <si>
    <t>net(te)</t>
  </si>
  <si>
    <t>neto</t>
  </si>
  <si>
    <t>Royalty, CIT and RRT deductible</t>
  </si>
  <si>
    <t>Déductible pour redevance, IBS et IRRN</t>
  </si>
  <si>
    <t>Regalía, ISR y IRRN deducibles</t>
  </si>
  <si>
    <t>Carbon tax</t>
  </si>
  <si>
    <t>Taxe carbone</t>
  </si>
  <si>
    <t>Impuesto sobre el carbono</t>
  </si>
  <si>
    <t>Tax per ton of CO2 eq emitted in start year</t>
  </si>
  <si>
    <t>Taxe par tonne d’éq. CO2 émise l’année de démarrage</t>
  </si>
  <si>
    <t>Impuesto por tonelada de Co2(e) emitida en el año de inicio</t>
  </si>
  <si>
    <t>Start year of carbon tax (0=from beginning)</t>
  </si>
  <si>
    <t>Année de mise en place de la taxe carbone (0 = dépuis le début)</t>
  </si>
  <si>
    <t>Año de inicio del impuesto sobre el carbono (0 = desde el principio)</t>
  </si>
  <si>
    <t>Carbon tax in real or nominal terms</t>
  </si>
  <si>
    <t>Taxe carbone en termes réels ou nominaux</t>
  </si>
  <si>
    <t>Impuesto sobre el carbono en términos reales o nominales</t>
  </si>
  <si>
    <t>Method to change carbon tax over time</t>
  </si>
  <si>
    <t>Méthode pour modifier la taxe carbone dans le temps</t>
  </si>
  <si>
    <t>Método de modificación del impuesto sobre el carbono a lo largo del tiempo</t>
  </si>
  <si>
    <t>Percentage - Annual increase above inflation</t>
  </si>
  <si>
    <t>Pourcentage - Augmentation annuelle au-dessus de l’inflation</t>
  </si>
  <si>
    <t>Porcentaje - Incremento anual por encima de la inflación</t>
  </si>
  <si>
    <t>TargetYear - Tax per CO2 eq emitted in future year</t>
  </si>
  <si>
    <t>Année cible - Taxe par éq. CO2 émis l’année suivante</t>
  </si>
  <si>
    <t>Año objetivo - Impuesto por Co2(e) emitido en año futuro</t>
  </si>
  <si>
    <t>TargetYear - Year in which Tax reaches target level</t>
  </si>
  <si>
    <t>Année cible - Année au cours de laquelle la taxe atteint le niveau cible</t>
  </si>
  <si>
    <t>Año objetivo - Año en que el impuesto alcanza el nivel objetivo</t>
  </si>
  <si>
    <t>Carbon tax imposed on scope 3 emissions levied on investor</t>
  </si>
  <si>
    <t xml:space="preserve">Taxe carbone prélevée sur l’investisseur sur les émissions de la portée 3 </t>
  </si>
  <si>
    <t>Impuesto sobre las emisiones de carbono del ámbito 3 que grava al inversionista</t>
  </si>
  <si>
    <t>Carbon tax cost recoverable and CIT and RRT deductible</t>
  </si>
  <si>
    <t>Coût de la taxe carbone récupérable et déductible IBS et IRRN</t>
  </si>
  <si>
    <t>Costo recuperable del impuesto sobre el carbono e ISR y IRRN deducibles</t>
  </si>
  <si>
    <t>Decommissioning</t>
  </si>
  <si>
    <t>Abandon</t>
  </si>
  <si>
    <t>Desmantelamiento</t>
  </si>
  <si>
    <t>Decommissioning fund</t>
  </si>
  <si>
    <t>Fonds d'abandon</t>
  </si>
  <si>
    <t>Fondo para desmantelamiento</t>
  </si>
  <si>
    <t>Commencement of decommissioning provision</t>
  </si>
  <si>
    <t>Début de constitution de la provision pour abandon</t>
  </si>
  <si>
    <t>Inicio de la provisión para desmantelamiento</t>
  </si>
  <si>
    <t>Regime type</t>
  </si>
  <si>
    <t>Type de régime</t>
  </si>
  <si>
    <t>Tipo de régimen</t>
  </si>
  <si>
    <t>Production sharing: Cost recovery</t>
  </si>
  <si>
    <t>Partage de la production : Récupération des coûts</t>
  </si>
  <si>
    <t>Repartición de la producción: Recuperación de costos</t>
  </si>
  <si>
    <t>Cost recovery limit</t>
  </si>
  <si>
    <t>Limite de récupération des coûts</t>
  </si>
  <si>
    <t>Límite de recuperación de costos</t>
  </si>
  <si>
    <t>Interest cost recoverable</t>
  </si>
  <si>
    <t>Charges d’intérêts récupérables</t>
  </si>
  <si>
    <t>Costo recuperable de los intereses</t>
  </si>
  <si>
    <t>Uplift limit (production years)</t>
  </si>
  <si>
    <t>Taux de suramortissement (années de production)</t>
  </si>
  <si>
    <t>Límite de sobreamortización (años de producción)</t>
  </si>
  <si>
    <t>Production sharing: Profit oil</t>
  </si>
  <si>
    <t>Partage de la production : Profit oil</t>
  </si>
  <si>
    <t>Distribución de la producción: Profit oil</t>
  </si>
  <si>
    <t>Selected profit oil sharing method</t>
  </si>
  <si>
    <t>Méthode de partage du profit oil choisie</t>
  </si>
  <si>
    <t>Método de reparto de profit oil seleccionado</t>
  </si>
  <si>
    <t>DROP tiers</t>
  </si>
  <si>
    <t>Niveaux TJP</t>
  </si>
  <si>
    <t>Niveles TPD</t>
  </si>
  <si>
    <t>DROP tier</t>
  </si>
  <si>
    <t>Niveau TJP</t>
  </si>
  <si>
    <t>Nivel TPD</t>
  </si>
  <si>
    <t>R-Factor tiers</t>
  </si>
  <si>
    <t>Niveaux rapport R</t>
  </si>
  <si>
    <t>Niveles de Factor R</t>
  </si>
  <si>
    <t>R-Factor tier</t>
  </si>
  <si>
    <t>Niveau rapport R</t>
  </si>
  <si>
    <t>Nivel de Factor R</t>
  </si>
  <si>
    <t>Government profit oil share tier</t>
  </si>
  <si>
    <t>Part du profit oil  revenant au Gouvernement</t>
  </si>
  <si>
    <t>Nivel de proporción del gobierno en el profit oil</t>
  </si>
  <si>
    <t>Corporate income tax</t>
  </si>
  <si>
    <t>Impôt sur les bénéfices des sociétés</t>
  </si>
  <si>
    <t>Impuesto sobre la renta de las empresas</t>
  </si>
  <si>
    <t>CIT rate</t>
  </si>
  <si>
    <t>Taux IBS</t>
  </si>
  <si>
    <t>Tipo del ISR</t>
  </si>
  <si>
    <t>Exploration costs depreciated or deducted immediately</t>
  </si>
  <si>
    <t>Coûts d’exploration amortis ou immédiatement déduits</t>
  </si>
  <si>
    <t>Costos de exploración depreciados o deducidos inmediatamente</t>
  </si>
  <si>
    <t>Depreciation starts from</t>
  </si>
  <si>
    <t>Amortissement commence à partir de l'année</t>
  </si>
  <si>
    <t>La depreciación empieza a partir de</t>
  </si>
  <si>
    <t>Development costs and replacement capital depreciation</t>
  </si>
  <si>
    <t>Amortissement des coûts de développement et des investissements de remplacement</t>
  </si>
  <si>
    <t>Depreciación de los costos de desarrollo y del capital de reemplazo</t>
  </si>
  <si>
    <t>Resource rent tax</t>
  </si>
  <si>
    <t>Impôt sur la rente des ressources naturelles</t>
  </si>
  <si>
    <t>Impuesto a la renta de recursos naturales</t>
  </si>
  <si>
    <t>Uplift on negative cashflows</t>
  </si>
  <si>
    <t>Majoration d'amortissement des flux de trésorerie négatifs</t>
  </si>
  <si>
    <t>Sobreamortización de flujos de caja negativos</t>
  </si>
  <si>
    <t>CIT deductible for RRT</t>
  </si>
  <si>
    <t>IBS déductible pour l’IRRN</t>
  </si>
  <si>
    <t>IRE deducible del IRRN</t>
  </si>
  <si>
    <t>RRT tax rate</t>
  </si>
  <si>
    <t>Taux IRRN</t>
  </si>
  <si>
    <t>Tasa impositiva del IRRN</t>
  </si>
  <si>
    <t>Withholding tax on dividends and interest</t>
  </si>
  <si>
    <t>Retenues à la source sur dividendes  et intérêts</t>
  </si>
  <si>
    <t>Impuesto retenido sobre dividendos e intereses</t>
  </si>
  <si>
    <t>Interest withholding tax</t>
  </si>
  <si>
    <t>Retenue à la source sur les intérêts</t>
  </si>
  <si>
    <t>Impuesto retenido sobre intereses</t>
  </si>
  <si>
    <t>SOC participation in JV</t>
  </si>
  <si>
    <t>Participation de la SN dans la JV</t>
  </si>
  <si>
    <t>Participación de Empresa estatal (EE) en EC</t>
  </si>
  <si>
    <t>State participation</t>
  </si>
  <si>
    <t>Participation de l’État</t>
  </si>
  <si>
    <t>Participación del Estado</t>
  </si>
  <si>
    <t>State-owned contractor</t>
  </si>
  <si>
    <t>Société nationale</t>
  </si>
  <si>
    <t>Empresa estatal</t>
  </si>
  <si>
    <t>SOC in PSC shares profit oil only</t>
  </si>
  <si>
    <t>SN partage seulement le profit oil dans le CPP</t>
  </si>
  <si>
    <t>EE solamente participa en el profit oil en el CPC</t>
  </si>
  <si>
    <t>SOC meets exploration costs</t>
  </si>
  <si>
    <t>SN paie sa part des coûts d’exploration</t>
  </si>
  <si>
    <t>EE cubre costos de prospección</t>
  </si>
  <si>
    <t>SOC meets development costs</t>
  </si>
  <si>
    <t>SN paie sa part des coûts de développement</t>
  </si>
  <si>
    <t>EE cubre costos de desarrollo</t>
  </si>
  <si>
    <t>Carried interest: Proportion of SOC negative cashflows financed by IOC</t>
  </si>
  <si>
    <t>% de portage : Part des flux de trésorerie négatifs de la SN financée par la SPI</t>
  </si>
  <si>
    <t>Participación pasiva: Proporción de flujos de caja negativos de la EE financiado por la empresa petrolera internacional (EPI)</t>
  </si>
  <si>
    <t>Carried interest: financing by IOC till prod. year</t>
  </si>
  <si>
    <t>Intérêts du portage financier de la SPI jusqu’à l’année de production</t>
  </si>
  <si>
    <t xml:space="preserve">Participación pasiva: financiamiento por la EPI hasta el año de producción </t>
  </si>
  <si>
    <t>Carried interest: Interest rate margin above LIBOR</t>
  </si>
  <si>
    <t>Intérêts du portage  : Marge au-dessus du LIBOR</t>
  </si>
  <si>
    <t>Participación pasiva: Margen de la tasa de interés por encima del LIBOR</t>
  </si>
  <si>
    <t>Carried interest: Proportion SOC cashflows used to repay</t>
  </si>
  <si>
    <t>Intérêts du portage : Part des flux de trésorerie de la SN utilisable pour remboursement du portage</t>
  </si>
  <si>
    <t>Participación pasiva: Proporción de flujos de caja de la EE utilizada para reembolsar</t>
  </si>
  <si>
    <t>Financing assumptions (assumes joint or equivalent financing by SOC and IOC)</t>
  </si>
  <si>
    <t>Hypothèses de financement (supposent un financement conjoint ou un financement au pro rata par la SN et la SPI)</t>
  </si>
  <si>
    <t>Supuestos de financiamiento (se supone financiamiento conjunto o equivalente de la EE y la EPI)</t>
  </si>
  <si>
    <t>Proportion development costs borrowed</t>
  </si>
  <si>
    <t>Part des coûts de développement financée par emprunt</t>
  </si>
  <si>
    <t>Proporción de los costos de desarrollo en préstamo</t>
  </si>
  <si>
    <t>Repayment period (yrs after financing period)</t>
  </si>
  <si>
    <t>Période de remboursement (années après la période de financement)</t>
  </si>
  <si>
    <t>período de repago (años después de período de financiamiento)</t>
  </si>
  <si>
    <t>Loan real interest rate</t>
  </si>
  <si>
    <t>Taux d’intérêt réel de l'emprunt</t>
  </si>
  <si>
    <t>Tasa de interés real del préstamo</t>
  </si>
  <si>
    <t>Value added tax</t>
  </si>
  <si>
    <t>Taxe sur la valeur ajoutée</t>
  </si>
  <si>
    <t>Impuesto sobre el valor agregado</t>
  </si>
  <si>
    <t>VAT rate</t>
  </si>
  <si>
    <t>Taux de TVA</t>
  </si>
  <si>
    <t>Tasa del IVA</t>
  </si>
  <si>
    <t>% Exploration &amp; capex subject to VAT</t>
  </si>
  <si>
    <t>% des coûts d’exploration et des investissements soumis à la TVA</t>
  </si>
  <si>
    <t>% gasto de capital y prospección sujeto a IVA</t>
  </si>
  <si>
    <t>% opex subject to VAT</t>
  </si>
  <si>
    <t>% des dépenses d’exploitation soumis à la TVA</t>
  </si>
  <si>
    <t>% costos de operación sujeto a IVA</t>
  </si>
  <si>
    <t>VAT refund delay</t>
  </si>
  <si>
    <t>Délai de remboursement de la TVA</t>
  </si>
  <si>
    <t>Retraso en la devolución del IVA</t>
  </si>
  <si>
    <t>VAT applicable from</t>
  </si>
  <si>
    <t>TVA applicable à partir de</t>
  </si>
  <si>
    <t>IVA aplicable desde</t>
  </si>
  <si>
    <t>incurred in period of first project activity</t>
  </si>
  <si>
    <t>encourue pendant la période de la première activité du projet</t>
  </si>
  <si>
    <t>incurrida en el período de la primera actividad del proyecto</t>
  </si>
  <si>
    <t>start of production</t>
  </si>
  <si>
    <t>début de la production</t>
  </si>
  <si>
    <t>inicio de la producción</t>
  </si>
  <si>
    <t>expensed for cost if recoverable, depreciated for CIT if deductible, expensed for RRT if deductible</t>
  </si>
  <si>
    <t>passée en charge pour les coûts si récupérable, amortie pour l’IBS si déductible, passée en charge pour l’IRRN si déductible</t>
  </si>
  <si>
    <t>asentado como gasto para el costo si es recuperable, como depreciado para el ISR si es deducible, como gasto para el IRRN si es deducible</t>
  </si>
  <si>
    <t>Applies in addition to any flat royalty</t>
  </si>
  <si>
    <t>S’applique en plus de toute redevance à taux constant</t>
  </si>
  <si>
    <t>Se aplica además de las regalías fijas</t>
  </si>
  <si>
    <t>yes or no</t>
  </si>
  <si>
    <t>oui ou non</t>
  </si>
  <si>
    <t>sí o no</t>
  </si>
  <si>
    <t>net = revenues less downstream/post-fiscal costs</t>
  </si>
  <si>
    <t>net = recettes moins coûts en aval/après impôts</t>
  </si>
  <si>
    <r>
      <t>neta = ingresos menos costos posfiscales/etapas secundarias (</t>
    </r>
    <r>
      <rPr>
        <i/>
        <sz val="11"/>
        <color theme="1"/>
        <rFont val="Calibri"/>
        <family val="2"/>
      </rPr>
      <t>downstream</t>
    </r>
    <r>
      <rPr>
        <sz val="11"/>
        <color theme="1"/>
        <rFont val="Calibri"/>
        <family val="2"/>
      </rPr>
      <t>)</t>
    </r>
  </si>
  <si>
    <t>only relevant for tax/royalty regimes</t>
  </si>
  <si>
    <t>ne concerne que les régimes de type impôt/redevance</t>
  </si>
  <si>
    <t>solo pertinente para regímenes fiscal/de regalías</t>
  </si>
  <si>
    <t>Real, Nominal; assumed nominal if empty</t>
  </si>
  <si>
    <t>Réel, nominal ; supposé nominal si vide</t>
  </si>
  <si>
    <t>Real, nominal; se supone nominal si está vacía</t>
  </si>
  <si>
    <t>Percentage, TargetYear; assumed percentage if empty</t>
  </si>
  <si>
    <t>Pourcentage, année cible ; pourcentage hypothèse si vide</t>
  </si>
  <si>
    <t>Porcentaje, año objetivo; se supone porcentaje si está vacía</t>
  </si>
  <si>
    <t>0 if a constant tax level; percentage relative to carbon price in the first year</t>
  </si>
  <si>
    <t>0 si niveau de taxe constant ; pourcentage relatif au prix du carbone la première année</t>
  </si>
  <si>
    <t>0 si el nivel del impuesto es contante; porcentaje relativo al precio del carbono en el primer año</t>
  </si>
  <si>
    <t>no entry means not directly levied on investor</t>
  </si>
  <si>
    <t>pas de saisie signifie que l’impôt n’est pas directement prélevé auprès de l’investisseur</t>
  </si>
  <si>
    <t>sin entrada significa que no se grava directamente al inversionista</t>
  </si>
  <si>
    <t>no entry means not cost recoverable or CIT and RRT deductible</t>
  </si>
  <si>
    <t xml:space="preserve">pas de saisie signifie que les coûts ne sont pas récupérables ou non déductibles de l’IBS et de l’IRRN </t>
  </si>
  <si>
    <t>sin entrada significa sin costos recuperables ni ISR y IRRN deducibles</t>
  </si>
  <si>
    <t>no entry means no decommissioning fund</t>
  </si>
  <si>
    <t>pas de saisie signifie qu’il n’y a pas de fonds d'abandon</t>
  </si>
  <si>
    <t>sin entrada significa sin fondo para desmantelamiento</t>
  </si>
  <si>
    <t>0 = from start of production</t>
  </si>
  <si>
    <t>0 = dès le début de la production</t>
  </si>
  <si>
    <t>0 = desde el inicio de la producción</t>
  </si>
  <si>
    <t>Overall regime configuration</t>
  </si>
  <si>
    <t>Configuration globale du régime</t>
  </si>
  <si>
    <t>Configuración general del régimen</t>
  </si>
  <si>
    <t>% of revenues after royalty</t>
  </si>
  <si>
    <t>% des recettes après redevance</t>
  </si>
  <si>
    <t>% de ingresos después de regalías</t>
  </si>
  <si>
    <t>no entry means not recoverable</t>
  </si>
  <si>
    <t>pas de saisie signifie non récupérable</t>
  </si>
  <si>
    <t>sin entrada significa no recuperable</t>
  </si>
  <si>
    <t>% added to unrecovered cost balance</t>
  </si>
  <si>
    <t>% ajouté au solde des coûts non récupérés</t>
  </si>
  <si>
    <t>% añadido al saldo de costos no recuperables</t>
  </si>
  <si>
    <t>time limit on uplift</t>
  </si>
  <si>
    <t>limite de temps pour le suramortissement</t>
  </si>
  <si>
    <t>límite temporal de la sobreamortización</t>
  </si>
  <si>
    <t>must enter value if PSC</t>
  </si>
  <si>
    <t>une valeur doit être saisie si CPP</t>
  </si>
  <si>
    <t>debe introducir valor si es CPC</t>
  </si>
  <si>
    <t>Daily rate of production</t>
  </si>
  <si>
    <t>Taux journalier de production</t>
  </si>
  <si>
    <t>Tasa de producción diaria</t>
  </si>
  <si>
    <t>Ratio of cumulative revenues to cumulative costs</t>
  </si>
  <si>
    <t>Rapport recettes cumulées/coûts cumulés</t>
  </si>
  <si>
    <t>Relación entre ingresos acumulados y costos acumulados</t>
  </si>
  <si>
    <t>must enter value</t>
  </si>
  <si>
    <t>une valeur doit être saisie</t>
  </si>
  <si>
    <t>debe introducirse valor</t>
  </si>
  <si>
    <t>Cashflow RRT</t>
  </si>
  <si>
    <t>Flux de trésorerie IRRN</t>
  </si>
  <si>
    <t>Flujo de caja del IRRN</t>
  </si>
  <si>
    <t>no entry means before CIT; CIT non-deductible means RRT deducted for CIT</t>
  </si>
  <si>
    <t>pas de saisie signifie avant IBS ;  non déductible pour l' IBS signifie IRRN déduit pour l’IBS</t>
  </si>
  <si>
    <t>sin entrada significa antes del ISR; ISR no deducible significa IRRN deducido del ISR</t>
  </si>
  <si>
    <t>paid when cumulative equity cashflow positive</t>
  </si>
  <si>
    <t>payé lorsque le flux de trésorerie cumulé des fonds propres est positif</t>
  </si>
  <si>
    <t>pagado cuando el flujo de caja del capital acumulado es positivo</t>
  </si>
  <si>
    <t>% share in JV</t>
  </si>
  <si>
    <t>Part en % dans la JV</t>
  </si>
  <si>
    <t>% de participación en EC</t>
  </si>
  <si>
    <t>State takes no share of costs; PSC only</t>
  </si>
  <si>
    <t>L’État ne paie aucune part des coûts ; CPP uniquement</t>
  </si>
  <si>
    <t>El Estado no comparte los costos; solo CPC</t>
  </si>
  <si>
    <t>no entry means state does not pay for exploration</t>
  </si>
  <si>
    <t>pas de saisie signifie que l’État ne paie pas sa part de l’exploration</t>
  </si>
  <si>
    <t>sin entrada significa que el Estado no paga la prospección</t>
  </si>
  <si>
    <t>no entry means state does not pay for development</t>
  </si>
  <si>
    <t>pas de saisie signifie que l’État ne paie pas sa part du développement</t>
  </si>
  <si>
    <t>sin entrada significa que el Estado no paga el desarrollo</t>
  </si>
  <si>
    <t>Proportion reserves produced</t>
  </si>
  <si>
    <t>Part des réserves produites</t>
  </si>
  <si>
    <t>Proporción de reservas producidas</t>
  </si>
  <si>
    <t>Decommissioning period</t>
  </si>
  <si>
    <t>Période d'abandon</t>
  </si>
  <si>
    <t>Período de desmantelamiento</t>
  </si>
  <si>
    <t>Number of decommissioning periods</t>
  </si>
  <si>
    <t>Nombre de périodes d'abandon</t>
  </si>
  <si>
    <t>Número de períodos de desmantelamiento</t>
  </si>
  <si>
    <t>Decommissioning provision required (annuity basis)</t>
  </si>
  <si>
    <t>Provision pour abandon requise (base annuité)</t>
  </si>
  <si>
    <t>Provisión para desmantelamiento necesaria (en base de anualidad)</t>
  </si>
  <si>
    <t>Decommissioning provision for future costs (end of period)</t>
  </si>
  <si>
    <t>Provision pour abandon pour les coûts futurs (fin de période)</t>
  </si>
  <si>
    <t>Provisión para desmantelamiento para costos futuros (fin de período)</t>
  </si>
  <si>
    <t>Withdrawals to meet decommissioning costs (end of period)</t>
  </si>
  <si>
    <t>Prélèvements pour couvrir les coûts d'abandon (fin de période)</t>
  </si>
  <si>
    <t>Retiros para cubrir costos de desmantelamiento (fin de período)</t>
  </si>
  <si>
    <t>Interest</t>
  </si>
  <si>
    <t>Intérêts</t>
  </si>
  <si>
    <t>Interés</t>
  </si>
  <si>
    <t>Decommissioning fund opening balance: BEG</t>
  </si>
  <si>
    <t>Solde d'ouverture du fonds d'abandon : DÉBUT</t>
  </si>
  <si>
    <t>Saldo de apertura del fondo para desmantelamiento: INICIO</t>
  </si>
  <si>
    <t>Decommissioning fund closing balance: END</t>
  </si>
  <si>
    <t>Solde de clôture du fonds d'abandon : FIN</t>
  </si>
  <si>
    <t>Saldo de cierre del fondo para desmantelamiento: FINAL</t>
  </si>
  <si>
    <t>Decommissioning cashflows</t>
  </si>
  <si>
    <t>Flux de trésorerie liés à l'abandon</t>
  </si>
  <si>
    <t>Flujos de caja para desmantelamiento</t>
  </si>
  <si>
    <t>Net decommissioning cashflows including fund</t>
  </si>
  <si>
    <t>Flux de trésorerie nets liés à l'abandon, y compris le fonds</t>
  </si>
  <si>
    <t>Flujos de caja netos para desmantelamiento, incluido el fondo</t>
  </si>
  <si>
    <t>Net decommissioning cashflows</t>
  </si>
  <si>
    <t>Flux de trésorerie nets liés à l'abandon</t>
  </si>
  <si>
    <t>Flujos de caja netos para desmantelamiento</t>
  </si>
  <si>
    <t>Cashflows before fiscal regime after decommissioning</t>
  </si>
  <si>
    <t>Flux de trésorerie avant régime fiscal et après abandon</t>
  </si>
  <si>
    <t>Flujos de caja ante el régimen fiscal, después de desmantelamiento</t>
  </si>
  <si>
    <t>Signature bonus</t>
  </si>
  <si>
    <t>Bonus de signature</t>
  </si>
  <si>
    <t>Bono por suscripción de contratos</t>
  </si>
  <si>
    <t>Production bonus</t>
  </si>
  <si>
    <t>Bonus de production</t>
  </si>
  <si>
    <t>Bono por producción</t>
  </si>
  <si>
    <t>Bonuses</t>
  </si>
  <si>
    <t>Bonificaciones</t>
  </si>
  <si>
    <t>Flat royalty rate</t>
  </si>
  <si>
    <t>Taux de redevance constant</t>
  </si>
  <si>
    <t>Tasa fija de regalía</t>
  </si>
  <si>
    <t>Proportion of price above threshold</t>
  </si>
  <si>
    <t>Proportion du prix au-dessus du seuil</t>
  </si>
  <si>
    <t>Proporción del precio por encima del umbral</t>
  </si>
  <si>
    <t>Price-based royalty rate</t>
  </si>
  <si>
    <t>Taux de redevance dépendant des prix</t>
  </si>
  <si>
    <t>Tasa de regalía basada en el precio</t>
  </si>
  <si>
    <t>Oil revenues after royalty</t>
  </si>
  <si>
    <t>Recettes pétrolières après redevance</t>
  </si>
  <si>
    <t>Ingresos del petróleo después de regalía</t>
  </si>
  <si>
    <t>Total GHG emissions applicable for carbon tax</t>
  </si>
  <si>
    <t>Émissions totales de GES soumises à la taxe carbone</t>
  </si>
  <si>
    <t>Emisiones totales de GEI a las que se aplica el impuesto sobre el carbono</t>
  </si>
  <si>
    <t>Carbon tax rate applicable</t>
  </si>
  <si>
    <t>Taux de la taxe carbone applicable</t>
  </si>
  <si>
    <t>Tasa del impuesto sobre el carbono aplicable</t>
  </si>
  <si>
    <t>Year of carbon tax</t>
  </si>
  <si>
    <t>Année de la taxe carbone</t>
  </si>
  <si>
    <t>Año del impuesto sobre el carbono</t>
  </si>
  <si>
    <t>Carbon tax - inflation option 1</t>
  </si>
  <si>
    <t>Taxe carbone - option inflation 1</t>
  </si>
  <si>
    <t>Impuesto sobre el carbono - inflación opción 1</t>
  </si>
  <si>
    <t>Carbon tax - inflation option 2</t>
  </si>
  <si>
    <t>Taxe carbone - option inflation 2</t>
  </si>
  <si>
    <t>Impuesto sobre el carbono - inflación opción 2</t>
  </si>
  <si>
    <t>Inflation since carbon tax start year</t>
  </si>
  <si>
    <t>Inflation depuis l’année de mise en place de la taxe carbone</t>
  </si>
  <si>
    <t>Inflación desde el año de inicio del impuesto sobre el carbono</t>
  </si>
  <si>
    <t>Carbon tax inflation index</t>
  </si>
  <si>
    <t>Indice d’inflation de la taxe carbone</t>
  </si>
  <si>
    <t>Índice de inflación del impuesto sobre el carbono</t>
  </si>
  <si>
    <t>Carbon tax - Percentage method; before inflation adjustment</t>
  </si>
  <si>
    <t>Taxe carbone - Méthode en pourcentage ; avant ajustement en fonction de l’inflation</t>
  </si>
  <si>
    <t>Impuesto sobre el carbono - Método del porcentaje; antes del ajuste por la inflación</t>
  </si>
  <si>
    <t>Years of carbon tax until it reaches target level</t>
  </si>
  <si>
    <t>Années de la taxe carbone jusqu’à ce qu’elle atteigne le niveau cible</t>
  </si>
  <si>
    <t>Años de impuesto sobre el carbono hasta alcanzar el nivel objetivo</t>
  </si>
  <si>
    <t>Change in carbon tax between start and future year</t>
  </si>
  <si>
    <t>Variation de la taxe carbone entre l’année de départ et l’année suivante</t>
  </si>
  <si>
    <t>Modificación del impuesto sobre el carbono entre el año de inicio y el año futuro</t>
  </si>
  <si>
    <t>Annual increase in carbon tax</t>
  </si>
  <si>
    <t>Augmentation annuelle de la taxe carbone</t>
  </si>
  <si>
    <t>Incremento anual del impuesto sobre el carbono</t>
  </si>
  <si>
    <t>Carbon tax - Target level/year; before inflation adjustment</t>
  </si>
  <si>
    <t>Taxe carbone - Niveau cible/année ; avant ajustement en fonction de l’inflation</t>
  </si>
  <si>
    <t>Impuesto sobre el carbono - nivel objetivo/año; antes del ajuste por la inflación</t>
  </si>
  <si>
    <t>Carbon tax - option 1</t>
  </si>
  <si>
    <t>Taxe carbone - option 1</t>
  </si>
  <si>
    <t>Impuesto sobre el carbono - opción 1</t>
  </si>
  <si>
    <t>Carbon tax - option 2</t>
  </si>
  <si>
    <t>Taxe carbone - option 2</t>
  </si>
  <si>
    <t>Impuesto sobre el carbono - opción 2</t>
  </si>
  <si>
    <t>Carbon tax as share of net revenue</t>
  </si>
  <si>
    <t>Taxe carbone en % des revenus nets</t>
  </si>
  <si>
    <t>Impuesto sobre el carbono como proporción de los ingresos netos</t>
  </si>
  <si>
    <t>Cashflows after decommissioning, royalty, carbon tax and bonus</t>
  </si>
  <si>
    <t>Flux de trésorerie après abandon, redevance, taxe carbone et bonus</t>
  </si>
  <si>
    <t>Flujos de caja después de desmantelamiento, regalías, impuesto sobre el carbono y bonificaciones</t>
  </si>
  <si>
    <t>Project cashflows turn positive</t>
  </si>
  <si>
    <t>Les flux de trésorerie du projet deviennent positifs</t>
  </si>
  <si>
    <t>Los flujos de caja del proyecto pasan a ser positivos</t>
  </si>
  <si>
    <t>Financing period</t>
  </si>
  <si>
    <t>Période de financement</t>
  </si>
  <si>
    <t>Período de financiamiento</t>
  </si>
  <si>
    <t>Loan drawdowns (mid-period)</t>
  </si>
  <si>
    <t>Tirages de l'emprunt (mi-période)</t>
  </si>
  <si>
    <t>Disposiciones del préstamo (a mitad del período)</t>
  </si>
  <si>
    <t>Loan repayment flag</t>
  </si>
  <si>
    <t>Repère de remboursement de l'emprunt</t>
  </si>
  <si>
    <t>Marca de reembolso de préstamos</t>
  </si>
  <si>
    <t>Proportion of remaining loan balance to be paid</t>
  </si>
  <si>
    <t>Proportion du solde de l'emprunt à rembourser</t>
  </si>
  <si>
    <t>Proporción del saldo residual del préstamo a pagar</t>
  </si>
  <si>
    <t>Loan nominal interest rate</t>
  </si>
  <si>
    <t>Taux d’intérêt nominal de l'emprunt</t>
  </si>
  <si>
    <t>Tasa de interés nominal del préstamo</t>
  </si>
  <si>
    <t>Loan account opening balance: BEG</t>
  </si>
  <si>
    <t>Solde d’ouverture du compte d'emprunt : DÉBUT</t>
  </si>
  <si>
    <t>Saldo de apertura de la cuenta de préstamos INICIO</t>
  </si>
  <si>
    <t>Interest charged</t>
  </si>
  <si>
    <t>Intérêts facturés</t>
  </si>
  <si>
    <t>Interés cobrado</t>
  </si>
  <si>
    <t>Interest payments (end of period)</t>
  </si>
  <si>
    <t>Intérêts payés (fin de période)</t>
  </si>
  <si>
    <t>Pago de intereses (fin de período)</t>
  </si>
  <si>
    <t>Loan balance to be paid</t>
  </si>
  <si>
    <t>Solde de l'emprunt à rembourser</t>
  </si>
  <si>
    <t>Saldo del préstamo por pagar</t>
  </si>
  <si>
    <t>Principal repayments (end of period)</t>
  </si>
  <si>
    <t>Remboursements du principal (fin de la période)</t>
  </si>
  <si>
    <t>Reembolsos del principal (fin de período)</t>
  </si>
  <si>
    <t>Loan closing balance: END</t>
  </si>
  <si>
    <t>Solde de clôture de l'emprunt : FIN</t>
  </si>
  <si>
    <t>Saldo de cierre del préstamo: FINAL</t>
  </si>
  <si>
    <t>Loan cashflows before interest withholding tax</t>
  </si>
  <si>
    <t>Flux de trésorerie de l'emprunt avant retenue d’impôt sur les intérêts</t>
  </si>
  <si>
    <t>Flujos de caja del préstamos antes del impuesto retenido sobre intereses</t>
  </si>
  <si>
    <t>Lender cashflows after interest withholding tax</t>
  </si>
  <si>
    <t>Flux de trésorerie du prêteur après retenue d’impôt sur les intérêts</t>
  </si>
  <si>
    <t>Flujos de caja del prestamista después del impuesto retenido sobre intereses</t>
  </si>
  <si>
    <t>Loan IRR: Lender</t>
  </si>
  <si>
    <t>TRI du prêt : Prêteur</t>
  </si>
  <si>
    <t>TIR del préstamo: Prestamista</t>
  </si>
  <si>
    <t>Interest capitalized into development costs</t>
  </si>
  <si>
    <t>Intérêts capitalisés en coûts de développement</t>
  </si>
  <si>
    <t>Interés capitalizado en los costos de desarrollo</t>
  </si>
  <si>
    <t>Interest expensed</t>
  </si>
  <si>
    <t>Intérêts comptabilisés en charges</t>
  </si>
  <si>
    <t>Interés asentado como gasto directamente</t>
  </si>
  <si>
    <t>Interest allocation</t>
  </si>
  <si>
    <t>Répartition des intérêts</t>
  </si>
  <si>
    <t>Asignación de intereses</t>
  </si>
  <si>
    <t>Proportion of loan attributed to SOC</t>
  </si>
  <si>
    <t>Proportion d'emprunt pour la SN</t>
  </si>
  <si>
    <t>Proporción del préstamos atribuido a la EE</t>
  </si>
  <si>
    <t>SOC loan cash flows</t>
  </si>
  <si>
    <t>Flux de trésorerie de l'emprunt de la SN</t>
  </si>
  <si>
    <t>Flujos de caja de préstamos de la EE</t>
  </si>
  <si>
    <t>IOC loan cash flows</t>
  </si>
  <si>
    <t>Flux de trésorerie de l'emprunt de la SPI</t>
  </si>
  <si>
    <t>Flujos de caja de préstamos de la EPI</t>
  </si>
  <si>
    <t>Loan cashflows allocation</t>
  </si>
  <si>
    <t>Répartition des flux de trésorerie de l'emprunt</t>
  </si>
  <si>
    <t>Asignación de flujos de caja del préstamo</t>
  </si>
  <si>
    <t>Tax &amp; royalty regime</t>
  </si>
  <si>
    <t>Régime d’impôts et de redevance</t>
  </si>
  <si>
    <t>Régimen de impuestos y regalías</t>
  </si>
  <si>
    <t>Production Sharing Contract regime</t>
  </si>
  <si>
    <t>Contrat de partage de la production</t>
  </si>
  <si>
    <t>Régimen del contrato de producción compartida</t>
  </si>
  <si>
    <t>Tax &amp; Royalty regime active = 1</t>
  </si>
  <si>
    <t>Régime d’impôts et de redevances actif = 1</t>
  </si>
  <si>
    <t>Régimen fiscal y de regalías activo = 1</t>
  </si>
  <si>
    <t>PSC regime active = 1</t>
  </si>
  <si>
    <t>Régime CPP actif = 1</t>
  </si>
  <si>
    <t>Régimen CPC activo = 1</t>
  </si>
  <si>
    <t>T&amp;R: Share of gross revenue to SOC</t>
  </si>
  <si>
    <t>Imp. &amp; red. : Part des revenus bruts de la SN</t>
  </si>
  <si>
    <t>Impuestos y regalías: Proporción de ingresos brutos para la EE</t>
  </si>
  <si>
    <t>T&amp;R: Share of gross revenue to IOC</t>
  </si>
  <si>
    <t>Imp. &amp; red. : Part des revenus bruts de la SPI</t>
  </si>
  <si>
    <t>Impuestos y regalías: Proporción de ingresos brutos para la EPI</t>
  </si>
  <si>
    <t>T&amp;R: Share of net revenue after royalty to SOC</t>
  </si>
  <si>
    <t>Imp. &amp; red. : Part des revenus nets de la SN après redevance</t>
  </si>
  <si>
    <t>Impuestos y regalías: Porcentaje de ingresos netos después de regalías para la EE</t>
  </si>
  <si>
    <t>T&amp;R: Share of net revenue after royalty to IOC</t>
  </si>
  <si>
    <t>Imp. &amp; red. : Part des revenus nets, après redevance, revenant à la SPI</t>
  </si>
  <si>
    <t>Impuestos y regalías: Porcentaje de ingresos netos después de regalías para la EPI</t>
  </si>
  <si>
    <t>Revenue allocation under T&amp;R regime</t>
  </si>
  <si>
    <t>Répartition des revenus sous le régime impôt / redevances</t>
  </si>
  <si>
    <t>Asignación de ingresos según el régimen impuesto y regalías</t>
  </si>
  <si>
    <t>Development and replacement capital costs into cost recovery</t>
  </si>
  <si>
    <t>Investissements de développement et de remplacement entrant la récupération des coûts</t>
  </si>
  <si>
    <t>Costos de desarrollo y de capital de reemplazo en recuperación de costos</t>
  </si>
  <si>
    <t>Other costs directly into cost recovery</t>
  </si>
  <si>
    <t>Autres coûts entrant directement à la récupération des coûts</t>
  </si>
  <si>
    <t>Otros costos directamente en recuperación de costos</t>
  </si>
  <si>
    <t>Costs into cost recovery</t>
  </si>
  <si>
    <t>Coûts entrant la récupération des coûts</t>
  </si>
  <si>
    <t>Costos en recuperación de costos</t>
  </si>
  <si>
    <t>Revenues available for cost recovery</t>
  </si>
  <si>
    <t>Recettes disponibles pour la récupération des coûts</t>
  </si>
  <si>
    <t>Ingresos disponibles para recuperación de costos</t>
  </si>
  <si>
    <t>Uplift applicable</t>
  </si>
  <si>
    <t>Majoration applicable</t>
  </si>
  <si>
    <t>Sobreamortización aplicable</t>
  </si>
  <si>
    <t>Recoverable costs opening balance: BEG</t>
  </si>
  <si>
    <t>Solde d’ouverture des coûts récupérables : DÉBUT</t>
  </si>
  <si>
    <t>Saldo de apertura de los costas recuperables: INICIO</t>
  </si>
  <si>
    <t>Uplift on unrecovered costs</t>
  </si>
  <si>
    <t>Majoration des coûts non récupérés</t>
  </si>
  <si>
    <t>Sobreamortización de los costos no recuperables</t>
  </si>
  <si>
    <t>Balance of costs to be recovered</t>
  </si>
  <si>
    <t>Solde des coûts à récupérer</t>
  </si>
  <si>
    <t>Saldo de los costos a recuperar</t>
  </si>
  <si>
    <t>PSC: Costs recovered (cost oil)</t>
  </si>
  <si>
    <t>CPP : Coûts récupérés (cost oil)</t>
  </si>
  <si>
    <t>CPC: Costos recuperados (cost oil)</t>
  </si>
  <si>
    <t>Recoverable costs closing balance: END</t>
  </si>
  <si>
    <t>Solde de clôture des coûts récupérables : FIN</t>
  </si>
  <si>
    <t>Saldo de cierre de los costos recuperables: FINAL</t>
  </si>
  <si>
    <t>Unrecovered costs at end of project</t>
  </si>
  <si>
    <t>Coûts non récupérés à la fin du projet</t>
  </si>
  <si>
    <t>Costos no recuperables al final del proyecto</t>
  </si>
  <si>
    <t>Cost recovery</t>
  </si>
  <si>
    <t>Récupération des coûts</t>
  </si>
  <si>
    <t>Recuperación de costos</t>
  </si>
  <si>
    <t>PSC: Profit oil</t>
  </si>
  <si>
    <t>CPP : Profit oil</t>
  </si>
  <si>
    <t>CPC: Profit oil</t>
  </si>
  <si>
    <t>PSC: Cost oil to SOC</t>
  </si>
  <si>
    <t>CPP : Cost oil de la SN</t>
  </si>
  <si>
    <t>CPC: Cost oil de la EE</t>
  </si>
  <si>
    <t>PSC: Cost oil to IOC</t>
  </si>
  <si>
    <t>CPP : Cost oil  de la SPI</t>
  </si>
  <si>
    <t>CPC: Cost oil de la EPI</t>
  </si>
  <si>
    <t>DROP tier 5</t>
  </si>
  <si>
    <t>TJP niveau 5</t>
  </si>
  <si>
    <t>Nivel 5 TPD</t>
  </si>
  <si>
    <t>DROP tier allocation</t>
  </si>
  <si>
    <t>Répartition des niveaux de TJP</t>
  </si>
  <si>
    <t>Asignación de nivel TPD</t>
  </si>
  <si>
    <t>Contractor net revenue</t>
  </si>
  <si>
    <t>Recettes nettes de l’entreprise sous-traitante</t>
  </si>
  <si>
    <t>Ingresos netos del contratista</t>
  </si>
  <si>
    <t>Investment</t>
  </si>
  <si>
    <t>Investissement</t>
  </si>
  <si>
    <t>Inversión</t>
  </si>
  <si>
    <t>Rapport R</t>
  </si>
  <si>
    <t>Factor R</t>
  </si>
  <si>
    <t>R-Factor (previous period)</t>
  </si>
  <si>
    <t>Rapport R (période précédente)</t>
  </si>
  <si>
    <t>Factor R (período anterior)</t>
  </si>
  <si>
    <t>Sum of R-Factor tiers</t>
  </si>
  <si>
    <t>Somme des niveaux du facteur R</t>
  </si>
  <si>
    <t>Suma de niveles de Factor R</t>
  </si>
  <si>
    <t>R-Factor tier allocation</t>
  </si>
  <si>
    <t>Répartition des niveaux du facteur R</t>
  </si>
  <si>
    <t>Asignación de nivel de Factor R</t>
  </si>
  <si>
    <t>Autre 1</t>
  </si>
  <si>
    <t>Otro 1</t>
  </si>
  <si>
    <t>Autre 2</t>
  </si>
  <si>
    <t>Otro 2</t>
  </si>
  <si>
    <t>Joint venture share</t>
  </si>
  <si>
    <t>Part de la JV</t>
  </si>
  <si>
    <t>Proporción de la EC</t>
  </si>
  <si>
    <t>PSC: Government profit oil</t>
  </si>
  <si>
    <t>CPP : Profit oil revenant à l’État</t>
  </si>
  <si>
    <t>CPC: Profit oil del gobierno</t>
  </si>
  <si>
    <t>Joint venture profit oil</t>
  </si>
  <si>
    <t>Profit oil revenant à la JV</t>
  </si>
  <si>
    <t>Profit oil de la EC</t>
  </si>
  <si>
    <t>Weighted average government share profit oil</t>
  </si>
  <si>
    <t>Moyenne pondérée de la part du profit oil revenant à l’État</t>
  </si>
  <si>
    <t>Proporción media ponderada del gobierno en el profit oil</t>
  </si>
  <si>
    <t>PSC: Profit oil to IOC</t>
  </si>
  <si>
    <t>CPP : Profit oil de la SPI</t>
  </si>
  <si>
    <t>CPC: Profit oil para la EPI</t>
  </si>
  <si>
    <t>PSC: Profit oil to SOC</t>
  </si>
  <si>
    <t>CPP : Profit oil de la SN</t>
  </si>
  <si>
    <t>CPC: Profit oil para la EE</t>
  </si>
  <si>
    <t>SOC share of revenues</t>
  </si>
  <si>
    <t>Part des revenus revenant à la SN</t>
  </si>
  <si>
    <t>Proporción de ingresos de la EE</t>
  </si>
  <si>
    <t>IOC share of revenues</t>
  </si>
  <si>
    <t>Part des revenus revenant à la SPI</t>
  </si>
  <si>
    <t>Proporción de ingresos de la EPI</t>
  </si>
  <si>
    <t>Project costs for sharing between SOC and IOC</t>
  </si>
  <si>
    <t>Coûts du projet à partager entre la SN et la SPI</t>
  </si>
  <si>
    <t>Costos del proyecto a repartir entre la EE y la EPI</t>
  </si>
  <si>
    <t>Joint Venture</t>
  </si>
  <si>
    <t xml:space="preserve">Joint Venture </t>
  </si>
  <si>
    <t>Empresa Conjunta</t>
  </si>
  <si>
    <t>JV</t>
  </si>
  <si>
    <t>EC</t>
  </si>
  <si>
    <t>Costs allocated to SOC (JV cashcalls)</t>
  </si>
  <si>
    <t>Part des coûts de la SN (appels de fonds de la JV)</t>
  </si>
  <si>
    <t>Costos asignados a la EE (solicitud de fondos EC)</t>
  </si>
  <si>
    <t>Costs allocated to IOC (JV cashcalls)</t>
  </si>
  <si>
    <t>Part des coûts de la SPI (appels de fonds de la JV)</t>
  </si>
  <si>
    <t>Costos asignados a la EPI (solicitud de fondos EC)</t>
  </si>
  <si>
    <t>JV cost allocation</t>
  </si>
  <si>
    <t>Répartition des coûts de la JV</t>
  </si>
  <si>
    <t>Asignación de costos EC</t>
  </si>
  <si>
    <t>Capitalized costs: IOC</t>
  </si>
  <si>
    <t>Coûts capitalisés : SPI</t>
  </si>
  <si>
    <t>Costos capitalizados: EPI</t>
  </si>
  <si>
    <t>Capitalized costs excluding interest</t>
  </si>
  <si>
    <t>Coûts capitalisés hors intérêts</t>
  </si>
  <si>
    <t>Costos capitalizados excluidos intereses</t>
  </si>
  <si>
    <t>Capitalized costs accumulated till production starts</t>
  </si>
  <si>
    <t>Coûts capitalisés cumulés jusqu’au début de la production</t>
  </si>
  <si>
    <t>Costos capitalizados acumulados hasta el inicio de la producción</t>
  </si>
  <si>
    <t>Cumulative depreciation years</t>
  </si>
  <si>
    <t>Années d’amortissement cumulées</t>
  </si>
  <si>
    <t>Años acumulados de depreciación</t>
  </si>
  <si>
    <t>Remaining depreciation years</t>
  </si>
  <si>
    <t>Années d’amortissement restantes</t>
  </si>
  <si>
    <t>Años restantes de depreciación</t>
  </si>
  <si>
    <t>Costs into depreciation</t>
  </si>
  <si>
    <t>Coûts entrant amortissement</t>
  </si>
  <si>
    <t>Costos en depreciación</t>
  </si>
  <si>
    <t>BEG</t>
  </si>
  <si>
    <t>DÉB</t>
  </si>
  <si>
    <t>INI</t>
  </si>
  <si>
    <t>Beginning</t>
  </si>
  <si>
    <t>Début</t>
  </si>
  <si>
    <t>Inicio</t>
  </si>
  <si>
    <t>Undepreciated costs: Opening balance BEG</t>
  </si>
  <si>
    <t>Coûts non amortis : Solde d’ouverture DÉBUT</t>
  </si>
  <si>
    <t>Costos no depreciados: Saldo de apertura INICIO</t>
  </si>
  <si>
    <t>Cost base written off in final year of production</t>
  </si>
  <si>
    <t>Base des coûts radiée au cours de la dernière année de production</t>
  </si>
  <si>
    <t>Base de costos amortizada en el año final de producción</t>
  </si>
  <si>
    <t>Cost base for depreciation</t>
  </si>
  <si>
    <t>Base des coûts à amortir</t>
  </si>
  <si>
    <t>Base de costos para depreciación</t>
  </si>
  <si>
    <t>Straight-line depreciation charge</t>
  </si>
  <si>
    <t>Dotation aux amortissements linéaires</t>
  </si>
  <si>
    <t>Cargo por depreciación lineal</t>
  </si>
  <si>
    <t>Capitalized costs fully depreciated</t>
  </si>
  <si>
    <t>Coûts capitalisés intégralement amortis</t>
  </si>
  <si>
    <t>Costos capitalizados plenamente depreciados</t>
  </si>
  <si>
    <t>Balance of capitalized costs</t>
  </si>
  <si>
    <t>Solde des coûts capitalisés</t>
  </si>
  <si>
    <t>Saldo de costos capitalizados</t>
  </si>
  <si>
    <t>Final year write-off</t>
  </si>
  <si>
    <t>Passation en pertes et profits de la dernière année</t>
  </si>
  <si>
    <t>Año final de amortización</t>
  </si>
  <si>
    <t>END</t>
  </si>
  <si>
    <t>FIN</t>
  </si>
  <si>
    <t>FINAL</t>
  </si>
  <si>
    <t xml:space="preserve">Tax depreciation charge IOC </t>
  </si>
  <si>
    <t xml:space="preserve">Dotation aux amortissements fiscaux de la SPI </t>
  </si>
  <si>
    <t xml:space="preserve">Cargo por depreciación fiscal EPI </t>
  </si>
  <si>
    <t>Depreciation</t>
  </si>
  <si>
    <t>Amortissement</t>
  </si>
  <si>
    <t>Depreciación</t>
  </si>
  <si>
    <t>IOC deductions</t>
  </si>
  <si>
    <t>Déductions SPI</t>
  </si>
  <si>
    <t>Deducciones EPI</t>
  </si>
  <si>
    <t>Taxable income before prior period losses</t>
  </si>
  <si>
    <t>Résultat imposable avant pertes des périodes antérieures</t>
  </si>
  <si>
    <t>Ingreso imponible antes de pérdidas de períodos anteriores</t>
  </si>
  <si>
    <t>Prior period losses carried forward</t>
  </si>
  <si>
    <t>Report des pertes des périodes antérieures</t>
  </si>
  <si>
    <t xml:space="preserve">Pérdidas trasladadas de períodos anteriores </t>
  </si>
  <si>
    <t>Taxable income after losses</t>
  </si>
  <si>
    <t>Résultat imposable après pertes</t>
  </si>
  <si>
    <t>Ingreso imponible después de pérdidas</t>
  </si>
  <si>
    <t>CIT rate applicable</t>
  </si>
  <si>
    <t>Taux d’IBS applicable</t>
  </si>
  <si>
    <t>Tasa del ISR aplicable</t>
  </si>
  <si>
    <t>CIT paid: IOC</t>
  </si>
  <si>
    <t>IBS payé : SPI</t>
  </si>
  <si>
    <t>IRE pagado: EPI</t>
  </si>
  <si>
    <t>Cost deductions for RRT</t>
  </si>
  <si>
    <t>Déductions de coûts pour l’IRRN</t>
  </si>
  <si>
    <t>Deducciones de costos del IRRN</t>
  </si>
  <si>
    <t>IOC net cashflow before tax for RRT (via cashflows)</t>
  </si>
  <si>
    <t>Flux de trésorerie net de la SPI avant IRRN (via les flux de trésorerie)</t>
  </si>
  <si>
    <t>Flujo de caja neto de la EPI antes de impuestos para el IRRN (vía flujos de caja)</t>
  </si>
  <si>
    <t>IOC net cashflow before tax for RRT (via tax return)</t>
  </si>
  <si>
    <t>Flux de trésorerie nets de la SPI avant IRRN (via la déclaration d’impôts)</t>
  </si>
  <si>
    <t>Flujo de caja neto de la EPI antes de impuestos para el IRRN (vía declaración de impuestos)</t>
  </si>
  <si>
    <t>IOC cashflows for RRT: cashflow versus tax return</t>
  </si>
  <si>
    <t>Flux de trésorerie de la SPI pour l’IRRN : flux de trésorerie opposé à la déclaration fiscale</t>
  </si>
  <si>
    <t>Flujos de caja de la EPI para la IRRN: flujo de caja frente a declaración de impuestos</t>
  </si>
  <si>
    <t>IOC RRT cumulative cashflow</t>
  </si>
  <si>
    <t>Flux de trésorerie cumulés de la SPI pour l’IRR</t>
  </si>
  <si>
    <t>Flujo de caja acumulado IRRN de la EPI</t>
  </si>
  <si>
    <t>Uplift on negative cumulative cashflows</t>
  </si>
  <si>
    <t>Majoration sur les flux de trésorerie cumulés négatifs</t>
  </si>
  <si>
    <t>Sobreamortización de los flujos de caja acumulados negativos</t>
  </si>
  <si>
    <t>Resource rent tax: IOC</t>
  </si>
  <si>
    <t>Impôt sur la rente des ressources naturelles : SPI</t>
  </si>
  <si>
    <t>Impuesto a la renta de recursos naturales: EPI</t>
  </si>
  <si>
    <t>Selected VAT start period</t>
  </si>
  <si>
    <t>Période de début de TVA choisie</t>
  </si>
  <si>
    <t>Período seleccionado de inicio del IVA</t>
  </si>
  <si>
    <t>Exploration start year</t>
  </si>
  <si>
    <t>Année de début de l’exploration</t>
  </si>
  <si>
    <t>Año de inicio de la prospección</t>
  </si>
  <si>
    <t>FID year</t>
  </si>
  <si>
    <t>Année DFI</t>
  </si>
  <si>
    <t>Año de la DFI</t>
  </si>
  <si>
    <t>Production start year</t>
  </si>
  <si>
    <t>Année de début de la production</t>
  </si>
  <si>
    <t>Año de inicio de la producción</t>
  </si>
  <si>
    <t>Input VAT charged</t>
  </si>
  <si>
    <t>TVA en amont facturée</t>
  </si>
  <si>
    <t>Carga de IVA soportado</t>
  </si>
  <si>
    <t>Input VAT refund due</t>
  </si>
  <si>
    <t>Remboursement de la TVA en amont due</t>
  </si>
  <si>
    <t>Devolución adeudada del IVA soportado</t>
  </si>
  <si>
    <t>VAT refund months</t>
  </si>
  <si>
    <t>Mois de remboursement de la TVA</t>
  </si>
  <si>
    <t>Meses de devolución del IVA</t>
  </si>
  <si>
    <t>VAT refunds years</t>
  </si>
  <si>
    <t>Années de remboursement de la TVA</t>
  </si>
  <si>
    <t>Años de devoluciones del IVA</t>
  </si>
  <si>
    <t>VAT refunds paid: interim calc. applying month delay</t>
  </si>
  <si>
    <t>Remboursements de TVA effectués : calcul intermédiaire avec un mois de retard</t>
  </si>
  <si>
    <t>Devoluciones pagadas del IVA: cálculo provisional que aplica retraso de un mes</t>
  </si>
  <si>
    <t>VAT refunds paid</t>
  </si>
  <si>
    <t>Remboursements de la TVA effectués</t>
  </si>
  <si>
    <t>Devoluciones pagadas del IVA</t>
  </si>
  <si>
    <t>VAT cashflow: investor</t>
  </si>
  <si>
    <t>Flux de trésorerie TVA : investisseur</t>
  </si>
  <si>
    <t>Flujo de caja del IVA: inversionista</t>
  </si>
  <si>
    <t>VAT cashflow: government</t>
  </si>
  <si>
    <t>Flux de trésorerie TVA : Gouvernement</t>
  </si>
  <si>
    <t>Flujo de caja del IVA: gobierno</t>
  </si>
  <si>
    <t>IOC cash flow before distributions</t>
  </si>
  <si>
    <t>Flux de trésorerie de la SPI avant distribution de dividendes</t>
  </si>
  <si>
    <t>Flujo de caja de la EPI antes de rentas distribuidas</t>
  </si>
  <si>
    <t>Dividend distributions</t>
  </si>
  <si>
    <t>Distribution de dividendes</t>
  </si>
  <si>
    <t>Distribución de dividendos</t>
  </si>
  <si>
    <t>Distributions to parent deemed to be dividends</t>
  </si>
  <si>
    <t>Versements à la société mère considérés comme des dividendes</t>
  </si>
  <si>
    <t>Rentas distribuidas a empresa matriz consideradas como dividendos</t>
  </si>
  <si>
    <t>Distributions to parent deemed to be return of capital</t>
  </si>
  <si>
    <t>Versements à la société mère considérés comme une rémunération du capital</t>
  </si>
  <si>
    <t>Rentas distribuidas a empresa matriz consideradas como rentabilidad del capital</t>
  </si>
  <si>
    <t>Dividend withholding tax</t>
  </si>
  <si>
    <t>Retenue à la source sur les dividendes</t>
  </si>
  <si>
    <t>Impuesto retenido sobre dividendos</t>
  </si>
  <si>
    <t>Net cashflow after fiscal regime: IOC</t>
  </si>
  <si>
    <t>Flux de trésorerie nets après régime fiscal : SPI</t>
  </si>
  <si>
    <t>Flujo de caja neto después de régimen tributario: EPI</t>
  </si>
  <si>
    <t>Maximum cumulative cashflow</t>
  </si>
  <si>
    <t>Flux de trésorerie cumulé maximum</t>
  </si>
  <si>
    <t>Flujo de caja acumulado máximo</t>
  </si>
  <si>
    <t>IOC economic limit</t>
  </si>
  <si>
    <t>Limite économique de la SPI</t>
  </si>
  <si>
    <t>Límite económico de la EPI</t>
  </si>
  <si>
    <t>IOC EL after tax reached before project EL</t>
  </si>
  <si>
    <t>LE après impôt de la SPI atteinte avant LE du projet</t>
  </si>
  <si>
    <t>EL posfiscal de la EPI alcanzado antes que EL del proyecto</t>
  </si>
  <si>
    <t>SOC net cash flow before tax</t>
  </si>
  <si>
    <t>Flux de trésorerie nets de la SN avant impôt</t>
  </si>
  <si>
    <t>Flujo de caja neto de la EE antes de impuestos</t>
  </si>
  <si>
    <t>Carried interest financing available</t>
  </si>
  <si>
    <t>Financement du portage disponible</t>
  </si>
  <si>
    <t>Financiamiento de participación pasiva disponible</t>
  </si>
  <si>
    <t>Negative SOC cashflows during financing period</t>
  </si>
  <si>
    <t>Flux de trésorerie négatifs de la SN pendant la période de financement</t>
  </si>
  <si>
    <t>Flujos de caja de la EE negativos durante el período de financiamiento</t>
  </si>
  <si>
    <t>Carried interest loan: drawdowns (mid period)</t>
  </si>
  <si>
    <t>Financement du portage : tirages (en milieu de période)</t>
  </si>
  <si>
    <t>Préstamo de participación pasiva: disposiciones (a mitad de período)</t>
  </si>
  <si>
    <t>Carried interest loan: interest rate</t>
  </si>
  <si>
    <t>Financement du portage : taux d’intérêt</t>
  </si>
  <si>
    <t>Préstamo de participación pasiva: tasa de interés</t>
  </si>
  <si>
    <t>Carried intererst loan potential repayment</t>
  </si>
  <si>
    <t>Capacité de remboursement du financement du portage</t>
  </si>
  <si>
    <t>Reembolso potencial del préstamo de participación pasiva</t>
  </si>
  <si>
    <t>Carried interest loan opening balance: BEG</t>
  </si>
  <si>
    <t>Solde d’ouverture du financement du portage : DÉBUT</t>
  </si>
  <si>
    <t>Saldo de apertura del préstamo de participación pasiva INICIO</t>
  </si>
  <si>
    <t>Carried interest loan: interest charge</t>
  </si>
  <si>
    <t>Financement du portage : intérêts</t>
  </si>
  <si>
    <t>Préstamo de participación pasiva: Cargos por intereses</t>
  </si>
  <si>
    <t>Carried interest loan balance to be repaid</t>
  </si>
  <si>
    <t>Solde du financement du portage à rembourser</t>
  </si>
  <si>
    <t>Saldo del préstamo de participación pasiva a reembolsar</t>
  </si>
  <si>
    <t>Carried interest loan: repayment (end of period)</t>
  </si>
  <si>
    <t>Financement du portage : remboursement (fin de période)</t>
  </si>
  <si>
    <t>Préstamo de participación pasiva: reembolso (fin de período)</t>
  </si>
  <si>
    <t>Carried interest loan: closing balance: END</t>
  </si>
  <si>
    <t>Financement du portage : solde de clôture : FIN</t>
  </si>
  <si>
    <t>Préstamo de participación pasiva: saldo de cierre: FINAL</t>
  </si>
  <si>
    <t>Carried interest loan cashflows: SOC</t>
  </si>
  <si>
    <t>Flux de trésorerie du financement du portage : SN</t>
  </si>
  <si>
    <t>Flujos de caja del préstamo de participación pasiva: EE</t>
  </si>
  <si>
    <t>Carried interest loan cashflows: IOC</t>
  </si>
  <si>
    <t>Flux de trésorerie du financement du portage : SPI</t>
  </si>
  <si>
    <t>Flujos de caja del préstamo de participación pasiva: EPI</t>
  </si>
  <si>
    <t>Carried interest loan closing balance</t>
  </si>
  <si>
    <t>Solde de clôture du financement du portage</t>
  </si>
  <si>
    <t xml:space="preserve">Saldo de cierre del préstamo de participación pasiva </t>
  </si>
  <si>
    <t>Carried interest loan cashflows</t>
  </si>
  <si>
    <t>Flux de trésorerie du financement du portage</t>
  </si>
  <si>
    <t>Flujos de caja del préstamo de participación pasiva</t>
  </si>
  <si>
    <t>SOC net cash flow before tax, after carried interest</t>
  </si>
  <si>
    <t>Flux de trésorerie nets de la SN avant impôts, après financement du portage</t>
  </si>
  <si>
    <t>Flujo de caja neto de la EE antes de impuestos, después de participación pasiva</t>
  </si>
  <si>
    <t>including share of lender cashflows</t>
  </si>
  <si>
    <t>y compris la part des flux de trésorerie du prêteur</t>
  </si>
  <si>
    <t>incluyendo la parte de los flujos de caja del prestamista</t>
  </si>
  <si>
    <t>Government revenues excluding participation</t>
  </si>
  <si>
    <t>Revenus du gouvernement, hors participations</t>
  </si>
  <si>
    <t>Ingresos fiscales excluida participación</t>
  </si>
  <si>
    <t>Government revenues including participation</t>
  </si>
  <si>
    <t>Revenus du gouvernement , y compris participation</t>
  </si>
  <si>
    <t>Ingresos fiscales incluida participación</t>
  </si>
  <si>
    <t>Sum of participant cashflows</t>
  </si>
  <si>
    <t>Somme des flux de trésorerie des participants</t>
  </si>
  <si>
    <t>Suma de flujos de caja de los participantes</t>
  </si>
  <si>
    <t>Difference</t>
  </si>
  <si>
    <t>Différence</t>
  </si>
  <si>
    <t>Diferencia</t>
  </si>
  <si>
    <t>% depletion</t>
  </si>
  <si>
    <t>% soutiré</t>
  </si>
  <si>
    <t>% de agotamiento</t>
  </si>
  <si>
    <t>R-Factor ratio</t>
  </si>
  <si>
    <t>Coeficiente del Factor R</t>
  </si>
  <si>
    <t>Production year</t>
  </si>
  <si>
    <t>Année de production</t>
  </si>
  <si>
    <t>Año de producción</t>
  </si>
  <si>
    <t>Months</t>
  </si>
  <si>
    <t>Mois</t>
  </si>
  <si>
    <t>Meses</t>
  </si>
  <si>
    <t>Flag</t>
  </si>
  <si>
    <t>Repère</t>
  </si>
  <si>
    <t>Marca</t>
  </si>
  <si>
    <t>MM t CO2 eq</t>
  </si>
  <si>
    <t>éq. CO2 en MM t</t>
  </si>
  <si>
    <t>MM t CO2(e)</t>
  </si>
  <si>
    <t>Index</t>
  </si>
  <si>
    <t>Indice</t>
  </si>
  <si>
    <t>% p.a.</t>
  </si>
  <si>
    <t>% al año</t>
  </si>
  <si>
    <t>selected</t>
  </si>
  <si>
    <t>choisie</t>
  </si>
  <si>
    <t>seleccionado</t>
  </si>
  <si>
    <t>Determine start of contributions</t>
  </si>
  <si>
    <t>Déterminer le début des contributions</t>
  </si>
  <si>
    <t>Determinar inicio de las contribuciones</t>
  </si>
  <si>
    <t>Decommissioning provision required</t>
  </si>
  <si>
    <t xml:space="preserve">Provision pour abandon requise </t>
  </si>
  <si>
    <t>Provisión para desmantelamiento necesaria</t>
  </si>
  <si>
    <t>Decommissioning fund transactions</t>
  </si>
  <si>
    <t>Transactions sur les fonds d'abandon</t>
  </si>
  <si>
    <t>Transacciones del fondo para desmantelamiento</t>
  </si>
  <si>
    <t>Sum of bonuses</t>
  </si>
  <si>
    <t>Somme des bonus</t>
  </si>
  <si>
    <t>Suma de bonificaciones</t>
  </si>
  <si>
    <t>Royalty base</t>
  </si>
  <si>
    <t>Assiette de la redevance</t>
  </si>
  <si>
    <t>Base de la regalía</t>
  </si>
  <si>
    <t>Flat royalty</t>
  </si>
  <si>
    <t>Redevance constante</t>
  </si>
  <si>
    <t>Regalía fija</t>
  </si>
  <si>
    <t>Price-based royalty</t>
  </si>
  <si>
    <t>Redevance dépendant des prix</t>
  </si>
  <si>
    <t>Regalía basada en el precio</t>
  </si>
  <si>
    <t>Aggregate royalty rate</t>
  </si>
  <si>
    <t>Taux de redevance global</t>
  </si>
  <si>
    <t>Tasa agregada de las regalías</t>
  </si>
  <si>
    <t>Net revenues after royalty</t>
  </si>
  <si>
    <t>Recettes nettes après redevance</t>
  </si>
  <si>
    <t>Ingresos netos después de regalías</t>
  </si>
  <si>
    <t>Determination of tax base</t>
  </si>
  <si>
    <t>Détermination de l’assiette imposable</t>
  </si>
  <si>
    <t>Determinación de la base imponible</t>
  </si>
  <si>
    <t>Tax applicable</t>
  </si>
  <si>
    <t>Impôt applicable</t>
  </si>
  <si>
    <t>Impuesto aplicable</t>
  </si>
  <si>
    <t>Tax inflation index</t>
  </si>
  <si>
    <t>Indice d’inflation de l’impôt</t>
  </si>
  <si>
    <t>Índice de inflación del impuesto</t>
  </si>
  <si>
    <t>Tax rate - Percentage</t>
  </si>
  <si>
    <t>Taux d’imposition - Pourcentage</t>
  </si>
  <si>
    <t>Tasa de impuesto - Porcentaje</t>
  </si>
  <si>
    <t>Tax rate - Target Year</t>
  </si>
  <si>
    <t>Taux d’imposition - Année cible</t>
  </si>
  <si>
    <t>Tasa de impuesto - Año objetivo</t>
  </si>
  <si>
    <t>Tax rate - select</t>
  </si>
  <si>
    <t>Taux d’imposition - choisir</t>
  </si>
  <si>
    <t>Tasa de impuesto - seleccionar</t>
  </si>
  <si>
    <t>Development costs to be financed by debt</t>
  </si>
  <si>
    <t>Coûts de développement à financer par emprunt</t>
  </si>
  <si>
    <t>Costos de desarrollo a financiar mediante deuda</t>
  </si>
  <si>
    <t>Loan account</t>
  </si>
  <si>
    <t>Compte de l'emprunt</t>
  </si>
  <si>
    <t>Cuenta de préstamos</t>
  </si>
  <si>
    <t>Loan cashflows</t>
  </si>
  <si>
    <t>Flux de trésorerie de l’emprunt</t>
  </si>
  <si>
    <t>Flujos de caja del préstamo</t>
  </si>
  <si>
    <t>Allocation of loan transactions to IOC and SOC as borrower</t>
  </si>
  <si>
    <t>Répartition des transactions de l'emprunt entre la SPI et la SN comme emprunteur</t>
  </si>
  <si>
    <t>Asignación de transacciones de préstamos a la EPI y a la EE como prestatario</t>
  </si>
  <si>
    <t>Allocation of loan transactions to IOC and SOC as lender</t>
  </si>
  <si>
    <t>Répartition des transactions de l'emprunt entre la SPI et la SN en tant que prêteur</t>
  </si>
  <si>
    <t>Asignación de transacciones de préstamos a la EPI y a la EE como prestamista</t>
  </si>
  <si>
    <t>Determine which regime type is active</t>
  </si>
  <si>
    <t>Déterminer quel type de régime est actif</t>
  </si>
  <si>
    <t>Determinar el tipo de régimen activo</t>
  </si>
  <si>
    <t>Project revenues</t>
  </si>
  <si>
    <t>Revenus du projet</t>
  </si>
  <si>
    <t>Ingresos del proyecto</t>
  </si>
  <si>
    <t>Project costs into cost recovery (on aggregated basis for 100% of JV)</t>
  </si>
  <si>
    <t>Coûts du projet entrant la récupération des coûts (sur une base agrégée pour 100 % de la JV)</t>
  </si>
  <si>
    <t>Costos del proyecto en recuperación de costos (en base agregada para el 100% de la EC)</t>
  </si>
  <si>
    <t>Recoverable cost account</t>
  </si>
  <si>
    <t>Compte des coûts récupérables</t>
  </si>
  <si>
    <t>Cuenta de costos recuperables</t>
  </si>
  <si>
    <t>Profit oil</t>
  </si>
  <si>
    <t>Attribute cost oil to SOC and IOC</t>
  </si>
  <si>
    <t>Attribuer le cost oil à la SN et à la SPI</t>
  </si>
  <si>
    <t>Atribuir el cost oil a la EE y la EPI</t>
  </si>
  <si>
    <t>Attribute production to DROP tiers</t>
  </si>
  <si>
    <t>Attribuer la production aux niveaux TJP</t>
  </si>
  <si>
    <t>Atribuir producción a niveles TPD</t>
  </si>
  <si>
    <t>Select profit oil sharing method</t>
  </si>
  <si>
    <t>Choisir la méthode de partage du profit oil</t>
  </si>
  <si>
    <t>Seleccionar método de participación del profit oil</t>
  </si>
  <si>
    <t>Production sharing: Cost oil reconciliation</t>
  </si>
  <si>
    <t>Partage de la production : Rapprochement du cost oil</t>
  </si>
  <si>
    <t>Distribución de la producción: Conciliación del cost oil</t>
  </si>
  <si>
    <t>Production sharing: Profit oil reconciliation</t>
  </si>
  <si>
    <t>Partage de la production : Rapprochement du profit oil</t>
  </si>
  <si>
    <t>Distribución de la producción: Conciliación del profit oil</t>
  </si>
  <si>
    <t>SOC and IOC revenues</t>
  </si>
  <si>
    <t>Recettes de la SN et de la SPI</t>
  </si>
  <si>
    <t>Ingresos de la EE y la EPI</t>
  </si>
  <si>
    <t>Revenue reconciliation</t>
  </si>
  <si>
    <t>Rapprochement des recettes</t>
  </si>
  <si>
    <t>Conciliación de ingresos</t>
  </si>
  <si>
    <t>Project costs to be shared</t>
  </si>
  <si>
    <t>Coûts du projet à partager</t>
  </si>
  <si>
    <t>Costos del proyecto a compartir</t>
  </si>
  <si>
    <t>SOC share of costs</t>
  </si>
  <si>
    <t>Part des coûts revenant à la SN</t>
  </si>
  <si>
    <t>Proporción de costos de la EE</t>
  </si>
  <si>
    <t>IOC share of costs</t>
  </si>
  <si>
    <t>Part des coûts revenant à la SPI</t>
  </si>
  <si>
    <t>Proporción de costos de la EPI</t>
  </si>
  <si>
    <t>Exploration costs tax treatment</t>
  </si>
  <si>
    <t>Traitement fiscal des coûts d’exploration</t>
  </si>
  <si>
    <t>Tratamiento tributario de los costos de prospección</t>
  </si>
  <si>
    <t>Bonus tax treatment</t>
  </si>
  <si>
    <t>Traitement fiscal des bonus</t>
  </si>
  <si>
    <t>Tratamiento tributario de las bonificaciones</t>
  </si>
  <si>
    <t>Costs for depreciation calculation</t>
  </si>
  <si>
    <t>Coûts à amortir fiscalement</t>
  </si>
  <si>
    <t>Costos para el cálculo de la depreciación</t>
  </si>
  <si>
    <t>Costs into depreciation calculation</t>
  </si>
  <si>
    <t>Coûts entrant au calcul de l’amortissement</t>
  </si>
  <si>
    <t>Costos en el cálculo de la depreciación</t>
  </si>
  <si>
    <t>Straight-line depreciation</t>
  </si>
  <si>
    <t>Amortissement linéaire</t>
  </si>
  <si>
    <t>Depreciación lineal</t>
  </si>
  <si>
    <t>Revenues for tax</t>
  </si>
  <si>
    <t>Revenus imposables</t>
  </si>
  <si>
    <t>Ingresos para el impuesto</t>
  </si>
  <si>
    <t>Royalty deductibility (Tax &amp; Royalty regimes only)</t>
  </si>
  <si>
    <t>Déductibilité des redevances (régimes  impôt / redevance uniquement)</t>
  </si>
  <si>
    <t>Deducibilidad de la regalía (regímenes fiscal y de regalías solamente)</t>
  </si>
  <si>
    <t>Carbon tax deductibility</t>
  </si>
  <si>
    <t>Déductibilité de la taxe carbone</t>
  </si>
  <si>
    <t>Deducibilidad del impuesto sobre el carbono</t>
  </si>
  <si>
    <t>Deductions</t>
  </si>
  <si>
    <t>Déductions</t>
  </si>
  <si>
    <t>Deducciones</t>
  </si>
  <si>
    <t>Determine cashflow for RRT</t>
  </si>
  <si>
    <t>Déterminer les flux de trésorerie pour l’IRRN</t>
  </si>
  <si>
    <t>Determinar flujo de caja para el IRRN</t>
  </si>
  <si>
    <t>Alternative basis for determining IOC net cashflows via taxable income</t>
  </si>
  <si>
    <t>Autre base pour déterminer les flux de trésorerie nets de la SPI à partir du revenu imposable</t>
  </si>
  <si>
    <t>Base alternativa para determinar los flujos de capital netos de la EPI mediante el ingreso imponible</t>
  </si>
  <si>
    <t>Deduction of CIT for RRT</t>
  </si>
  <si>
    <t>Déduction de l’IBS pour l’IRRN</t>
  </si>
  <si>
    <t>Deducción del ISR para IRRN</t>
  </si>
  <si>
    <t>IOC cumulative cashflow for RRT</t>
  </si>
  <si>
    <t>Flux de trésorerie cumulés de la SPI pour l’IRRN</t>
  </si>
  <si>
    <t>Flujo de capital acumulado de la EPI para el IRRN</t>
  </si>
  <si>
    <t>RRT deductible for CIT</t>
  </si>
  <si>
    <t>Déduction de l’IRRN pour l’IBS</t>
  </si>
  <si>
    <t>IRRN deducible del ISR</t>
  </si>
  <si>
    <t>VAT applicable periods</t>
  </si>
  <si>
    <t>Périodes d’application de la TVA</t>
  </si>
  <si>
    <t>Períodos de IVA aplicable</t>
  </si>
  <si>
    <t>VAT cashflow</t>
  </si>
  <si>
    <t>Flux de trésorerie TVA</t>
  </si>
  <si>
    <t>Flujo de caja del IVA</t>
  </si>
  <si>
    <t>Project economic limit: pre-fiscal</t>
  </si>
  <si>
    <t>Limite économique du projet : avant impôts</t>
  </si>
  <si>
    <t>Límite económico del proyecto: prefiscal</t>
  </si>
  <si>
    <t>IOC economic limit: post-fiscal</t>
  </si>
  <si>
    <t>Limite économique de la SPI : après impôts</t>
  </si>
  <si>
    <t>Límite económico de la EPI: posfiscal</t>
  </si>
  <si>
    <t>Post-fiscal ELT versus pre-fiscal ELT</t>
  </si>
  <si>
    <t>TLE après impôt comparé au TLE avant impôt</t>
  </si>
  <si>
    <t>ELT posfiscal frente a ELT prefiscal</t>
  </si>
  <si>
    <t>SOC cashflows before carried interest financing</t>
  </si>
  <si>
    <t>Flux de trésorerie de la SN avant le financement du portage</t>
  </si>
  <si>
    <t>Flujos de caja de la EE antes del financiamiento de participación pasiva</t>
  </si>
  <si>
    <t>Carried interest financing</t>
  </si>
  <si>
    <t>Financement du portage</t>
  </si>
  <si>
    <t>Financiamiento de participación pasiva</t>
  </si>
  <si>
    <t>SOC cashflows after carried interest financing</t>
  </si>
  <si>
    <t>Flux de trésorerie de la SN après le financement du portage</t>
  </si>
  <si>
    <t>Flujos de caja de la EE después del financiamiento de participación pasiva</t>
  </si>
  <si>
    <t xml:space="preserve">Debt financing (Assumed joint financing by IOC and SOC) </t>
  </si>
  <si>
    <t xml:space="preserve">Financement par emprunt (suppose un financement conjoint par la SPI et la SN) </t>
  </si>
  <si>
    <t xml:space="preserve">Financiamiento mediante deuda (se supone financiamiento conjunto de la EPI y la EE) </t>
  </si>
  <si>
    <t>Revenue sharing under tax &amp; royalty (T&amp;R) regime</t>
  </si>
  <si>
    <t>Partage des revenus sous le régime impôt / redevance</t>
  </si>
  <si>
    <t>Participación en los ingresos en el régimen de impuestos y regalías</t>
  </si>
  <si>
    <t>Production sharing: JV cost recovery</t>
  </si>
  <si>
    <t>Partage de la production : Récupération des coûts de la JV</t>
  </si>
  <si>
    <t>Distribución de la producción: Recuperación de costos de la EC</t>
  </si>
  <si>
    <t>Production sharing: Daily rate of production profit oil sharing</t>
  </si>
  <si>
    <t>Partage de la production : Partage du profit oil selon le taux journalier de production</t>
  </si>
  <si>
    <t>Distribución de la producción: Participación en profit oil utilizando la tasa de producción diaria</t>
  </si>
  <si>
    <t>Production sharing: R-factor profit oil sharing</t>
  </si>
  <si>
    <t>Partage de la production : Partage du profit oil selon le rapport R</t>
  </si>
  <si>
    <t>Distribución de la producción: Participación en profit oil utilizando el Factor R</t>
  </si>
  <si>
    <t>Production sharing: Apply selected profit oil sharing method</t>
  </si>
  <si>
    <t>Partage de la production : Appliquer la méthode de partage du profit oil choisie</t>
  </si>
  <si>
    <t>Distribución de la producción: Aplicar método seleccionado de participación en el profit oil</t>
  </si>
  <si>
    <t>PSC reconciliation</t>
  </si>
  <si>
    <t>Rapprochement des CPP</t>
  </si>
  <si>
    <t>Conciliación CPC</t>
  </si>
  <si>
    <t>Summary revenues</t>
  </si>
  <si>
    <t>Résumé des recettes</t>
  </si>
  <si>
    <t>Resumen de ingresos</t>
  </si>
  <si>
    <t>JV sharing of project costs</t>
  </si>
  <si>
    <t>Partage des coûts du projet de la JV</t>
  </si>
  <si>
    <t>Repartición de costos del proyecto de la EC</t>
  </si>
  <si>
    <t>IOC income tax depreciation</t>
  </si>
  <si>
    <t>Amortissement aux fins de l’impôt sur le revenu de la SPI</t>
  </si>
  <si>
    <t>Depreciación para el impuesto sobre la renta de la EPI</t>
  </si>
  <si>
    <t>IOC corporate income tax</t>
  </si>
  <si>
    <t>Impôt sur les bénéfices des sociétés de la SPI</t>
  </si>
  <si>
    <t>Impuesto sobre la renta de la EPI</t>
  </si>
  <si>
    <t>VAT cashflow: simplified approach assuming VAT is creditable</t>
  </si>
  <si>
    <t>Flux de trésorerie TVA : méthode simplifiée supposant que la TVA est récupérable</t>
  </si>
  <si>
    <t>Flujo de caja IVA: enfoque simplificado que asume que el IVA es acreditable</t>
  </si>
  <si>
    <t>IOC cashflows and dividends</t>
  </si>
  <si>
    <t>Flux de trésorerie et dividendes de la SPI</t>
  </si>
  <si>
    <t>Flujos de caja y dividendos de la EPI</t>
  </si>
  <si>
    <t>SOC cashflows</t>
  </si>
  <si>
    <t>Flux de trésorerie de la SN</t>
  </si>
  <si>
    <t>Flujos de caja del empresa estatal</t>
  </si>
  <si>
    <t>Cashflow reconilication</t>
  </si>
  <si>
    <t>Rapprochement des flux de trésorerie</t>
  </si>
  <si>
    <t>Conciliación de flujos de caja</t>
  </si>
  <si>
    <t>Withdrawals</t>
  </si>
  <si>
    <t>Retraits</t>
  </si>
  <si>
    <t>Retiros</t>
  </si>
  <si>
    <t>Interest earned on fund</t>
  </si>
  <si>
    <t>Intérêts produits par le fonds</t>
  </si>
  <si>
    <t>Intereses devengados del fondo</t>
  </si>
  <si>
    <t>Determine financing and repayment period</t>
  </si>
  <si>
    <t>Déterminer la période de financement et de remboursement</t>
  </si>
  <si>
    <t>Determinar financiamiento y período de repago</t>
  </si>
  <si>
    <t>Costs to be financed</t>
  </si>
  <si>
    <t>Coûts à financer</t>
  </si>
  <si>
    <t>Costos a financiar</t>
  </si>
  <si>
    <t>Interest accounting</t>
  </si>
  <si>
    <t>Comptabilisation des intérêts</t>
  </si>
  <si>
    <t>Contabilidad de intereses</t>
  </si>
  <si>
    <t>Share of revenues</t>
  </si>
  <si>
    <t>Part des revenus</t>
  </si>
  <si>
    <t>Proporción de ingresos</t>
  </si>
  <si>
    <t>Share of royalty</t>
  </si>
  <si>
    <t>Part de la redevance</t>
  </si>
  <si>
    <t>Proporción de regalías</t>
  </si>
  <si>
    <t>Share of net revenues after royalty</t>
  </si>
  <si>
    <t>Part des revenus nets après redevance</t>
  </si>
  <si>
    <t>Proporción de ingresos netos después de regalías</t>
  </si>
  <si>
    <t>Interest into cost recovery</t>
  </si>
  <si>
    <t>Intérêts entrant dans la récupération des coûts</t>
  </si>
  <si>
    <t>Intereses en recuperación de costos</t>
  </si>
  <si>
    <t>Production bonus into cost recovery</t>
  </si>
  <si>
    <t>Bonus de production entrant dans la récupération des coûts</t>
  </si>
  <si>
    <t>Bonificaciones por producción en recuperación de costos</t>
  </si>
  <si>
    <t>Carbon tax into cost recovery</t>
  </si>
  <si>
    <t>Taxe carbone entrant dans la récupération des coûts</t>
  </si>
  <si>
    <t>Impuesto sobre el carbono en recuperación de costos</t>
  </si>
  <si>
    <t>Other costs immediately available for cost recovery</t>
  </si>
  <si>
    <t>Autres coûts immédiatement disponibles pour récupération des coûts</t>
  </si>
  <si>
    <t>Otros costos inmediatamente disponibles para recuperación de costos</t>
  </si>
  <si>
    <t>Determine if PSC regime active</t>
  </si>
  <si>
    <t>Déterminer si le régime CPP est actif</t>
  </si>
  <si>
    <t>Determinar si régimen CPC está activo</t>
  </si>
  <si>
    <t>DROP parameters</t>
  </si>
  <si>
    <t>Paramètres du TJP</t>
  </si>
  <si>
    <t>Parámetros de la TPD</t>
  </si>
  <si>
    <t>Determine weighted average profit share</t>
  </si>
  <si>
    <t>Détermine la moyenne pondérée du partage du profit oil</t>
  </si>
  <si>
    <t>Determinar porcentaje promedio ponderado de beneficios</t>
  </si>
  <si>
    <t>R-Factor numerator</t>
  </si>
  <si>
    <t>Numérateur du rapport R</t>
  </si>
  <si>
    <t>Numerador del Factor R</t>
  </si>
  <si>
    <t>R-Factor denominator</t>
  </si>
  <si>
    <t>Dénominateur du rapport R</t>
  </si>
  <si>
    <t>Denominador del Factor R</t>
  </si>
  <si>
    <t>R-Factor parameters</t>
  </si>
  <si>
    <t>Paramètres facteur R</t>
  </si>
  <si>
    <t>Parámetros del Factor R</t>
  </si>
  <si>
    <t>Profit shares at each R-Factor tier</t>
  </si>
  <si>
    <t>Parts du profit oil à chaque niveau du rapport R</t>
  </si>
  <si>
    <t>Porcentajes de beneficios en cada nivel del Factor R</t>
  </si>
  <si>
    <t>Share profit oil between government and JV contractor group</t>
  </si>
  <si>
    <t>Part du profit oil revenant au gouvenement et à la JV</t>
  </si>
  <si>
    <t>Reparto del profit oil entre el gobierno y el grupo de contratistas de la EC</t>
  </si>
  <si>
    <t>Attribute profit oil between SOC and IOC</t>
  </si>
  <si>
    <t>Attribuer le profit oil à la SN et la SPI</t>
  </si>
  <si>
    <t>Atribuir el profit oil entre la EE y la EPI</t>
  </si>
  <si>
    <t>Capitalized costs excluding interest (for RRT)</t>
  </si>
  <si>
    <t>Coûts capitalisés hors intérêts (pour l’impôt sur la IRRN)</t>
  </si>
  <si>
    <t>Costos capitalizados excluidos intereses (para el IRRN)</t>
  </si>
  <si>
    <t>Cost base for straight-line depreciation</t>
  </si>
  <si>
    <t>Base de coûts pour amortissement linéaire</t>
  </si>
  <si>
    <t>Base de costos para depreciación lineal</t>
  </si>
  <si>
    <t>Determine fully depreciated costs</t>
  </si>
  <si>
    <t>Détermine les coûts intégralement amortis</t>
  </si>
  <si>
    <t>Determinar costos plenamente depreciados</t>
  </si>
  <si>
    <t>Balance of undepreciated assets</t>
  </si>
  <si>
    <t>Solde des actifs non amortis</t>
  </si>
  <si>
    <t>Saldo de activos no depreciados</t>
  </si>
  <si>
    <t>Total depreciation charge</t>
  </si>
  <si>
    <t>Dotation totale aux amortissements</t>
  </si>
  <si>
    <t>Cargo total por depreciación</t>
  </si>
  <si>
    <t>Flags from project cashflows</t>
  </si>
  <si>
    <t>Repère des flux de trésorerie du projet</t>
  </si>
  <si>
    <t>Marcas de flujos de caja del proyecto</t>
  </si>
  <si>
    <t>Start year for each alternative</t>
  </si>
  <si>
    <t>Année du début de chaque option</t>
  </si>
  <si>
    <t>Año de inicio para cada alternativa</t>
  </si>
  <si>
    <t>VAT applicable flag</t>
  </si>
  <si>
    <t>Repère de TVA applicable</t>
  </si>
  <si>
    <t>marca del IVA aplicable</t>
  </si>
  <si>
    <t>Scheduled refunds</t>
  </si>
  <si>
    <t>Remboursements échelonnés</t>
  </si>
  <si>
    <t>Reembolsos programados</t>
  </si>
  <si>
    <t>Loan available until</t>
  </si>
  <si>
    <t>Emprunt disponible jusqu’à</t>
  </si>
  <si>
    <t>Préstamo disponible hasta</t>
  </si>
  <si>
    <t xml:space="preserve">Drawdowns </t>
  </si>
  <si>
    <t xml:space="preserve">Tirages </t>
  </si>
  <si>
    <t xml:space="preserve">Disposiciones </t>
  </si>
  <si>
    <t>Interest rate</t>
  </si>
  <si>
    <t>Taux d’intérêt</t>
  </si>
  <si>
    <t>Tasa de interés</t>
  </si>
  <si>
    <t>Repayments</t>
  </si>
  <si>
    <t>Remboursements</t>
  </si>
  <si>
    <t>Reembolsos</t>
  </si>
  <si>
    <t>percentage of aggregate price</t>
  </si>
  <si>
    <t>pourcentage du prix global</t>
  </si>
  <si>
    <t>porcentaje del precio agregado</t>
  </si>
  <si>
    <t>assume this is the inflation rate if the carbon tax start year if before the model start year</t>
  </si>
  <si>
    <t>suppose que ceci est le taux d’inflation si l’année de début de la taxe carbone précède l’année de début du modèle</t>
  </si>
  <si>
    <t>suponer que esta es la tasa de inflación si el año de inicio del impuesto sobre el carbono es anterior al año de inicio del modelo</t>
  </si>
  <si>
    <t>reflects assumption of aggregated cost recovery; in practice explore + development costs maybe recovered first by IOC</t>
  </si>
  <si>
    <t>reflète l’hypothèse d’une récupération globale des coûts ; dans la pratique, les coûts d’exploration et de développement pourraient être récupérés d’abord par la SPI</t>
  </si>
  <si>
    <t>refleja el supuesto de recuperación agregada de costos; en la práctica, los costos de prospección y desarrollo pueden ser recuperados primero por la EPI</t>
  </si>
  <si>
    <t>prior period to avoid circular calculations</t>
  </si>
  <si>
    <t>période précédente pour éviter des calculs circulaires</t>
  </si>
  <si>
    <t>período anterior para evitar cálculos circulares</t>
  </si>
  <si>
    <t>User to add</t>
  </si>
  <si>
    <t>À ajouter par l’utilisateur</t>
  </si>
  <si>
    <t>A añadir por el usuario</t>
  </si>
  <si>
    <t>100% attributed to IOC</t>
  </si>
  <si>
    <t>Attribué à 100 % à la SPI</t>
  </si>
  <si>
    <t>100% atribuida a la EPI</t>
  </si>
  <si>
    <t>assumed via depreciation</t>
  </si>
  <si>
    <t>supposé par amortissement</t>
  </si>
  <si>
    <t>se supone vía depreciación</t>
  </si>
  <si>
    <t>With PSC royalty is netted off revenues</t>
  </si>
  <si>
    <t>Avec un CPP, la redevance est soustraite des recettes</t>
  </si>
  <si>
    <t>Con CPC la regalía se compensa con los ingresos</t>
  </si>
  <si>
    <t>assumes permanent carry forward</t>
  </si>
  <si>
    <t>suppose un report permanent</t>
  </si>
  <si>
    <t>se supone traslado permanente</t>
  </si>
  <si>
    <t>assumes 100% is creditable / refundable</t>
  </si>
  <si>
    <t>suppose que 100 % est portée au crédit / remboursable</t>
  </si>
  <si>
    <t>se asume que el 100% es acreditable / reembolsable</t>
  </si>
  <si>
    <t>Distributions are made once equity cashflows are positive. Distributions are deemed return of capital and do not attract withholding tax after the total positive post-tax cashflow has been distributed as dividends.</t>
  </si>
  <si>
    <t>Les versements se font une fois que les flux de trésorerie des fonds propres sont positifs. Les versements sont considérés comme un rendement du capital et ne sont pas assujettis à une retenue à la source après la distribution du flux de trésorerie positif total après impôt sous forme de dividendes.</t>
  </si>
  <si>
    <t>Las rentas se distribuyen una vez que los flujos de caja del capital son positivos. Las rentas distribuidas se consideran rentabilidad del capital y no se aplican impuestos retenidos después de que el flujo de caja positivo después de impuestos se ha distribuido como dividendos.</t>
  </si>
  <si>
    <t>into depreciation</t>
  </si>
  <si>
    <t>entrant l’amortissement</t>
  </si>
  <si>
    <t>a depreciación</t>
  </si>
  <si>
    <t>Label</t>
  </si>
  <si>
    <t>Étiquette</t>
  </si>
  <si>
    <t>Etiqueta</t>
  </si>
  <si>
    <t>add</t>
  </si>
  <si>
    <t>plus</t>
  </si>
  <si>
    <t>añadir</t>
  </si>
  <si>
    <t>moins</t>
  </si>
  <si>
    <t>menos</t>
  </si>
  <si>
    <t>VAT charged</t>
  </si>
  <si>
    <t>TVA facturée</t>
  </si>
  <si>
    <t>IVA soportado</t>
  </si>
  <si>
    <t>adjusted</t>
  </si>
  <si>
    <t>ajusté</t>
  </si>
  <si>
    <t>ajustado</t>
  </si>
  <si>
    <t>applicable</t>
  </si>
  <si>
    <t>aplicable</t>
  </si>
  <si>
    <t>into cost recovery</t>
  </si>
  <si>
    <t>entrant la récupération des coûts</t>
  </si>
  <si>
    <t>a recuperación de costos</t>
  </si>
  <si>
    <t>attributable to: SOC</t>
  </si>
  <si>
    <t>attribuable à : SN</t>
  </si>
  <si>
    <t>atribuible a: EE</t>
  </si>
  <si>
    <t>attributable to: IOC</t>
  </si>
  <si>
    <t>attribuable à : SPI</t>
  </si>
  <si>
    <t>atribuible a: EPI</t>
  </si>
  <si>
    <t>Post-financing</t>
  </si>
  <si>
    <t>Après financement</t>
  </si>
  <si>
    <t>Después de financiamiento</t>
  </si>
  <si>
    <t>deductible</t>
  </si>
  <si>
    <t>déductible</t>
  </si>
  <si>
    <t>deducible</t>
  </si>
  <si>
    <t>SOC</t>
  </si>
  <si>
    <t>SN</t>
  </si>
  <si>
    <t>EE</t>
  </si>
  <si>
    <t>proportion of total</t>
  </si>
  <si>
    <t>proportion du total</t>
  </si>
  <si>
    <t>proporción del total</t>
  </si>
  <si>
    <t>deducted immediately</t>
  </si>
  <si>
    <t>déduit immédiatement</t>
  </si>
  <si>
    <t>deducido inmediatamente</t>
  </si>
  <si>
    <t>I&amp;R</t>
  </si>
  <si>
    <t>deductible for CIT</t>
  </si>
  <si>
    <t>déductible pour l’IBS</t>
  </si>
  <si>
    <t>deducible para el ISR</t>
  </si>
  <si>
    <t>deducted for RRT</t>
  </si>
  <si>
    <t>déductible pour l’IRRN</t>
  </si>
  <si>
    <t>deducible para el IRRN</t>
  </si>
  <si>
    <t>POS</t>
  </si>
  <si>
    <t>inflation indexed</t>
  </si>
  <si>
    <t>indexé sur l’inflation</t>
  </si>
  <si>
    <t>indexado por inflación</t>
  </si>
  <si>
    <t>not inflation indexed</t>
  </si>
  <si>
    <t>non indexé sur l’inflation</t>
  </si>
  <si>
    <t>no indexado por inflación</t>
  </si>
  <si>
    <t>above threshold</t>
  </si>
  <si>
    <t>au-dessus du seuil</t>
  </si>
  <si>
    <t>por encima del umbral</t>
  </si>
  <si>
    <t>during financing period</t>
  </si>
  <si>
    <t>pendant la période de financement</t>
  </si>
  <si>
    <t>durante el período de financiamiento</t>
  </si>
  <si>
    <t>Model first calendar year</t>
  </si>
  <si>
    <t>Première année calendaire du modèle</t>
  </si>
  <si>
    <t>Primer año natural del modelo</t>
  </si>
  <si>
    <t>ELT applies</t>
  </si>
  <si>
    <t>Le TLE s’applique</t>
  </si>
  <si>
    <t>ELT se aplica</t>
  </si>
  <si>
    <t>Inflation rate</t>
  </si>
  <si>
    <t>Taux d’inflation</t>
  </si>
  <si>
    <t>Tasa de inflación</t>
  </si>
  <si>
    <t>LIBOR</t>
  </si>
  <si>
    <t>Net present value label</t>
  </si>
  <si>
    <t>Étiquette de la valeur actualisée nette</t>
  </si>
  <si>
    <t>Etiqueta del valor presente neto</t>
  </si>
  <si>
    <t>NPV label using discount rate</t>
  </si>
  <si>
    <t>Étiquette de la valeur actualisée nette en utilisant le taux d'actualisation</t>
  </si>
  <si>
    <t>Etiqueta VPN utilizando tasa de descuento</t>
  </si>
  <si>
    <t>Short NPV label</t>
  </si>
  <si>
    <t>Étiquette courte de la VAN</t>
  </si>
  <si>
    <t>Etiqueta VPN corta</t>
  </si>
  <si>
    <t>Scope 1: Upstream carbon intensity</t>
  </si>
  <si>
    <t>Portée 1 : intensité carbone en amont</t>
  </si>
  <si>
    <r>
      <t>Ámbito 1: Intensidad de carbono en etapas de extracción (</t>
    </r>
    <r>
      <rPr>
        <i/>
        <sz val="11"/>
        <color theme="1"/>
        <rFont val="Calibri"/>
        <family val="2"/>
      </rPr>
      <t>upstream</t>
    </r>
    <r>
      <rPr>
        <sz val="11"/>
        <color theme="1"/>
        <rFont val="Calibri"/>
        <family val="2"/>
      </rPr>
      <t>)</t>
    </r>
  </si>
  <si>
    <t>Scope 3: Emissions per barrel of oil consumed</t>
  </si>
  <si>
    <t>Portée 3 : émissions par baril de pétrole consommé</t>
  </si>
  <si>
    <t>Ámbito 3: Emisiones por barril de petróleo consumido</t>
  </si>
  <si>
    <t>BoE energy content</t>
  </si>
  <si>
    <t>Contenu énergétique du BEP</t>
  </si>
  <si>
    <t>Contenido de energía BEP</t>
  </si>
  <si>
    <t>Production days per year</t>
  </si>
  <si>
    <t>Jours de production par an</t>
  </si>
  <si>
    <t>Días de producción anuales</t>
  </si>
  <si>
    <t>one million</t>
  </si>
  <si>
    <t>un million</t>
  </si>
  <si>
    <t>un millón</t>
  </si>
  <si>
    <t>one thousand</t>
  </si>
  <si>
    <t>mille</t>
  </si>
  <si>
    <t>mil</t>
  </si>
  <si>
    <t>one hundred</t>
  </si>
  <si>
    <t>cent</t>
  </si>
  <si>
    <t>cien</t>
  </si>
  <si>
    <t>Model check tolerance level</t>
  </si>
  <si>
    <t>Le modèle vérifie le niveau de tolérance d'erreur</t>
  </si>
  <si>
    <t>Verificación del nivel de tolerancia del modelo</t>
  </si>
  <si>
    <t>Anglais</t>
  </si>
  <si>
    <t>Inglés</t>
  </si>
  <si>
    <t>Français</t>
  </si>
  <si>
    <t>Francés</t>
  </si>
  <si>
    <t>Espagnol</t>
  </si>
  <si>
    <t>Español</t>
  </si>
  <si>
    <t>Language selected</t>
  </si>
  <si>
    <t>Langue choisie</t>
  </si>
  <si>
    <t>Idioma seleccionado</t>
  </si>
  <si>
    <t>Raw project data</t>
  </si>
  <si>
    <t>Données du projet brutes</t>
  </si>
  <si>
    <t>Datos brutos del proyecto</t>
  </si>
  <si>
    <t>Data for selected project</t>
  </si>
  <si>
    <t>Données du projet choisi</t>
  </si>
  <si>
    <t>Datos para el proyecto seleccionado</t>
  </si>
  <si>
    <t>Model timeline</t>
  </si>
  <si>
    <t>Calendrier du modèle</t>
  </si>
  <si>
    <t>Cronograma del modelo</t>
  </si>
  <si>
    <t>Project data with sensitivity factors applied</t>
  </si>
  <si>
    <t>Données du projet avec application des facteurs de sensibilité</t>
  </si>
  <si>
    <t>Datos del proyecto con factores de sensibilidad aplicados</t>
  </si>
  <si>
    <t xml:space="preserve">Peak production </t>
  </si>
  <si>
    <t xml:space="preserve">Pic de production </t>
  </si>
  <si>
    <t xml:space="preserve">Producción máxima </t>
  </si>
  <si>
    <t>Peak production year</t>
  </si>
  <si>
    <t>Année du pic de production</t>
  </si>
  <si>
    <t>Año de producción máxima</t>
  </si>
  <si>
    <t>into model</t>
  </si>
  <si>
    <t>Par rapport au modèle</t>
  </si>
  <si>
    <t>al modelo</t>
  </si>
  <si>
    <t>Oil price realized from sales</t>
  </si>
  <si>
    <t>Prix du pétrole réalisé à partir des ventes</t>
  </si>
  <si>
    <t>Precio del petróleo obtenido de las ventas</t>
  </si>
  <si>
    <t>Oil revenues gross</t>
  </si>
  <si>
    <t>Recettes pétrolières brutes</t>
  </si>
  <si>
    <t>Ingresos brutos del petróleo</t>
  </si>
  <si>
    <t>Oil revenues net</t>
  </si>
  <si>
    <t>Recettes pétrolières nettes</t>
  </si>
  <si>
    <t>Ingresos netos del petróleo</t>
  </si>
  <si>
    <t>Project costs</t>
  </si>
  <si>
    <t>Coûts du projet</t>
  </si>
  <si>
    <t>Costos del proyecto</t>
  </si>
  <si>
    <t>Project cashflows, real before ELT</t>
  </si>
  <si>
    <t>Flux de trésorerie du projet, réels avant TLE</t>
  </si>
  <si>
    <t>Flujos de caja del proyecto, reales antes de ELT</t>
  </si>
  <si>
    <t>Economic Limit Test (ELT)</t>
  </si>
  <si>
    <t>Test de limite économique (TLE)</t>
  </si>
  <si>
    <t>Prueba del límite económico (ELT)</t>
  </si>
  <si>
    <t>Peak production year: assumed Economic Limit will not be triggered before this period</t>
  </si>
  <si>
    <t>Année du pic de production : en supposant que la limite économique ne sera pas déclenchée avant cette période</t>
  </si>
  <si>
    <t>Año de producción máxima: se supone que el Límite Económico no se activará antes de este período</t>
  </si>
  <si>
    <t>Maximum cumulative cashflows used to determine when Econ Limit reached</t>
  </si>
  <si>
    <t>Flux de trésorerie cumulé maximum permettant de déterminer quand la limite économique est atteinte</t>
  </si>
  <si>
    <t>Flujos de caja máximos acumulados utilizados para determinar cuándo se alcanza el Límite Económico</t>
  </si>
  <si>
    <t>Peak cumulative cashflows</t>
  </si>
  <si>
    <t>Maximum des flux de trésorerie cumulés</t>
  </si>
  <si>
    <t>Flujos de caja máximos acumulados</t>
  </si>
  <si>
    <t>Economic limit reached</t>
  </si>
  <si>
    <t>Limite économique atteinte</t>
  </si>
  <si>
    <t>Límite económico alcanzado</t>
  </si>
  <si>
    <t>Economic limit year based on cashflows</t>
  </si>
  <si>
    <t>Année de la limite économique en fonction des flux de trésorerie</t>
  </si>
  <si>
    <t>Año de límite económico según los flujos de caja</t>
  </si>
  <si>
    <t>Project economic limit</t>
  </si>
  <si>
    <t>Limite économique du projet</t>
  </si>
  <si>
    <t>Límite económico del proyecto</t>
  </si>
  <si>
    <t>Reschedule decommissioning costs</t>
  </si>
  <si>
    <t>Rééchelonne les coûts d'abandon</t>
  </si>
  <si>
    <t>Reprogramar los costos de desmantelamiento</t>
  </si>
  <si>
    <t>incurred before ELT reached</t>
  </si>
  <si>
    <t>engagés avant le TLE</t>
  </si>
  <si>
    <t>incurridos antes de alcanzar el ELT</t>
  </si>
  <si>
    <t>Decommissioning costs incurred after ELT year</t>
  </si>
  <si>
    <t>Coûts d'abandon engagés après l’année du TLE</t>
  </si>
  <si>
    <t>Costos de desmantelamiento incurridos tras el año ELT</t>
  </si>
  <si>
    <t>Post-production Decommissioning original start year</t>
  </si>
  <si>
    <t>Année initiale du début de l'abandon après production</t>
  </si>
  <si>
    <t>Postproducción: año de inicio original del desmantelamiento</t>
  </si>
  <si>
    <t>Post-production Decommissioning start with ELT</t>
  </si>
  <si>
    <t>Année du début de l'abandon après production avec TLE</t>
  </si>
  <si>
    <t>Postproducción: inicio del desmantelamiento con ELT</t>
  </si>
  <si>
    <t>EL reached before project end</t>
  </si>
  <si>
    <t>Limite économique atteinte avant la fin du projet</t>
  </si>
  <si>
    <t>EL alcanzado antes del final del proyecto</t>
  </si>
  <si>
    <t>Post-production Decomm. Costs with ELT</t>
  </si>
  <si>
    <t>Coûts d'abandon après production avec TLE</t>
  </si>
  <si>
    <t>Postproducción: costos de desmantelamiento con ELT</t>
  </si>
  <si>
    <t>after ELT</t>
  </si>
  <si>
    <t>après TLE</t>
  </si>
  <si>
    <t>después de ELT</t>
  </si>
  <si>
    <t>TOP OF FISCAL REGIME PARAMETERS</t>
  </si>
  <si>
    <t>Paramètres principaux du régime fiscal</t>
  </si>
  <si>
    <t>INICIO DE PARÁMETROS DEL RÉGIMEN FISCAL</t>
  </si>
  <si>
    <t>Row description</t>
  </si>
  <si>
    <t>Description de la ligne</t>
  </si>
  <si>
    <t>Descripción de la fila</t>
  </si>
  <si>
    <t>Constant</t>
  </si>
  <si>
    <t>Constante</t>
  </si>
  <si>
    <t>Units</t>
  </si>
  <si>
    <t>Unités</t>
  </si>
  <si>
    <t>Unidades</t>
  </si>
  <si>
    <t>Comments</t>
  </si>
  <si>
    <t>Observations</t>
  </si>
  <si>
    <t>Comentarios</t>
  </si>
  <si>
    <t>Total</t>
  </si>
  <si>
    <t>alternative sets of fiscal paramemters</t>
  </si>
  <si>
    <t>Autres ensembles de paramètres du régime fiscal</t>
  </si>
  <si>
    <t>conjuntos alternativos de parámetros fiscales</t>
  </si>
  <si>
    <t>US$ mn</t>
  </si>
  <si>
    <t>US$ MM</t>
  </si>
  <si>
    <t>Check</t>
  </si>
  <si>
    <t>Vérification</t>
  </si>
  <si>
    <t>Verificación</t>
  </si>
  <si>
    <t>Bottom of fiscal regime parameters</t>
  </si>
  <si>
    <t>Fin de liste des paramètres du régime fiscal</t>
  </si>
  <si>
    <t>Final de parámetros del régimen fiscal</t>
  </si>
  <si>
    <t>Translation of options</t>
  </si>
  <si>
    <t>Traduction des options</t>
  </si>
  <si>
    <t>Traducción de opciones</t>
  </si>
  <si>
    <t>Switch</t>
  </si>
  <si>
    <t>Cambio</t>
  </si>
  <si>
    <t>Year</t>
  </si>
  <si>
    <t>Année</t>
  </si>
  <si>
    <t>Año</t>
  </si>
  <si>
    <t>Calendar year</t>
  </si>
  <si>
    <t>Année calendaire</t>
  </si>
  <si>
    <t>Año natural</t>
  </si>
  <si>
    <t>US$ / t CO2 eq</t>
  </si>
  <si>
    <t>US$/t éq. CO2</t>
  </si>
  <si>
    <t>US$ / t CO2(e)</t>
  </si>
  <si>
    <t>KBOPD</t>
  </si>
  <si>
    <t>Project statistics and economic limit (EL)</t>
  </si>
  <si>
    <t>Statistiques et limite économique du projet</t>
  </si>
  <si>
    <t>Estadísticas del proyecto y límite económico (EL)</t>
  </si>
  <si>
    <t>Links to analytical routines</t>
  </si>
  <si>
    <t>Liens vers les programmes analytiques</t>
  </si>
  <si>
    <t>Vínculos a rutinas analíticas</t>
  </si>
  <si>
    <t>Dashboard analytical routines</t>
  </si>
  <si>
    <t>Tableau de bord des programmes analytiques</t>
  </si>
  <si>
    <t>Panel de información de rutinas analíticas</t>
  </si>
  <si>
    <t>Results from selected fiscal regimes</t>
  </si>
  <si>
    <t>Résultats des régimes fiscaux choisis</t>
  </si>
  <si>
    <t>Resultados de los regímenes fiscales seleccionados</t>
  </si>
  <si>
    <t>Government revenue profiles under alternative regimes</t>
  </si>
  <si>
    <t>Profils des revenus du gouvernement sous d’autres régimes</t>
  </si>
  <si>
    <t>Perfiles de ingresos fiscales en regímenes alternativos</t>
  </si>
  <si>
    <t>Government share of profit oil</t>
  </si>
  <si>
    <t>Part du profit oil revenant à l’État</t>
  </si>
  <si>
    <t>Proporciones del gobierno en el profit oil</t>
  </si>
  <si>
    <t>Progressivity analysis across a range of oil prices</t>
  </si>
  <si>
    <t>Analyse de progressivité selon une plage de prix du pétrole</t>
  </si>
  <si>
    <t>Análisis de progresividad con varios precios del petróleo</t>
  </si>
  <si>
    <t>Breakeven oil price and marginal effective tax rate</t>
  </si>
  <si>
    <t>Prix d’équilibre du pétrole et taux effectif marginal d'imposition (TEMI)</t>
  </si>
  <si>
    <t>Precio del petróleo de equilibrio y tasa impositiva efectiva promedio</t>
  </si>
  <si>
    <t>Net present value table</t>
  </si>
  <si>
    <t>Tableau de la valeur actualisée nette</t>
  </si>
  <si>
    <t>Cuadro del valor presente neto</t>
  </si>
  <si>
    <t xml:space="preserve">Return to </t>
  </si>
  <si>
    <t xml:space="preserve">Rendement à </t>
  </si>
  <si>
    <t xml:space="preserve">Volver a </t>
  </si>
  <si>
    <t>Project cashflows and government revenues</t>
  </si>
  <si>
    <t>Flux de trésorerie du projet et revenus du gouvernement</t>
  </si>
  <si>
    <t>Flujos de caja del proyecto e ingresos fiscales</t>
  </si>
  <si>
    <t>Government revenues</t>
  </si>
  <si>
    <t>Revenus du gouvernement</t>
  </si>
  <si>
    <t>Ingresos fiscales</t>
  </si>
  <si>
    <t>IRR</t>
  </si>
  <si>
    <t>TRI</t>
  </si>
  <si>
    <t>TIR</t>
  </si>
  <si>
    <t>real</t>
  </si>
  <si>
    <t>réel</t>
  </si>
  <si>
    <t>Sheet checks</t>
  </si>
  <si>
    <t>Vérifications de feuille</t>
  </si>
  <si>
    <t>Verificaciones de hoja</t>
  </si>
  <si>
    <t>Expected monetary value</t>
  </si>
  <si>
    <t>Valeur monétaire espérée</t>
  </si>
  <si>
    <t>Valor monetario esperado</t>
  </si>
  <si>
    <t>EMV</t>
  </si>
  <si>
    <t>VME</t>
  </si>
  <si>
    <t>Minimum exploration spend</t>
  </si>
  <si>
    <t>Dépenses minimum d’exploration</t>
  </si>
  <si>
    <t>Gasto de exploración mínimo</t>
  </si>
  <si>
    <t>Chance of success</t>
  </si>
  <si>
    <t>Chances de succès</t>
  </si>
  <si>
    <t>Probabilidades de éxito</t>
  </si>
  <si>
    <t>NPV of success case: Full-cycle</t>
  </si>
  <si>
    <t>VAN en cas de succès : Cycle complet</t>
  </si>
  <si>
    <t>VPN de caso de éxito: Ciclo completo</t>
  </si>
  <si>
    <t>EMV parameters</t>
  </si>
  <si>
    <t>Paramètres de la VME</t>
  </si>
  <si>
    <t>Parámetros del VME</t>
  </si>
  <si>
    <t>Expected discovery size and pre-tax NPV</t>
  </si>
  <si>
    <t>Taille attendue de la découverte et VAN avant impôts</t>
  </si>
  <si>
    <t>Magnitud esperada del descubrimiento y VPN antes de impuestos</t>
  </si>
  <si>
    <t>AETR in success case</t>
  </si>
  <si>
    <t>TMEI en cas de succès</t>
  </si>
  <si>
    <t>TMEI en caso de éxito</t>
  </si>
  <si>
    <t>Minimum exploration cost</t>
  </si>
  <si>
    <t>Coût minimum d’exploration</t>
  </si>
  <si>
    <t>Costo de prospección mínimo</t>
  </si>
  <si>
    <t>Chance of (commercial) Success</t>
  </si>
  <si>
    <t>Chances de succès (commerciales)</t>
  </si>
  <si>
    <t>Probabilidades de éxito (comercial)</t>
  </si>
  <si>
    <t>Discovery NPV</t>
  </si>
  <si>
    <t>VAN de la découverte</t>
  </si>
  <si>
    <t>VPN del descubrimiento</t>
  </si>
  <si>
    <t>dry hole</t>
  </si>
  <si>
    <t>Puits sec</t>
  </si>
  <si>
    <t>pozo seco</t>
  </si>
  <si>
    <t>Chart details</t>
  </si>
  <si>
    <t>Détails du graphique</t>
  </si>
  <si>
    <t>Detalles del gráfico</t>
  </si>
  <si>
    <t>Chart title</t>
  </si>
  <si>
    <t>Titre du graphique</t>
  </si>
  <si>
    <t>Título del gráfico</t>
  </si>
  <si>
    <t>Vertical axis 1</t>
  </si>
  <si>
    <t>Axe vertical 1</t>
  </si>
  <si>
    <t>Eje vertical 1</t>
  </si>
  <si>
    <t>Vertical axis 2</t>
  </si>
  <si>
    <t>Axe vertical 2</t>
  </si>
  <si>
    <t>Eje vertical 2</t>
  </si>
  <si>
    <t>Horizontal axis</t>
  </si>
  <si>
    <t>Axe horizontal</t>
  </si>
  <si>
    <t>Eje horizontal</t>
  </si>
  <si>
    <t>Text box</t>
  </si>
  <si>
    <t>Zone de texte</t>
  </si>
  <si>
    <t>Caja de texto</t>
  </si>
  <si>
    <t>Live results</t>
  </si>
  <si>
    <t>Résultats réels</t>
  </si>
  <si>
    <t>Resultados reales</t>
  </si>
  <si>
    <t>Select from drop down list</t>
  </si>
  <si>
    <t>Choisir dans la liste déroulante</t>
  </si>
  <si>
    <t>Seleccionar de la lista desplegable</t>
  </si>
  <si>
    <t xml:space="preserve">Difference between two selected regimes </t>
  </si>
  <si>
    <t xml:space="preserve">Différence entre deux régimes choisis </t>
  </si>
  <si>
    <t xml:space="preserve">Diferencia entre dos regímenes seleccionados </t>
  </si>
  <si>
    <t>Fiscal regimes</t>
  </si>
  <si>
    <t>Régimes fiscaux</t>
  </si>
  <si>
    <t>Regímenes fiscales</t>
  </si>
  <si>
    <t>Government revenues under alternative regimes</t>
  </si>
  <si>
    <t>Revenus du gouvernement sous d’autres régimes</t>
  </si>
  <si>
    <t>Ingresos fiscales en regímenes alternativos</t>
  </si>
  <si>
    <t>Investor NPV and IRR under alternative regimes</t>
  </si>
  <si>
    <t>VAN et TRI des investissements sous d’autres régimes</t>
  </si>
  <si>
    <t>VPN y TIR del inversionista en regímenes alternativos</t>
  </si>
  <si>
    <t>do not delete row</t>
  </si>
  <si>
    <t>ne pas effacer la ligne</t>
  </si>
  <si>
    <t>no eliminar fila</t>
  </si>
  <si>
    <t>Participant NPV</t>
  </si>
  <si>
    <t>VAN des participants</t>
  </si>
  <si>
    <t>VPN del participante</t>
  </si>
  <si>
    <t>NPV</t>
  </si>
  <si>
    <t>VAN</t>
  </si>
  <si>
    <t>VPN</t>
  </si>
  <si>
    <t>Government revenues data table</t>
  </si>
  <si>
    <t>Tableau de données des revenus du gouvernement</t>
  </si>
  <si>
    <t>Cuadro de datos de ingresos fiscales</t>
  </si>
  <si>
    <t>Model years</t>
  </si>
  <si>
    <t>Années du modèle</t>
  </si>
  <si>
    <t>Años del modelo</t>
  </si>
  <si>
    <t>Model calendar years</t>
  </si>
  <si>
    <t>Années calendaires du modèle</t>
  </si>
  <si>
    <t>Años naturales del modelo</t>
  </si>
  <si>
    <t>Project activity</t>
  </si>
  <si>
    <t>Activité du projet</t>
  </si>
  <si>
    <t>Actividad del proyecto</t>
  </si>
  <si>
    <t>Cumulative project years</t>
  </si>
  <si>
    <t>Années cumulées du projet</t>
  </si>
  <si>
    <t>Años del proyecto acumulados</t>
  </si>
  <si>
    <t>First project activity year</t>
  </si>
  <si>
    <t>Première année d’activité du projet</t>
  </si>
  <si>
    <t>Primer año de actividad del proyecto</t>
  </si>
  <si>
    <t>Project activity (excl. decommissioning)</t>
  </si>
  <si>
    <t>Activité du projet (à l’exclusion de l'abandon)</t>
  </si>
  <si>
    <t>Actividad del proyecto (excluido desmantelamiento)</t>
  </si>
  <si>
    <t>Production years</t>
  </si>
  <si>
    <t>Années de production</t>
  </si>
  <si>
    <t>Años de producción</t>
  </si>
  <si>
    <t>Cumulative production years</t>
  </si>
  <si>
    <t>Années de production cumulées</t>
  </si>
  <si>
    <t>Años acumulados de producción</t>
  </si>
  <si>
    <t>Remaining production years</t>
  </si>
  <si>
    <t>Années de production restantes</t>
  </si>
  <si>
    <t>Años restantes de producción</t>
  </si>
  <si>
    <t>First Development Year (FID)</t>
  </si>
  <si>
    <t>Première année de développement (DFI)</t>
  </si>
  <si>
    <t>Primer año de desarrollo (DFI)</t>
  </si>
  <si>
    <t>Cumulative years from start of development</t>
  </si>
  <si>
    <t>Années cumulées à partir du début du développement</t>
  </si>
  <si>
    <t>Años acumulados desde el inicio del desarrollo</t>
  </si>
  <si>
    <t>FID forward flag</t>
  </si>
  <si>
    <t>Repère de l'horizon futur DFI</t>
  </si>
  <si>
    <t>Marca DFI adelantada</t>
  </si>
  <si>
    <t>Inflation index</t>
  </si>
  <si>
    <t>Indice d’inflation</t>
  </si>
  <si>
    <t>Índice de inflación</t>
  </si>
  <si>
    <t>Label for real terms cashflows</t>
  </si>
  <si>
    <t>Étiquette pour les flux de trésorerie en valeur réelle</t>
  </si>
  <si>
    <t>Etiqueta para flujos de caja en términos reales</t>
  </si>
  <si>
    <t>Net revenues after ELT</t>
  </si>
  <si>
    <t>Recettes nettes après TLE</t>
  </si>
  <si>
    <t>Ingresos netos después de ELT</t>
  </si>
  <si>
    <t>Cashflow before decommissioning fund</t>
  </si>
  <si>
    <t>Flux de trésorerie avant le fonds de provision pour abandon</t>
  </si>
  <si>
    <t>Flujo de caja antes del fondo para desmantelamiento</t>
  </si>
  <si>
    <t>Project benefits</t>
  </si>
  <si>
    <t>Avantages du projet</t>
  </si>
  <si>
    <t>Beneficios del proyecto</t>
  </si>
  <si>
    <t>Oil production energy content</t>
  </si>
  <si>
    <t>Teneur énergétique de la production pétrolière</t>
  </si>
  <si>
    <t>Contenido de energía de la producción de petróleo</t>
  </si>
  <si>
    <t>Scope 1: Upstream GHG emissions</t>
  </si>
  <si>
    <t>Portée 1 : Émissions de GES en amont</t>
  </si>
  <si>
    <r>
      <t>Ámbito 1: Emisiones de GEI en etapas de extracción (</t>
    </r>
    <r>
      <rPr>
        <i/>
        <sz val="11"/>
        <color theme="1"/>
        <rFont val="Calibri"/>
        <family val="2"/>
      </rPr>
      <t>upstream</t>
    </r>
    <r>
      <rPr>
        <sz val="11"/>
        <color theme="1"/>
        <rFont val="Calibri"/>
        <family val="2"/>
      </rPr>
      <t>)</t>
    </r>
  </si>
  <si>
    <t>Scope 3: GHG emissions from oil consumed</t>
  </si>
  <si>
    <t>Portée 3 : Émissions de GES résultant du pétrole consommé</t>
  </si>
  <si>
    <t>Ámbito 3: Emisiones de GEI del petróleo consumido</t>
  </si>
  <si>
    <t>Operating unit costs</t>
  </si>
  <si>
    <t>Coûts unitaires d’exploitation</t>
  </si>
  <si>
    <t>Costos unitarios de operación</t>
  </si>
  <si>
    <t>Flags</t>
  </si>
  <si>
    <t>Repères</t>
  </si>
  <si>
    <t>Marcas</t>
  </si>
  <si>
    <t>Inflation indices</t>
  </si>
  <si>
    <t>Indices d’inflation</t>
  </si>
  <si>
    <t>Índices de inflación</t>
  </si>
  <si>
    <t>GHG emissions</t>
  </si>
  <si>
    <t>Émissions de GES</t>
  </si>
  <si>
    <t>Emisiones de GEI</t>
  </si>
  <si>
    <t>Check project data in correct row</t>
  </si>
  <si>
    <t>Vérifier que les données du projet sont dans la bonne ligne</t>
  </si>
  <si>
    <t>Verificar datos del proyecto en fila correcta</t>
  </si>
  <si>
    <t>Sensitivity factors</t>
  </si>
  <si>
    <t>Facteurs de sensibilité</t>
  </si>
  <si>
    <t>Factores de sensibilidad</t>
  </si>
  <si>
    <t>Project data with sensitivies applied</t>
  </si>
  <si>
    <t>Données du projet après application des sensibilités</t>
  </si>
  <si>
    <t>Datos del proyecto con sensibilidades aplicadas</t>
  </si>
  <si>
    <t>Oil price</t>
  </si>
  <si>
    <t>Prix du pétrole</t>
  </si>
  <si>
    <t>Precio del petróleo</t>
  </si>
  <si>
    <t>Revenues</t>
  </si>
  <si>
    <t>Recettes</t>
  </si>
  <si>
    <t>Ingresos</t>
  </si>
  <si>
    <t>Project cashflows: real after ELT</t>
  </si>
  <si>
    <t>Flux de trésorerie du projet : réels après TLE</t>
  </si>
  <si>
    <t>Flujos de caja del proyecto: reales después de ELT</t>
  </si>
  <si>
    <t>Project period</t>
  </si>
  <si>
    <t>Période du projet</t>
  </si>
  <si>
    <t>Período del proyecto</t>
  </si>
  <si>
    <t>Production period</t>
  </si>
  <si>
    <t>Période de production</t>
  </si>
  <si>
    <t>Período de producción</t>
  </si>
  <si>
    <t>Development period (used for depreciation calculations)</t>
  </si>
  <si>
    <t>Période de développement (utilisée pour calculer les amortissements)</t>
  </si>
  <si>
    <t>Período de desarrollo (utilizado para cálculos de depreciación)</t>
  </si>
  <si>
    <t>Index for escalating revenues and costs</t>
  </si>
  <si>
    <t>Indice de l’évolution des recettes et des coûts</t>
  </si>
  <si>
    <t>Índice de aumento de ingresos y costos</t>
  </si>
  <si>
    <t>Discount factors (assumes discounting to middle of the year, assuming cashflows received on average in middle of the year)</t>
  </si>
  <si>
    <t>Facteurs d’actualisation (hypothèse d’une actualisation au milieu de l’année, en supposant que les flux de trésorerie sont reçus en moyenne en milieu d’année)</t>
  </si>
  <si>
    <t>Factores de descuento (supone descuentos a mitad del año, suponiendo que en promedio se reciben flujos de caja a mitad del año)</t>
  </si>
  <si>
    <t>Project totals</t>
  </si>
  <si>
    <t>Totaux du projet</t>
  </si>
  <si>
    <t>Totales del proyecto</t>
  </si>
  <si>
    <t>Scope 1: Upstream emissions</t>
  </si>
  <si>
    <t>Portée 1 : Émissions en amont</t>
  </si>
  <si>
    <r>
      <t>Ámbito 1: Emisiones en etapas de extracción (</t>
    </r>
    <r>
      <rPr>
        <i/>
        <sz val="11"/>
        <color theme="1"/>
        <rFont val="Calibri"/>
        <family val="2"/>
      </rPr>
      <t>upstream</t>
    </r>
    <r>
      <rPr>
        <sz val="11"/>
        <color theme="1"/>
        <rFont val="Calibri"/>
        <family val="2"/>
      </rPr>
      <t>)</t>
    </r>
  </si>
  <si>
    <t>Scope 3: Downstream emissions</t>
  </si>
  <si>
    <t>Portée 3 : Émissions en aval</t>
  </si>
  <si>
    <r>
      <t>Ámbito 3: Emisiones en etapas secundarias (</t>
    </r>
    <r>
      <rPr>
        <i/>
        <sz val="11"/>
        <color theme="1"/>
        <rFont val="Calibri"/>
        <family val="2"/>
      </rPr>
      <t>downstream</t>
    </r>
    <r>
      <rPr>
        <sz val="11"/>
        <color theme="1"/>
        <rFont val="Calibri"/>
        <family val="2"/>
      </rPr>
      <t>)</t>
    </r>
  </si>
  <si>
    <t>Project activity excluding decommissioning</t>
  </si>
  <si>
    <t>Activité du projet à l’exclusion de l'abandon</t>
  </si>
  <si>
    <t>Actividad del proyecto excluido el desmantelamiento</t>
  </si>
  <si>
    <t>Zero if ELT off</t>
  </si>
  <si>
    <t>Zéro sans TLE</t>
  </si>
  <si>
    <t>Cero si la ELT no es buena</t>
  </si>
  <si>
    <t>used in depreciation calculations</t>
  </si>
  <si>
    <t>utilisé pour calculer les amortissements</t>
  </si>
  <si>
    <t>utilizado en cálculos de depreciación</t>
  </si>
  <si>
    <t>base year is first project year</t>
  </si>
  <si>
    <t>l’année de référence est la première année du projet</t>
  </si>
  <si>
    <t>el año de base es el primer año del proyecto</t>
  </si>
  <si>
    <t>cashflows excluding exploration &amp; development costs</t>
  </si>
  <si>
    <t>flux de trésorerie à l’exclusion des coûts d’exploration et de développement</t>
  </si>
  <si>
    <t>flujos de caja excluidos costos de prospección y desarrollo</t>
  </si>
  <si>
    <t>Analysis</t>
  </si>
  <si>
    <t>Analyse</t>
  </si>
  <si>
    <t>Análisis</t>
  </si>
  <si>
    <t>Effective Royalty Rate calculation</t>
  </si>
  <si>
    <t>Calcul du taux de redevance effectif</t>
  </si>
  <si>
    <t>Cálculo de la tasa de regalía efectiva</t>
  </si>
  <si>
    <t>Payback</t>
  </si>
  <si>
    <t>Année de récupération de l’investissement</t>
  </si>
  <si>
    <t>Amortización</t>
  </si>
  <si>
    <t>Project cashflows</t>
  </si>
  <si>
    <t>Flux de trésorerie du projet</t>
  </si>
  <si>
    <t>Flujos de caja del proyecto</t>
  </si>
  <si>
    <t>Project participants</t>
  </si>
  <si>
    <t>Participants au projet</t>
  </si>
  <si>
    <t>Participantes del proyecto</t>
  </si>
  <si>
    <t>Government share metrics</t>
  </si>
  <si>
    <t>Indicateurs de la part revenant au gouvernement</t>
  </si>
  <si>
    <t>Medidas de la proporción del gobierno</t>
  </si>
  <si>
    <t>Unit analysis</t>
  </si>
  <si>
    <t>Analyse des unités</t>
  </si>
  <si>
    <t>Análisis unitario</t>
  </si>
  <si>
    <t>Effective royalty rate (calculated)</t>
  </si>
  <si>
    <t>Taux de redevance effectif (calculé)</t>
  </si>
  <si>
    <t>Tasa de regalía efectiva (calculada)</t>
  </si>
  <si>
    <t>Investors (IOC + Lender)</t>
  </si>
  <si>
    <t>Investisseurs (SPI + prêteur)</t>
  </si>
  <si>
    <t>Inversionistas (EPI + Prestamista)</t>
  </si>
  <si>
    <t>Average effective tax rate (excl. participation)</t>
  </si>
  <si>
    <t>Taux moyen effectif d'imposition (sans participation)</t>
  </si>
  <si>
    <t>Tasa impositiva efectiva promedio (excluida participación)</t>
  </si>
  <si>
    <t>Average effective tax rate (incl. participation)</t>
  </si>
  <si>
    <t>Taux moyen effectif d'imposition (avec participation)</t>
  </si>
  <si>
    <t>Tasa impositiva efectiva promedio (incluida participación)</t>
  </si>
  <si>
    <t>This project example sheet name</t>
  </si>
  <si>
    <t>Nom de la feuille de cet exemple de projet</t>
  </si>
  <si>
    <t>Nombre de la hoja de ejemplo de este proyecto</t>
  </si>
  <si>
    <t>Oil production RATE</t>
  </si>
  <si>
    <t>DEBIT de production du pétrole</t>
  </si>
  <si>
    <t>TASA de producción de petróleo</t>
  </si>
  <si>
    <t>Transport costs post-fiscal point</t>
  </si>
  <si>
    <t>Coûts de transport après le point fiscal</t>
  </si>
  <si>
    <t>Punto posfiscal de los costos de transporte</t>
  </si>
  <si>
    <t>Exploration costs</t>
  </si>
  <si>
    <t>Coûts d’exploration</t>
  </si>
  <si>
    <t>Costos de prospección</t>
  </si>
  <si>
    <t>Development costs</t>
  </si>
  <si>
    <t>Coûts de développement</t>
  </si>
  <si>
    <t>Costos de desarrollo</t>
  </si>
  <si>
    <t>Replacement capital costs</t>
  </si>
  <si>
    <t>Coûts des investissements de remplacement</t>
  </si>
  <si>
    <t>Costos de capital de reemplazo</t>
  </si>
  <si>
    <t>Operating costs</t>
  </si>
  <si>
    <t>Coûts d’exploitation</t>
  </si>
  <si>
    <t>Costos de operación</t>
  </si>
  <si>
    <t>Decommissioning costs</t>
  </si>
  <si>
    <t>Coûts d'abandon</t>
  </si>
  <si>
    <t>Costos de desmantelamiento</t>
  </si>
  <si>
    <t>Total costs</t>
  </si>
  <si>
    <t>Coûts totaux</t>
  </si>
  <si>
    <t>Costos totales</t>
  </si>
  <si>
    <t>Oil production</t>
  </si>
  <si>
    <t>Production pétrolière</t>
  </si>
  <si>
    <t>Producción de petróleo</t>
  </si>
  <si>
    <t>Annual decline after plateau</t>
  </si>
  <si>
    <t>Déclin annuel après plateau</t>
  </si>
  <si>
    <t>Disminución anual después de estancamiento</t>
  </si>
  <si>
    <t>Fixed opex</t>
  </si>
  <si>
    <t>Dépenses d’exploitation fixes</t>
  </si>
  <si>
    <t>Costos fijos de operación</t>
  </si>
  <si>
    <t>Variable opex</t>
  </si>
  <si>
    <t>Dépenses d’exploitation variables</t>
  </si>
  <si>
    <t>Costos variables de operación</t>
  </si>
  <si>
    <t>First row of project data</t>
  </si>
  <si>
    <t>Première ligne des données du projet</t>
  </si>
  <si>
    <t>Primera columna de datos del proyecto</t>
  </si>
  <si>
    <t>Oil production Volume</t>
  </si>
  <si>
    <t>Volume de production pétrolière</t>
  </si>
  <si>
    <t>Volumen de producción de petróleo</t>
  </si>
  <si>
    <t>Production inputs</t>
  </si>
  <si>
    <t>Intrants de production</t>
  </si>
  <si>
    <t>Insumos de producción</t>
  </si>
  <si>
    <t>Cost inputs</t>
  </si>
  <si>
    <t>Intrants de coûts</t>
  </si>
  <si>
    <t>Insumos de costos</t>
  </si>
  <si>
    <t>Project data</t>
  </si>
  <si>
    <t>Données du projet</t>
  </si>
  <si>
    <t>Datos del proyecto</t>
  </si>
  <si>
    <t>Unit costs</t>
  </si>
  <si>
    <t>Coûts unitaires</t>
  </si>
  <si>
    <t>Costos unitarios</t>
  </si>
  <si>
    <t>Charts</t>
  </si>
  <si>
    <t>Graphes</t>
  </si>
  <si>
    <t>Gráficos</t>
  </si>
  <si>
    <t>VAT</t>
  </si>
  <si>
    <t>TVA</t>
  </si>
  <si>
    <t>IVA</t>
  </si>
  <si>
    <t>TJP</t>
  </si>
  <si>
    <t>TPD</t>
  </si>
  <si>
    <t>IRRN</t>
  </si>
  <si>
    <t>CIT</t>
  </si>
  <si>
    <t>IBS</t>
  </si>
  <si>
    <t>IRE</t>
  </si>
  <si>
    <t>CPP</t>
  </si>
  <si>
    <t>CPC</t>
  </si>
  <si>
    <t>GHG</t>
  </si>
  <si>
    <t>GES</t>
  </si>
  <si>
    <t>GEI</t>
  </si>
  <si>
    <t>Greenhouse gas</t>
  </si>
  <si>
    <t>Gaz à effet de serre</t>
  </si>
  <si>
    <t>Gases de efecto invernadero</t>
  </si>
  <si>
    <t>International oil company</t>
  </si>
  <si>
    <t>Société pétrolière internationale</t>
  </si>
  <si>
    <t>Empresa petrolera internacional</t>
  </si>
  <si>
    <t>Exploration</t>
  </si>
  <si>
    <t>Prospección</t>
  </si>
  <si>
    <t>Producción</t>
  </si>
  <si>
    <t>Pourcentage</t>
  </si>
  <si>
    <t>Porcentaje</t>
  </si>
  <si>
    <t>TargetYear</t>
  </si>
  <si>
    <t>Année cible</t>
  </si>
  <si>
    <t>Año objetivo</t>
  </si>
  <si>
    <t>depreciated</t>
  </si>
  <si>
    <t>amorti</t>
  </si>
  <si>
    <t>depreciado</t>
  </si>
  <si>
    <t>comptabilisé en charges</t>
  </si>
  <si>
    <t>asentado como gasto</t>
  </si>
  <si>
    <t>Spend</t>
  </si>
  <si>
    <t>Dépenser</t>
  </si>
  <si>
    <t>gastar</t>
  </si>
  <si>
    <t>option applicable</t>
  </si>
  <si>
    <t>opción aplicable</t>
  </si>
  <si>
    <t>oui</t>
  </si>
  <si>
    <t>sí</t>
  </si>
  <si>
    <t>non</t>
  </si>
  <si>
    <t>Label for unit cost</t>
  </si>
  <si>
    <t>Étiquette du coût unitaire</t>
  </si>
  <si>
    <t>Etiqueta de costo unitario</t>
  </si>
  <si>
    <t>Project selection and sensitivities</t>
  </si>
  <si>
    <t>Choix  du projet et sensibilités</t>
  </si>
  <si>
    <t>Selección del proyecto y sensibilidades</t>
  </si>
  <si>
    <t>Economic assumptions</t>
  </si>
  <si>
    <t>Hypothèses économiques</t>
  </si>
  <si>
    <t>Supuestos económicos</t>
  </si>
  <si>
    <t>Evaluation parameters</t>
  </si>
  <si>
    <t>Paramètres d’évaluation</t>
  </si>
  <si>
    <t>Parámetros de evaluación</t>
  </si>
  <si>
    <t>Model name and version</t>
  </si>
  <si>
    <t>Nom et version du modèle</t>
  </si>
  <si>
    <t>Nombre y versión del modelo</t>
  </si>
  <si>
    <t>Technical parameters</t>
  </si>
  <si>
    <t>Paramètres techniques</t>
  </si>
  <si>
    <t>Parámetros técnicos</t>
  </si>
  <si>
    <t>Global labels</t>
  </si>
  <si>
    <t>Étiquettes universelles</t>
  </si>
  <si>
    <t>Etiquetas globales</t>
  </si>
  <si>
    <t xml:space="preserve">Check: </t>
  </si>
  <si>
    <t xml:space="preserve">Vérification : </t>
  </si>
  <si>
    <t xml:space="preserve">Verificación: </t>
  </si>
  <si>
    <t>Project revenues and costs</t>
  </si>
  <si>
    <t>Revenus et coûts du projet</t>
  </si>
  <si>
    <t>Ingresos y costos del proyecto</t>
  </si>
  <si>
    <t>Track changes</t>
  </si>
  <si>
    <t>Suivi des changements</t>
  </si>
  <si>
    <t>Seguimiento de cambios</t>
  </si>
  <si>
    <t>ratio</t>
  </si>
  <si>
    <t>coeficiente</t>
  </si>
  <si>
    <t>Columns</t>
  </si>
  <si>
    <t>Colonnes</t>
  </si>
  <si>
    <t>Columnas</t>
  </si>
  <si>
    <t>Project data location</t>
  </si>
  <si>
    <t>Emplacement des données du projet</t>
  </si>
  <si>
    <t>Ubicación de datos del proyecto</t>
  </si>
  <si>
    <t>Dashboard parameters and results</t>
  </si>
  <si>
    <t>Paramètres et résultats du tableau de bord</t>
  </si>
  <si>
    <t>Panel de información de parámetros y resultados</t>
  </si>
  <si>
    <t>Primary fiscal regime results</t>
  </si>
  <si>
    <t xml:space="preserve">Résultats du régime fiscal principal </t>
  </si>
  <si>
    <t>Resultados principales del régimen fiscal</t>
  </si>
  <si>
    <t>Model info</t>
  </si>
  <si>
    <t>Information sur le modèle</t>
  </si>
  <si>
    <t>Información del modelo</t>
  </si>
  <si>
    <t>Comments and version changes</t>
  </si>
  <si>
    <t>Commentaires et changements de version</t>
  </si>
  <si>
    <t>Comentarios y cambios de versión</t>
  </si>
  <si>
    <t>Dashboard parameters</t>
  </si>
  <si>
    <t>Paramètres du tableau de bord</t>
  </si>
  <si>
    <t>Panel de información de parámetros</t>
  </si>
  <si>
    <t>Compare live results to</t>
  </si>
  <si>
    <t>Comparer les résultats réels à</t>
  </si>
  <si>
    <t>Comparar resultados reales con</t>
  </si>
  <si>
    <t>Référence</t>
  </si>
  <si>
    <t>Referencia</t>
  </si>
  <si>
    <t>prior period</t>
  </si>
  <si>
    <t>Période antérieure</t>
  </si>
  <si>
    <t>período anterior</t>
  </si>
  <si>
    <t>Flag for depreciation</t>
  </si>
  <si>
    <t>Repère pour l’amortissement</t>
  </si>
  <si>
    <t>Marca de depreciación</t>
  </si>
  <si>
    <t>in first tax year</t>
  </si>
  <si>
    <t>pendant la première année d'imposition</t>
  </si>
  <si>
    <t>en el primer año fiscal</t>
  </si>
  <si>
    <t>Discount factor</t>
  </si>
  <si>
    <t>Facteur d’actualisation</t>
  </si>
  <si>
    <t>Factor de descuento</t>
  </si>
  <si>
    <t>before decommisioning</t>
  </si>
  <si>
    <t>avant l'abandon</t>
  </si>
  <si>
    <t>antes del desmantelamiento</t>
  </si>
  <si>
    <t>Production rate versus unit operating costs</t>
  </si>
  <si>
    <t>Taux de production vs. coût d’exploitation unitaire</t>
  </si>
  <si>
    <t>Tasa de producción frente a costos de operación unitarios</t>
  </si>
  <si>
    <t>Name</t>
  </si>
  <si>
    <t>Nom</t>
  </si>
  <si>
    <t>Nombre</t>
  </si>
  <si>
    <t>ligne</t>
  </si>
  <si>
    <t>fila</t>
  </si>
  <si>
    <t>Project list</t>
  </si>
  <si>
    <t>Liste des projets</t>
  </si>
  <si>
    <t>Lista de proyectos</t>
  </si>
  <si>
    <t>Sensitivity parameters</t>
  </si>
  <si>
    <t>Paramètres de sensibilité</t>
  </si>
  <si>
    <t>Parámetros de sensibilidad</t>
  </si>
  <si>
    <t>Days</t>
  </si>
  <si>
    <t>Jours</t>
  </si>
  <si>
    <t>Días</t>
  </si>
  <si>
    <t>Tolerance</t>
  </si>
  <si>
    <t>Tolérance</t>
  </si>
  <si>
    <t>Tolerancia</t>
  </si>
  <si>
    <t>Option selected</t>
  </si>
  <si>
    <t>option choisie</t>
  </si>
  <si>
    <t>Opción seleccionada</t>
  </si>
  <si>
    <t>Date</t>
  </si>
  <si>
    <t>Fecha</t>
  </si>
  <si>
    <t>g CO2 eq/MJ</t>
  </si>
  <si>
    <t>G éq. CO2/MJ</t>
  </si>
  <si>
    <t>g CO2(e)/MJ</t>
  </si>
  <si>
    <t>t CO2/barrel</t>
  </si>
  <si>
    <t>t CO2/baril</t>
  </si>
  <si>
    <t>t CO2/barril</t>
  </si>
  <si>
    <t>MJ/BoE</t>
  </si>
  <si>
    <t>MJ/BEP</t>
  </si>
  <si>
    <t>For chart</t>
  </si>
  <si>
    <t>Pour le graphique</t>
  </si>
  <si>
    <t>Para el gráfico</t>
  </si>
  <si>
    <t>Unit opex</t>
  </si>
  <si>
    <t>Dépense d’exploitation unitaire</t>
  </si>
  <si>
    <t>Costos de operación unitarios</t>
  </si>
  <si>
    <t>Conditional formatting for entire row to identify duplicates</t>
  </si>
  <si>
    <t>Formatage conditionnel de toute la ligne pour détecter des doublons</t>
  </si>
  <si>
    <t>Formato condicional de toda la fila para identificar duplicados</t>
  </si>
  <si>
    <t>Model description</t>
  </si>
  <si>
    <t>Description du modèle</t>
  </si>
  <si>
    <t>Descripción del modelo</t>
  </si>
  <si>
    <t>Describe changes</t>
  </si>
  <si>
    <t>Décrit les changements</t>
  </si>
  <si>
    <t>Describir modificaciones</t>
  </si>
  <si>
    <t>Time</t>
  </si>
  <si>
    <t>Temps</t>
  </si>
  <si>
    <t>Tiempo</t>
  </si>
  <si>
    <t>File</t>
  </si>
  <si>
    <t>Fichier</t>
  </si>
  <si>
    <t>Archivo</t>
  </si>
  <si>
    <t>Top of track results</t>
  </si>
  <si>
    <t>Début de liste des résultats du suivi</t>
  </si>
  <si>
    <t>Inicio de resultados del seguimiento</t>
  </si>
  <si>
    <t>Bottom of track results</t>
  </si>
  <si>
    <t>Fin de liste du suivi des résultats</t>
  </si>
  <si>
    <t>Final de resultados del seguimiento</t>
  </si>
  <si>
    <t>Do not change start-row of this block, unless all project examples changed accordingly</t>
  </si>
  <si>
    <t>Ne pas changer la ligne du début de ce bloc, à moins que tous les exemples du projet aient changé</t>
  </si>
  <si>
    <t>No modificar la columna inicial de este bloque, a menos que se modifiquen todos los ejemplos de proyectos según corresponda</t>
  </si>
  <si>
    <t>start of list</t>
  </si>
  <si>
    <t>début de la liste</t>
  </si>
  <si>
    <t>inicio de la lista</t>
  </si>
  <si>
    <t>end of list</t>
  </si>
  <si>
    <t>fin de la liste</t>
  </si>
  <si>
    <t>final de la lista</t>
  </si>
  <si>
    <t>Mn t CO2 eq</t>
  </si>
  <si>
    <t>éq. CO2 en Mn t</t>
  </si>
  <si>
    <t>Do not change row of this block</t>
  </si>
  <si>
    <t>Ne pas changer la ligne de ce bloc</t>
  </si>
  <si>
    <t>No modificar la fila de este bloque</t>
  </si>
  <si>
    <t>Project examples</t>
  </si>
  <si>
    <t>Exemples de projet</t>
  </si>
  <si>
    <t>Ejemplos de proyectos</t>
  </si>
  <si>
    <t>IMF Fiscal Affairs Department, Tax Policy Division</t>
  </si>
  <si>
    <t>Département des finances publiques du FMI, division politique fiscale</t>
  </si>
  <si>
    <t>Departamento de Asuntos Fiscales del FMI, División de Política Tributaria</t>
  </si>
  <si>
    <t>© IMF Fiscal Affairs Department. All rights reserved</t>
  </si>
  <si>
    <t>© Département des finances publiques du FMI Tous droits réservés</t>
  </si>
  <si>
    <t>© Departamento de Asuntos Fiscales del FMI. Todos los derechos reservados</t>
  </si>
  <si>
    <t>USER GUIDE</t>
  </si>
  <si>
    <t>GUIDE UTILISATEUR</t>
  </si>
  <si>
    <t>GUÍA DE USUARIO</t>
  </si>
  <si>
    <t>This model is accompanied by an IMF Technical Note and Manual, which should also be read before using the model.</t>
  </si>
  <si>
    <t>Ce modèle s’accompagne d’une note technique et d’un manuel du FMI qu’il convient de lire avant utilisation.</t>
  </si>
  <si>
    <t>Este modelo va acompañado de una Nota Técnica y un Manual del FMI, que también deben leerse antes de utilizar este modelo.</t>
  </si>
  <si>
    <t>Sheets</t>
  </si>
  <si>
    <t>Feuilles</t>
  </si>
  <si>
    <t>Hojas</t>
  </si>
  <si>
    <t>top row</t>
  </si>
  <si>
    <t>première ligne</t>
  </si>
  <si>
    <t>fila superior</t>
  </si>
  <si>
    <t>bottow row</t>
  </si>
  <si>
    <t>dernière ligne</t>
  </si>
  <si>
    <t>fila inferior</t>
  </si>
  <si>
    <t xml:space="preserve">To: </t>
  </si>
  <si>
    <t xml:space="preserve">A: </t>
  </si>
  <si>
    <t xml:space="preserve">Para: </t>
  </si>
  <si>
    <t>Go to sheet:</t>
  </si>
  <si>
    <t>Aller à la feuille :</t>
  </si>
  <si>
    <t>Ir a la hoja:</t>
  </si>
  <si>
    <t>Difference between first two regimes</t>
  </si>
  <si>
    <t>Différence entre les deux premiers régimes</t>
  </si>
  <si>
    <t>Diferencia entre los dos primeros regímenes</t>
  </si>
  <si>
    <t>Difference cumulative</t>
  </si>
  <si>
    <t>Différence cumulée</t>
  </si>
  <si>
    <t>Diferencia acumulada</t>
  </si>
  <si>
    <t>cumulative</t>
  </si>
  <si>
    <t>cumulé</t>
  </si>
  <si>
    <t>acumulada</t>
  </si>
  <si>
    <t>full-cycle</t>
  </si>
  <si>
    <t>cycle complet</t>
  </si>
  <si>
    <t>ciclo completo</t>
  </si>
  <si>
    <t>Cashflows</t>
  </si>
  <si>
    <t>Flux de trésorerie</t>
  </si>
  <si>
    <t>Flujos de caja</t>
  </si>
  <si>
    <t>For information</t>
  </si>
  <si>
    <t>Pour information</t>
  </si>
  <si>
    <t>Para información</t>
  </si>
  <si>
    <t>Select regimes to compare</t>
  </si>
  <si>
    <t>Choisir des régimes pour comparaison</t>
  </si>
  <si>
    <t>Seleccionar regímenes que se comparan</t>
  </si>
  <si>
    <t>FARI TERMS OF USE</t>
  </si>
  <si>
    <t>CONDITIONS D’UTILISATION DU MODÈLE FARI</t>
  </si>
  <si>
    <t>CONDICIONES DE USO DEL FARI</t>
  </si>
  <si>
    <t>Select metric</t>
  </si>
  <si>
    <t>Choisir un indicateur</t>
  </si>
  <si>
    <t>Seleccionar medida</t>
  </si>
  <si>
    <t>Create range of oil prices</t>
  </si>
  <si>
    <t>Créer une fourchette de prix du pétrole</t>
  </si>
  <si>
    <t>Crear rango de precios del petróleo</t>
  </si>
  <si>
    <t>Starting oil price</t>
  </si>
  <si>
    <t>Prix du pétrole au départ</t>
  </si>
  <si>
    <t>Precio del petróleo inicial</t>
  </si>
  <si>
    <t>Increment</t>
  </si>
  <si>
    <t>Augmentation</t>
  </si>
  <si>
    <t>Incremento</t>
  </si>
  <si>
    <t>Data table to perform sensitivity analysis</t>
  </si>
  <si>
    <t>Table de données pour l’analyse de sensibilité</t>
  </si>
  <si>
    <t>Cuadro de datos para realizar análisis de sensibilidad</t>
  </si>
  <si>
    <t>Range of oil prices</t>
  </si>
  <si>
    <t>Fourchette de prix du pétrole</t>
  </si>
  <si>
    <t>Rango de precios del petróleo</t>
  </si>
  <si>
    <t>Data table to generate pre-tax IRR</t>
  </si>
  <si>
    <t>Table de données pour générer le TRI avant impôts</t>
  </si>
  <si>
    <t>Cuadro de datos para generar la TIR antes de impuestos</t>
  </si>
  <si>
    <t>Investor hurdle rate</t>
  </si>
  <si>
    <t>Taux de rentabilité requis par l’investisseur</t>
  </si>
  <si>
    <t>Tasa mínima de rentabilidad del inversionista</t>
  </si>
  <si>
    <t>Regime count</t>
  </si>
  <si>
    <t>Nombre de régimes</t>
  </si>
  <si>
    <t>Recuento de regímenes</t>
  </si>
  <si>
    <t>Regimes (from above)</t>
  </si>
  <si>
    <t>Régimes (indiqués ci-dessus)</t>
  </si>
  <si>
    <t>Regímenes (desde arriba)</t>
  </si>
  <si>
    <t>Breakeven oil price</t>
  </si>
  <si>
    <t>Prix d’équilibre du pétrole</t>
  </si>
  <si>
    <t>Precio del petróleo de equilibrio</t>
  </si>
  <si>
    <t>Difference from hurdle rate (used by macro)</t>
  </si>
  <si>
    <t>Différence par rapport au taux critique de rentabilité (utilisé par macro)</t>
  </si>
  <si>
    <t>Diferencia respecto de la tasa mínima de rentabilidad (utilizada mediante macro)</t>
  </si>
  <si>
    <t>Marginal Effective Tax Rate (METR)</t>
  </si>
  <si>
    <t>Taux effectif marginal d'imposition (TEMI)</t>
  </si>
  <si>
    <t>Tasa impositiva efectiva promedio (METR)</t>
  </si>
  <si>
    <t>Choose alternative discount rates</t>
  </si>
  <si>
    <t>Choisir d’autres taux d’actualisation</t>
  </si>
  <si>
    <t>Elegir tasas de descuento alternativas</t>
  </si>
  <si>
    <t>Named ranges used in macro</t>
  </si>
  <si>
    <t>Plages de noms utilisées dans la macro</t>
  </si>
  <si>
    <t>Rangos designados utilizados en macro</t>
  </si>
  <si>
    <t>Regime</t>
  </si>
  <si>
    <t>Régime</t>
  </si>
  <si>
    <t>Régimen</t>
  </si>
  <si>
    <t>Model structure</t>
  </si>
  <si>
    <t>Structure du modèle</t>
  </si>
  <si>
    <t>Estructura del modelo</t>
  </si>
  <si>
    <t>The model applies user-configured fiscal regimes to user-configured oil project examples. This simplified model is currently configured only to handle oil projects but could readily be refined to include gas. The model structure is set out in the MODELMAP sheet.</t>
  </si>
  <si>
    <t>Le modèle applique des régimes fiscaux configurés par l’utilisateur à des exemples de projets pétroliers configurés par ce dernier. Actuellement ce modèle simplifié n’est configuré que pour les projets pétroliers, mais il pourrait être facilement développé pour inclure les projets gaziers. La structure du modèle est présentée dans la feuille « MODELMAP ».</t>
  </si>
  <si>
    <t>El modelo aplica regímenes fiscales configurados por el usuario a ejemplos de proyectos petroleros configurados por el usuario. Este modelo simplificado actualmente está solo configurado para tratar proyectos petroleros, pero podría ajustarse con facilidad para incluir el gas. La estructura del modelo se establece en la hoja MODELMAP.</t>
  </si>
  <si>
    <t>The model has a number of checks to test its internal consistency. These checks will remain green. If the master check cell is red, there is a problem in the model. Either an error needs to be corrected, or the check itself refined. In either case, red checks must be addressed.</t>
  </si>
  <si>
    <t>Le modèle effectue une série de vérifications pour tester sa cohérence interne. Ces vérifications resteront en vert. Si la cellule principale de vérification est en rouge, il y a un problème dans le modèle. Soit l’erreur doit être corrigée, soit la vérification elle-même doit être améliorée. Dans tous les cas, les vérifications en rouge appellent à effectuer des corrections.</t>
  </si>
  <si>
    <t>El modelo contiene varias verificaciones para comprobar su coherencia interna. Estas verificaciones permanecerán en verde. Si la celda de verificación maestra es roja, existe un problema en el modelo. O bien debe corregirse un error, o la verificación debe ajustarse. En cualquier caso, deben solucionarse las verificaciones en rojo.</t>
  </si>
  <si>
    <t>FAST modeling standard</t>
  </si>
  <si>
    <t>Norme de modélisation FAST</t>
  </si>
  <si>
    <t>Estándar de modelización FAST</t>
  </si>
  <si>
    <t>This model has been structured broadly in line with the FAST modeling standard (www.fast-standard.org/). Color coding: is set out in the KEY sheet cells.  The user should only need to change cells with yellow background. See KEY sheet</t>
  </si>
  <si>
    <t>La structure de ce modèle est globalement conforme à la norme de modélisation FAST (www.fast-standard.org/). Le code des couleurs est indiqué dans des cellules de la feuille « KEY ».  L’utilisateur devrait uniquement modifier les cellules au fond jaune. Voir la feuille KEY</t>
  </si>
  <si>
    <t>Este modelo se ha estructurado de forma amplia, de conformidad con el estándar de modelización FAST (www.fast-standard.org/). Código de colores: se establece en las celdas de la hoja KEY.  El usuario solo debe modificar las celdas con fondo amarillo. Véase la hoja KEY</t>
  </si>
  <si>
    <t>Fiscal regime assumptions</t>
  </si>
  <si>
    <t>Hypothèses liées au régime fiscal</t>
  </si>
  <si>
    <t>Supuestos sobre el régimen fiscal</t>
  </si>
  <si>
    <t>Fiscal regime inputs, including tax parameters and rates, are entered in the yellow cells in INPUTS sheet. Either amend an existing set of parameters or use a blank column to create a new regime. Give the regime a name, as this becomes the label used to select the regime from the DASHBOARD.</t>
  </si>
  <si>
    <t>Les intrants du régime fiscal, notamment les paramètres et les taux d’imposition, sont saisis dans les cellules jaunes de la feuille « FISCALMODEL ». Il faudrait soit modifier un ensemble de paramètres existants soit utiliser une colonne vierge pour créer un nouveau régime. Donner un nom au régime, car il devient l’étiquette utilisée pour choisir le régime à partir du DASHBOARD.</t>
  </si>
  <si>
    <t>Los datos de los regímenes fiscales, incluidos los parámetros y las tasas impositivas, se introducen en las celdas amarillas de la hoja FISCALMODEL. Para crear un régimen nuevo, se debe o modificar un conjunto existente de parámetros o utilizar una columna en blanco. Se debe dar un nombre a cada régimen fiscal, que será la etiqueta utilizada para seleccionar el régimen en el DASHBOARD.</t>
  </si>
  <si>
    <t>Financing and economic assumptions</t>
  </si>
  <si>
    <t>Hypothèses financières et économiques</t>
  </si>
  <si>
    <t>Supuestos económicos y sobre financiamiento</t>
  </si>
  <si>
    <t>Debt financing can have a significant impact on government revenues. Financing inputs are included in each fiscal regime, making it straight-forward to compare the incremental effect of financing by having the duplicate fiscal regimes with and without financing.</t>
  </si>
  <si>
    <t>Le financement par emprunt peut avoir d'importantes répercussions sur les revenus du gouvernement. Les intrants de financement sont inclus dans chaque régime fiscal, ce qui simplifie la comparaison avec l’effet différentiel du financement, puisqu’on peut voir le même régime fiscal avec et sans financement.</t>
  </si>
  <si>
    <t>El financiamiento mediante deuda puede incidir considerablemente en los ingresos fiscales. Los datos iniciales de financiamiento se incluyen en todos los regímenes fiscales, por lo que es sencillo comparar el efecto e aumento del financiamiento al tener los regímenes fiscales duplicados con y sin financiamiento.</t>
  </si>
  <si>
    <t>LIBOR real terms interest rates and inflation rates are entered in the INPUT sheet. Proportion of costs financed, interest rate and repayment period are included in fiscal regime parameters.</t>
  </si>
  <si>
    <t>La valeur réelle des taux d’intérêt du LIBOR et des taux d’inflation est saisie dans la feuille « INPUT ». La proportion des coûts financés, le taux d’intérêt et la période de remboursement sont inclus dans les paramètres du régime fiscal.</t>
  </si>
  <si>
    <t>Las tasas de interés LIBOR en términos reales y las tasas de inflación se introducen en la hoja INPUT. La proporción de costos financiados, la tasa de interés y el período de repago se incluyen en los parámetros del régimen fiscal.</t>
  </si>
  <si>
    <t xml:space="preserve">The model is currently set up assuming joint financing for the International Oil Company (IOC) and State-Owned Contractor (SOC), as if the debt finance was provided in the first instance by the IOC parent company. Results are presented for the IOC and SOC equity, plus the lender, plus the aggregate of the IOC equity plus lender. The latter is the parent company perspective and is used in the model as the primary investor evaluation metric for breakeven price analysis.  </t>
  </si>
  <si>
    <t xml:space="preserve">Actuellement, le modèle est conçu selon une hypothèse d’un financement conjoint pour la société pétrolière internationale (SPI) et la société nationale (SN), comme si le financement par emprunt était fourni dans le premier cas par la société-mère de la SPI. Les résultats sont présentés pour les fonds propres de la SPI et de l’entreprise publique, plus le prêteur, plus l’ensemble des fonds propres de la SPI et du prêteur. Ces deux derniers correspondent au point de vue de la société-mère et ce point de vue est considéré par le modèle pour le calcul du prix d'équilibre de  l’investisseur.  </t>
  </si>
  <si>
    <t xml:space="preserve">El modelo está diseñado actualmente con el supuestoasumiendo el de financiamiento conjunto de la empresa petrolera internacional (EPI) y de la empresa estatal (EE), como si el financiamiento mediante deuda fuera proporcionado en primer lugar por la empresa matriz de la EPI. Los resultados se presentan para el capital de la EPI y de la EE, más el prestamista, más el agregado del capital de la EPI más el prestamista. Estae últimao es la perspectiva de la empresa matriz y se utiliza en el modelo como la principal medida de evaluación del inversionista para el análisis de precio de equilibrio.  </t>
  </si>
  <si>
    <t>Projects are defined in separate project sheets. New projects can be created simply by (1) copying an existing project sheet (2) renaming the sheet tab (3) modifying production and cost profiles; then (4) add the new project sheet tab name to the project list in the INPUT sheet. This last step makes the new project available for selection using the parameter on the DASHBOARD</t>
  </si>
  <si>
    <t>Les données de chaque projets sont dans des feuilles de projets distinctes. Pour créer un nouveau projet il faut simplement : 1) copier une feuille de projet existante ; 2) renommer l’onglet de la feuille ; 3) modifier les profils de production et de coûts ; et 4) ajouter le nom du nouvel onglet de la feuille à la liste de projets dans la feuille « INPUT ». Cette dernière étape rend le nouveau projet disponible pour être sélectionné en utilisant le paramètre du DASHBOARD.</t>
  </si>
  <si>
    <t>Los proyectos se definen en hojas de proyecto separadas. Pueden crearse nuevos proyectos de forma sencilla 1) copiando una hoja de proyecto existente, 2) dando un nuevo nombre a la etiqueta de la hoja, 3) modificando los perfiles de producción y costos; y después, 4) añadiendo el nombre de la etiqueta de la hoja del nuevo proyecto a la lista de proyectos en la hoja INPUT. Este último paso hace que el nuevo proyecto pueda seleccionarse utilizando el parámetro del DASHBOARD</t>
  </si>
  <si>
    <t>In each project example:</t>
  </si>
  <si>
    <t>Dans chaque exemple de projet :</t>
  </si>
  <si>
    <t>En el ejemplo de cada proyecto:</t>
  </si>
  <si>
    <t>1.    Annual costs are entered in constant terms of the model start year.</t>
  </si>
  <si>
    <t>1.    Les coûts annuels sont saisis en valeur constante de l’année à partir de l'année de début du modèle.</t>
  </si>
  <si>
    <t>1.    Los costos anuales se introducen en términos constantes del año de inicio del modelo.</t>
  </si>
  <si>
    <t>2.    Oil production is entered as a daily rate of production.</t>
  </si>
  <si>
    <t>2.    La production pétrolière est saisie en tant que production journalière.</t>
  </si>
  <si>
    <t>2.    La producción de petróleo se introduce como tasa de producción diaria.</t>
  </si>
  <si>
    <t>3.    Costs are broken down into Exploration; Development; Sustaining capital; Operating costs and Decommissioning, to enable different fiscal treatment for each. For example, in the petroleum model, exploration costs are expensed for income tax while development costs are depreciated.</t>
  </si>
  <si>
    <t>3.    Les coûts sont ventilés par catégorie (exploration, développement, immobilisations de maintien, coûts d’exploitation et abandon) afin de rendre possible un traitement fiscal différencié. Par exemple, dans le modèle pétrole, les coûts d’exploitation sont immédiatement déduits pour le calcul de l'impôt sur le bénéfice, tandis que les coûts de développement sont amortis.</t>
  </si>
  <si>
    <t>3.    Los costos se desglosan en prospección; desarrollo; capital de mantenimiento; costos de operación y desmantelamiento, para diferenciar el tratamiento tributario de cada uno. Por ejemplo, en el modelo del petróleo, los costos de prospección se asientan como gasto en el impuesto sobre la renta, mientras que los costos de desarrollo se deprecian.</t>
  </si>
  <si>
    <t>Workings/calculations</t>
  </si>
  <si>
    <t>Fonctionnement/calculs</t>
  </si>
  <si>
    <t>Tareas/cálculos</t>
  </si>
  <si>
    <t>The logic flow in the model is as set out in the MODELMAP:</t>
  </si>
  <si>
    <t>Le flux logique du modèle se présente comme dans la feuille « MODELMAP » :</t>
  </si>
  <si>
    <t>El flujo lógico del modelo se establece en la hoja MODELMAP:</t>
  </si>
  <si>
    <t>1.    Select project example</t>
  </si>
  <si>
    <t>1.    Choisir un exemple de projet</t>
  </si>
  <si>
    <t>1.    Seleccionar ejemplo de proyecto</t>
  </si>
  <si>
    <t>2.    Select applicable fiscal regime</t>
  </si>
  <si>
    <t>2.    Choisir le régime fiscal correspondant</t>
  </si>
  <si>
    <t>2.    Seleccionar régimen fiscal aplicable</t>
  </si>
  <si>
    <t>3.    Set oil price</t>
  </si>
  <si>
    <t>3.    Fixer le prix du pétrole</t>
  </si>
  <si>
    <t>3.    Fijar precio del petróleo</t>
  </si>
  <si>
    <t>4.    The PROJECTCASHFLOWS sheet imports project data from the selected project example sheet</t>
  </si>
  <si>
    <t>4.    La feuille « PROJECTCASHFLOWS » importe les données du projet de la feuille d’exemple de projet choisie</t>
  </si>
  <si>
    <t>4.    La hoja PROJECTCASHFLOWS importa datos del proyecto desde la hoja de ejemplo del proyecto seleccionado</t>
  </si>
  <si>
    <t>5.    Most calculations are done in the FISCALMODEL sheet</t>
  </si>
  <si>
    <t>5.    La plupart des calculs se font dans la feuille « FISCALMODEL »</t>
  </si>
  <si>
    <t>5.    La mayor parte de los cálculos se realiza en la hoja FISCALMODEL</t>
  </si>
  <si>
    <t>a.    Import project data</t>
  </si>
  <si>
    <t>a. Importer les données du projet</t>
  </si>
  <si>
    <t>a.    Importar datos del proyecto</t>
  </si>
  <si>
    <t>b.    Build real terms project cashflows (before fiscal regime)</t>
  </si>
  <si>
    <t>b. Établir les flux de trésorerie du projet en valeur réelle (avant le régime fiscal)</t>
  </si>
  <si>
    <t>b.    Elaborar flujos de caja del proyecto en términos reales (antes del régimen fiscal)</t>
  </si>
  <si>
    <t>c.     Add inflation to revenues and costs (Annual Inflation is entered in INPUTS)</t>
  </si>
  <si>
    <t>c.     Ajouter l’inflation aux recettes et aux coûts (l’inflation annuelle est saisie dans INPUTS)</t>
  </si>
  <si>
    <t>c.     Agregar la inflación a los ingresos y los costos (la inflación anual se introduce en INPUTS)</t>
  </si>
  <si>
    <t>d.    Decommissioning fund calculations. Assuming an annual annuity cash contribution to a fund which earns interest</t>
  </si>
  <si>
    <t>d.    Calculs relatifs au fonds d'abandon. En supposant le versement d’un montant annuel en espèces dans un fonds générateur intérêts</t>
  </si>
  <si>
    <t>d.    Cálculos del fondo para desmantelamiento. Suponer una contribución anual de renta en efectivo a un fondo que genere intereses</t>
  </si>
  <si>
    <t>e.    Royalty: simple ad-valorem royalty</t>
  </si>
  <si>
    <t>e.    Redevance : redevance simple ad valorem</t>
  </si>
  <si>
    <t>e.    Regalía: regalía ad valorem simple</t>
  </si>
  <si>
    <t>f.      Bonus: production bonus</t>
  </si>
  <si>
    <t>f.      Bonus : bonus de production</t>
  </si>
  <si>
    <t>f.      Bono: bono por producción</t>
  </si>
  <si>
    <t>g.    Debt financing, jointly taken out by IOC and SOC as described above</t>
  </si>
  <si>
    <t>g.    Financement par emprunt conjointement engagé par la SPI et la SN, comme décrit ci-dessus</t>
  </si>
  <si>
    <t>g.    Financiamiento mediante deuda, suscrita conjuntamente por la EPI y la EE, como se describe anteriormente</t>
  </si>
  <si>
    <t>h.    Production Sharing cost recovery</t>
  </si>
  <si>
    <t>h.    Récupération des coûts liée au partage de la production</t>
  </si>
  <si>
    <t>h.    Recuperación de costos de la repartición de la producción</t>
  </si>
  <si>
    <t>i.      Production sharing profit sharing under Daily Rate of Production (DROP) method</t>
  </si>
  <si>
    <t>I.       Partage du profit oil selon un taux journalier de production (TJP)</t>
  </si>
  <si>
    <t>i.      Participación en los beneficios de la repartición de la producción con el método Tasa de producción diaria (TPD)</t>
  </si>
  <si>
    <t>j.      Production sharing under R-Factor method</t>
  </si>
  <si>
    <t>j.      Partage du profit oil selon un rapport R</t>
  </si>
  <si>
    <t>j.      Reparto de la producción según el método Factor R.</t>
  </si>
  <si>
    <t>k.     Profit oil sharing using method determined for the selected fiscal regime</t>
  </si>
  <si>
    <t>k.     Partage du profit oil selon la méthode déterminée pour le régime fiscal choisi</t>
  </si>
  <si>
    <t>k.     Proporción del profit oil utilizando el método determinado para el régimen fiscal seleccionado</t>
  </si>
  <si>
    <t>l.     IOC income tax depreciation</t>
  </si>
  <si>
    <t>l.     Amortissement de l’impôt sur le revenu pour la SPI</t>
  </si>
  <si>
    <t>l.     Depreciación para el impuesto sobre la renta de la EPI</t>
  </si>
  <si>
    <t>m.   IOC income tax calculation</t>
  </si>
  <si>
    <t>m.   Calcul de l’impôt sur le revenu pour la SPI</t>
  </si>
  <si>
    <t>m.   Cálculo del impuesto sobre la renta de la EPI</t>
  </si>
  <si>
    <t>n.    IOC Resource Rent Tax</t>
  </si>
  <si>
    <t>n.    Impôt sur la rente des ressources naturelles pour la SPI</t>
  </si>
  <si>
    <t>n.   Impuesto a la renta de recursos naturales de la EPI</t>
  </si>
  <si>
    <t>o.    IOC cashflows and dividends</t>
  </si>
  <si>
    <t>o.    Flux de trésorerie et dividendes de la SPI</t>
  </si>
  <si>
    <t>o.    Flujos de caja y dividendos de la EPI</t>
  </si>
  <si>
    <t>p.    SOC cashflows. Note it is assumed the SOC is not subject to income tax and that 100 percent of SOC are included in government revenues. In practice this may not be the case.</t>
  </si>
  <si>
    <t>p.    Flux de trésorerie de la SN. Note : On suppose que la SN n’est pas assujettie à l’impôt sur les bénéfices et que 100% des impôts sur les bénéfice de la SN sont inclus dans les revenus du gouvernement. Dans la pratique, cela pourrait ne pas être le cas.</t>
  </si>
  <si>
    <t>p.    Flujos de caja de la EE. Se supone que la EE no está sujeta al impuesto sobre la renta y que el 100% de la EE se incluye en ingresos fiscales. En la práctica, este podría no ser el caso.</t>
  </si>
  <si>
    <t>q.    Government revenues summarized</t>
  </si>
  <si>
    <t>q.    Récapitulatif des revenus du gouvernement</t>
  </si>
  <si>
    <t>q.    Resumen de ingresos fiscales</t>
  </si>
  <si>
    <t>r.     Overall reconciliation: Project cashflow = sum of (IOC + SOC + Government + Lender)</t>
  </si>
  <si>
    <t>r.     Rapprochement global : Flux de trésorerie du projet = somme de (SPI + SN + État + prêteur)</t>
  </si>
  <si>
    <t>r.     Conciliación global: Flujo de caja del proyecto = suma de (EPI + EE + Gobierno + prestamista)</t>
  </si>
  <si>
    <t xml:space="preserve">6.    The ANALYSIS sheet compiles results from the model and derives outcomes for each participant on a (1) Full-cycle basis (from the start of exploration) and (2) from the Final Investment Decision (in practice when development costs are first incurred). Comprehensive IRR and NPNV calculations are undertaken for each project participant from both perspectives.  </t>
  </si>
  <si>
    <t xml:space="preserve">6.    La feuille « ANALYSIS » réunit les résultats du modèle et génère des indicateurs pour chaque participant de la manière suivante : 1) cycle complet (depuis le début de l’exploration) et 2) à partir de la décision finale d’investissement (dans la pratique, lorsque les coûts de développement sont engagés pour la première fois). Des calculs complets du TRI et de la VAN sont effectués pour chaque participant au projet sous ces deux angles.  </t>
  </si>
  <si>
    <t xml:space="preserve">6.    La hoja ANALYSIS recopila los resultados del modelo y deriva resultados por cada participante en 1) todo el ciclo completo (desde el inicio de la prospección) y 2) desde la Decisión Final de Inversión (en la práctica, cuando se incurre por primera vez en costos de desarrollo). Se realizan cálculos completos de la TIR y del VPN para cada participante del proyecto desde ambas perspectivas.  </t>
  </si>
  <si>
    <t xml:space="preserve">The DASHBOARD is where the user will spend most time driving the model. </t>
  </si>
  <si>
    <t xml:space="preserve">DASHBOARD est la feuille où l’utilisateur passera le plus de temps à manipuler le modèle. </t>
  </si>
  <si>
    <t xml:space="preserve">El DASHBOARD es donde el usuario pasará la mayor parte del tiempo para dirigir el modelo. </t>
  </si>
  <si>
    <t xml:space="preserve">1.    Select fiscal regime: drop-down list on top left </t>
  </si>
  <si>
    <t xml:space="preserve">1.    Choisir le régime fiscal : liste déroulante, coin supérieur gauche </t>
  </si>
  <si>
    <t xml:space="preserve">1.    Seleccionar régimen fiscal: lista desplegable de la parte superior izquierda </t>
  </si>
  <si>
    <t>a.    Fiscal regime parameters are entered in INPUTS</t>
  </si>
  <si>
    <t>a.    Les paramètres du régime fiscal sont saisis dans INPUTS</t>
  </si>
  <si>
    <t>a.    Los parámetros del régimen fiscal se introducen en INPUTS</t>
  </si>
  <si>
    <t>2.    Select project: drop-down list on top left</t>
  </si>
  <si>
    <t>2.    Choisir le projet : liste déroulante, coin supérieur gauche</t>
  </si>
  <si>
    <t>2.    Seleccionar proyecto: lista desplegable de la parte superior izquierda</t>
  </si>
  <si>
    <t>a.    Project data is entered in individual project example sheets</t>
  </si>
  <si>
    <t>a.    Les données des projets sont saisies dans la feuille de chaque exemple de projet</t>
  </si>
  <si>
    <t>a.    Los datos del proyecto se introducen en hojas individuales de ejemplo del proyecto</t>
  </si>
  <si>
    <t>3.    Change oil price: entered top left</t>
  </si>
  <si>
    <t>3.    Modifier le prix du pétrole : coin supérieur gauche</t>
  </si>
  <si>
    <t>3.    Modificar el precio del petróleo: se introducen en la parte superior izquierda</t>
  </si>
  <si>
    <t>Dashboard results</t>
  </si>
  <si>
    <t>Résultats du tableau de bord</t>
  </si>
  <si>
    <t>Resultados en el panel de información</t>
  </si>
  <si>
    <t>1.    Participant cashflows (Table top-centre)</t>
  </si>
  <si>
    <t>1.    Flux de trésorerie des participants (tableau en haut au centre)</t>
  </si>
  <si>
    <t>1.    Flujos de caja de los participantes (cuadro superior central)</t>
  </si>
  <si>
    <t>a.    IRR; undiscounted and NPV cashflows for (1) Project; (2) IOC; (3) Lender; IOC + Lender (parent company perspective assuming parent provides the debt financing; (4) Government excluding state participation; (5) SOC (pre-tax net cashflows)</t>
  </si>
  <si>
    <t>a.    TRI ; Flux de trésorerie non actualisé et VAN pour : 1) le projet ; 2) la SPI ; 3) le prêteur ; SPI + prêteur (point de vue de la société-mère en supposant que celle-ci fournit le financement par emprunt ; 4) État à l’exclusion de la participation de l’État ; 5) SN (flux de trésorerie nets avant impôt)</t>
  </si>
  <si>
    <t>a.    TIR; flujos de caja VPN y no descontados de 1) proyecto; (2) EPI; (3) prestamista; EPI + prestamista (perspectiva de la empresa matriz asumiendo que esta facilita el financiamiento mediante deuda); (4) Gobierno, excluida participación del Estado; (5) EE (flujos de caja netos antes de impuestos)</t>
  </si>
  <si>
    <t>b.     Average Effective Tax Rates and Government Share of Project Benefits (see technical note and manual)</t>
  </si>
  <si>
    <t>B.      Taux moyen effectif d'imposition et part des bénéfices du projet revenant à l’État (voir la note technique et le manuel)</t>
  </si>
  <si>
    <t>b.     Tasas medias efectivas del impuesto y proporción del gobierno de los beneficios del proyecto (véase nota técnica y manual)</t>
  </si>
  <si>
    <t xml:space="preserve">2.    Project cashflows (Table top-right). Breakdown of revenues and costs on undiscounted real dollars and US$ / Bbl. </t>
  </si>
  <si>
    <t xml:space="preserve">2.    Flux de trésorerie du projet (coin supérieur droit du tableau). Ventilation des recettes et des coûts en dollars réels non actualisés et en US$/baril </t>
  </si>
  <si>
    <t xml:space="preserve">2.    Flujos de caja del proyecto (cuadro superior derecha). Desglose de ingresos y costos en dólares reales no descontados y US$ / bl. </t>
  </si>
  <si>
    <t>3.    Government revenues. Table Centre-right. Summary of government revenues by category.</t>
  </si>
  <si>
    <t>3.    Revenus du gouvernement. Centre droit du projet. Récapitulatif des revenus du gouvernement par catégorie.</t>
  </si>
  <si>
    <t>3.    Ingresos fiscales. Cuadro central derecho. Resumen de ingresos fiscales por categoría.</t>
  </si>
  <si>
    <t>4.    Project statistics: (Table and chart Lower-Left)</t>
  </si>
  <si>
    <t>4.    Statistiques du projet : (coin inférieur gauche du tableau et du graphique)</t>
  </si>
  <si>
    <t>4.    Estadísticas del proyecto: (Cuadro y gráfico inferior izquierdos)</t>
  </si>
  <si>
    <t>5.    Production profile and unit operating costs (Chart lower-right)</t>
  </si>
  <si>
    <t>5.    Profil de production et coûts d’exploitation unitaires (coin inférieur droit du graphique)</t>
  </si>
  <si>
    <t>5.    Perfil de producción y costos unitarios de operación (gráfico inferior derecho)</t>
  </si>
  <si>
    <t>6.    Government revenue profile: Chart in centre. Annual revenues by category, plus pie chart showing breakdown over project life.</t>
  </si>
  <si>
    <t>6.    Profil des revenus du gouvernement : Graphique au centre. Revenus annuels par catégorie, plus diagramme à secteurs montrant la ventilation tout au long de la durée du projet.</t>
  </si>
  <si>
    <t>6.    Perfil de ingresos fiscales: Gráfico en el centro. Ingresos anuales por categoría, más gráfico circular que muestra el desglose a lo largo de la vida del proyecto.</t>
  </si>
  <si>
    <t>1.    Compares key results for regimes selected by user. User chooses regimes to compare from drop-down lists in yellow cells at the top of the table. Then press F9 to update.</t>
  </si>
  <si>
    <t>1.    Compare les principaux résultats pour les régimes choisis par utilisateur. L’utilisateur choisit les régimes à comparer sur les listes déroulantes dans les cellules jaunes en haut du tableau. Puis appuyer sur F9 pour mettre à jour.</t>
  </si>
  <si>
    <t>1.    Compara los principales resultados de los regímenes seleccionados por el usuario. El usuario elige los regímenes a comparar de las listas desplegables en las celdas amarillas en la parte superior de la tabla. Después, presionar F9 para actualizar.</t>
  </si>
  <si>
    <t>2.    If cells are left blank results are zero or #NA, enabling only two regimes to be compared side by side</t>
  </si>
  <si>
    <t>2.    Si les cellules restent vides, le résultat est zéro ou sans objet (NA), ce qui permet de comparer seulement deux régimes côte à côte.</t>
  </si>
  <si>
    <t>2.    Si las celdas se dejan vacías, los resultados son cero o #NA, lo que permite comparar solo dos regímenes al mismo tiempo.</t>
  </si>
  <si>
    <t>3.    Press F9 to ensure table updates</t>
  </si>
  <si>
    <t>3.    Appuyer sur F9 pour mettre à jour les tables de sensibilité.</t>
  </si>
  <si>
    <t>3.    Presionar F9 para que se actualicen los cuadros.</t>
  </si>
  <si>
    <t>1.    Compares annual revenue profile for regimes selected by user. Select regimes using drop-down list at left of the table</t>
  </si>
  <si>
    <t>1.    Compare le profil annuel des revenus pour les régimes choisis par l’utilisateur. Choisir les régimes en utilisant la liste déroulante qui se trouve à gauche du tableau</t>
  </si>
  <si>
    <t>1.    Compara los perfiles de ingresos anuales de los regímenes seleccionados por el usuario. Seleccionar regímenes utilizando la lista desplegable en la parte izquierda de la tabla</t>
  </si>
  <si>
    <t>2.    Press F9 to ensure table updates</t>
  </si>
  <si>
    <t>2.    Appuyer sur F9 pour mettre le tableau à jour.</t>
  </si>
  <si>
    <t>2.    Presionar F9 para que se actualicen los cuadros.</t>
  </si>
  <si>
    <t>1.    Compares profit oil shares for selected regimes. This is useful for understanding differences in results between regimes using different profit sharing mechanisms or parameters.</t>
  </si>
  <si>
    <t>1.    Compare la part du profit oil selon les régimes choisis. Ceci est utile pour comprendre les différences de résultats entre les régimes en utilisant différents mécanismes ou paramètres de partage du profit oil.</t>
  </si>
  <si>
    <t>1.    Compara las proporciones del profit oil de los regímenes seleccionados. Esto resulta útil para entender las diferencias en los resultados entre regímenes que utilizan distintos parámetros o mecanismos de participación en los beneficios.</t>
  </si>
  <si>
    <t>1.    Sensitivity analysis showing results for user-selected metric across a user-defined range of oil prices</t>
  </si>
  <si>
    <t>1.    Analyse de sensibilité montrant les résultats des indicateurs choisis par l’utilisateur selon une fourchette de prix de pétrole définie par l’utilisateur.</t>
  </si>
  <si>
    <t>1.    Análisis de sensibilidad que muestra los resultados por medida seleccionada por el usuario en un rango de precios del petróleo definido por el usuario.</t>
  </si>
  <si>
    <t>2.    Select metric from drop-down list. Either AETR or Share of Project Benefits, undiscounted or NPV.</t>
  </si>
  <si>
    <t>2.    Choisir un indicateur dans la liste déroulante. TMEI ou part des bénéfices du projet, non actualisée ou en VAN.</t>
  </si>
  <si>
    <t>2.    Seleccionar medida de la lista desplegable. Ya sea TMEI o porcentaje de los beneficios del proyecto, no descontado o VPN.</t>
  </si>
  <si>
    <t>3.    Enter start oil price and increment to create range for analysis.</t>
  </si>
  <si>
    <t>3.    Saisir le prix du pétrole au départ et l'incrément pour créer la plage d’analyse.</t>
  </si>
  <si>
    <t>3.    Introducir el precio del petróleo inicial e incrementar para crear el rango de análisis.</t>
  </si>
  <si>
    <t>4.    Press F9 to ensure table updates</t>
  </si>
  <si>
    <t>4.    Appuyer sur F9 pour mettre le tableau à jour.</t>
  </si>
  <si>
    <t>4.    Presionar F9 para que se actualicen los cuadros.</t>
  </si>
  <si>
    <t>1.    Determines the oil price necessary under each regime to achieve a user-specified after-tax IRR</t>
  </si>
  <si>
    <t>1.    Détermine le prix du pétrole dans chaque régime qui permet d'obtenir le TRI après impôt spécifié par l’ulisateur</t>
  </si>
  <si>
    <t>1.    Determina el precio del petróleo necesario en cada régimen para logar la TIR después de impuestos especificada por el usuario.</t>
  </si>
  <si>
    <t>2.    Pressing the button marked “breakeven” initiates a macro that determines the breakeven price for each selected regime using Excel’s GOAL-SEEK mechanism.</t>
  </si>
  <si>
    <t>2.    En appuyant sur le bouton portant la mention « breakeven », l’utilisateur déclenche une macro qui détermine le prix d’équilibre selon chaque régime choisi, en utilisant le mécanisme « VALEUR-CIBLE » d’Excel.</t>
  </si>
  <si>
    <t>2.    Al presionar el botón «de equilibrio» (breakeven) se inicia una macro que determina el precio de equilibrio para cada régimen seleccionado mediante el mecanismo BUSCAR OBJETIVO de Excel.</t>
  </si>
  <si>
    <t xml:space="preserve">3.    METR is the proportion of pre-tax IRR taken by the fiscal regime, at the breakeven point, as described in the FAD Technical Note </t>
  </si>
  <si>
    <t xml:space="preserve">3.    Le taux d’imposition effectif marginal est la proportion du TRI avant impôt prise par le régime fiscal, au prix d’équilibre, comme décrit dans la note technique du département des finances publiques. </t>
  </si>
  <si>
    <t xml:space="preserve">3.    METR es la proporción de la TIR antes de impuestos que toma el régimen fiscal, en el punto de equilibrio, tal como se describe en la Nota Técnica del Departamento de Asuntos Fiscales. </t>
  </si>
  <si>
    <t xml:space="preserve">1.    Sharing of project post-tax net present value and average effective tax rate between government, investors, and SOC at different discount rates. </t>
  </si>
  <si>
    <t xml:space="preserve">1.    Partage de la valeur actualisée nette du projet après impôt et taux moyen effectif d'imposition entre l’État, les investisseurs et la SN selon différents taux d’actualisation. </t>
  </si>
  <si>
    <t xml:space="preserve">1.    Reparto del valor presente neto del proyecto después de impuestos y de la tasa impositiva efectiva promedio entre el gobierno, los inversionistas y la EE con tasas de descuento distintas. </t>
  </si>
  <si>
    <t>1.    Enter minimum exploration spend and chance of success</t>
  </si>
  <si>
    <t>1.    Saisir les dépenses minimum d’exploration et la probalilité de succès</t>
  </si>
  <si>
    <t>1.    Introducir el gasto de prospección mínimo y las probabilidades de éxito.</t>
  </si>
  <si>
    <t>2.    EMV calculated based on NPV of success case, chance of success and minimum exploration cost</t>
  </si>
  <si>
    <t>2.    VME calculée sur la base de la VAN en cas de succès, des chances de succès et du coût minimum d’exploration.</t>
  </si>
  <si>
    <t>2.    VME calculado sobre la base del VPN del caso de éxito, las probabilidades de éxito y el costo mínimo de prospección.</t>
  </si>
  <si>
    <t xml:space="preserve">The Fiscal Analysis of Resource Industries (FARI or the “Methodology”) is made available to User by the International Monetary Fund (IMF) and subject to the following terms and conditions of use (“Terms”).  By proceeding to use of the Methodology, User agrees and accepts the Terms. </t>
  </si>
  <si>
    <t xml:space="preserve">L’analyse fiscale des industries extractives (FARI ou la « méthodologie ») est mise à la disposition de l’utilisateur par le Fonds monétaire international (FMI) et fait l’objet des modalités et conditions d’utilisation (« conditions ») suivantes.  En continuant à utiliser la méthodologie, l’utilisateur accepte les conditions. </t>
  </si>
  <si>
    <t xml:space="preserve">El Fondo Monetario Internacional (FMI) pone el Análisis fiscal de las industrias de extracción de recursos (FARI, o la «Metodología») a disposición del Usuario conforme a las siguientes condiciones de uso («Condiciones»).  Al proceder a utilizar la Metodología, el Usuario asume y acepta las Condiciones. </t>
  </si>
  <si>
    <t>TERMS</t>
  </si>
  <si>
    <t>CONDITIONS</t>
  </si>
  <si>
    <t>CONDICIONES</t>
  </si>
  <si>
    <t>1. The Methodology is intended as a tool to perform economic and fiscal analysis of extractive industries projects and to support general capacity building for government officials and civil society. User may adapt, modify or alter the Methodology to the extent necessary to fit the purpose of User’s internal use, provided that such adaptations, modifications or alterations shall not affect the integrity of the Methodology.</t>
  </si>
  <si>
    <t>1. La méthodologie permet de procéder à une analyse économique et fiscale des projets dans les industries extractives et contribue à un renforcement général des capacités des fonctionnaires et de la société civile. L’utilisateur peut adapter ou modifier la méthodologie dans la mesure où cela sera nécessaire pour répondre à ses besoins internes, à condition que ces adaptations et modifications n'altèrent pas la qualité de la méthodologie.</t>
  </si>
  <si>
    <t>1. La Metodología está concebida como una herramienta para llevar a cabo análisis económico y fiscal de proyectos de las industrias extractivas y para respaldar el fortalecimiento de las capacidades de los funcionarios públicos y de la sociedad civil. El Usuario puede adaptar, modificar o alterar la Metodología en la medida que sea necesario para adaptarla al objetivo del uso interno del Usuario, siempre que tales adaptaciones, modificaciones o alteraciones no afecten la integridad de la Metodología.</t>
  </si>
  <si>
    <t>2. The Methodology has not been configured as a formal forecasting tool and is not designed or intended for such use. The Methodology is made available “as is” and the IMF makes no warranty or representation of the accuracy, adequacy or fitness for a particular purpose of the Methodology.</t>
  </si>
  <si>
    <t>2. La méthodologie n’a pas été configurée comme un outil de prévision formel et n’est pas conçue pour un tel usage. La méthodologie est mise à la disposition des autorités en l’état, et le FMI ne garantit en aucune façon son exactitude, son adéquation ou son aptitude à un usage particulier.</t>
  </si>
  <si>
    <t>2. La Metodología no está configurada como herramienta formal de pronóstico ni diseñada o concebida para tal uso. La Metodología se pone a disposición «tal cual» y el FMI no ofrece ninguna garantía o declaración con respecto a la precisión o idoneidad para un objetivo específico de la Metodología.</t>
  </si>
  <si>
    <t xml:space="preserve">3. All proprietary rights in the Methodology, including intellectual property rights, belong to the IMF. All other rights, whether now existing or which may hereafter come into existence which are not expressly authorized by these Terms, are hereby reserved to and by the IMF. </t>
  </si>
  <si>
    <t xml:space="preserve">3. Tous les droits de propriété de la méthodologie, y compris les droits de propriété intellectuelle, appartiennent au FMI. Tous les autres droits, qui existent aujourd’hui ou qui pourraient exister ultérieurement et ne sont pas expressément accordés par les présentes conditions, sont réservés au FMI et par ce dernier. </t>
  </si>
  <si>
    <t xml:space="preserve">3. Todos los derechos de propiedad de la Metodología, incluidos los derechos de propiedad intelectual, pertenecen al FMI. Todos los demás derechos, ya existentes o que puedan existir con posterioridad y que no estén autorizados expresamente en las presentes Condiciones, quedan reservados para y por el FMI. </t>
  </si>
  <si>
    <t>4. User shall give appropriate credit to the IMF in all applications and outputs derived from the use of the Methodology, in a way which does not suggest that the IMF endorses User or any User's use of the Methodology and the outputs deriving thereof.</t>
  </si>
  <si>
    <t>4. L’utilisateur attribuera au FMI le mérite qui lui revient dans toutes les applications et les résultats tirés de l’utilisation de la méthodologie, sans impliquer que le FMI donne son aval à l’utilisateur ou à tout usage de la méthodologie par l’utilisateur et à ses résultats.</t>
  </si>
  <si>
    <t>4. El Usuario dará el crédito adecuado al FMI en todas las aplicaciones y productos derivados del uso de la Metodología, de forma que no sugiera que el FMI respalda al usuario o el uso que el usuario haga de la Metodología y los productos derivados de la misma.</t>
  </si>
  <si>
    <t>5. Access to and use of the Methodology are at the User's own risk and responsibility. The IMF bears no responsibility or liability for damage of any kind, also for indirect or consequential damages resulting from access to or use of this Methodology.</t>
  </si>
  <si>
    <t>5. L’utilisateur accède à la méthodologie et l’utilise sous sa responsabilité exclusive et à ses propres risques. Le FMI décline toute responsabilité pour les dommages de toute nature et pour les dommages directs ou indirects résultant de l’accès à la méthodologie ou de son utilisation.</t>
  </si>
  <si>
    <t>5. El acceso a la Metodología y su uso serán por cuenta y riesgo del Usuario. El FMI no asume ninguna obligación o responsabilidad por daños de ningún tipo, tampoco por daños directos o indirectos que resulten del acceso a la presente Metodología y su uso.</t>
  </si>
  <si>
    <t>Accept terms of use to continue.</t>
  </si>
  <si>
    <t>Acceptez les conditions d’utilisation pour continuer.</t>
  </si>
  <si>
    <t>Acepte las condiciones de uso para continuar.</t>
  </si>
  <si>
    <t>Purpose of this sheet is to save a set of baseline results so that the model can be confirmed to be / brought back to baseline, or changes in results over time can be documented.
Process for creating a new saved case:</t>
  </si>
  <si>
    <t>Cette feuille a pour but de sauvegarder un ensemble de résultats de référence afin que le modèle puisse être confirmé comme conforme ou ramené à la référence, ou bien pour suivre les résultats obtenus.
Processus de création d’un nouveau cas sauvegardé :</t>
  </si>
  <si>
    <t>El objetivo de esta hoja es guardar un conjunto de resultados de referencia de forma que el modelo pueda confirmarse como referencia o restablecerse como tal, o para poder documentar los cambios en los resultados a lo largo del tiempo.
Proceso para crear un nuevo caso guardado:</t>
  </si>
  <si>
    <t>1. Select column M</t>
  </si>
  <si>
    <t>1. Sélectionner la colonne M</t>
  </si>
  <si>
    <t>1. Seleccionar columna M</t>
  </si>
  <si>
    <t>2. Copy column M and immediately Right click insert copied cells. This duplicates the existing saved results set</t>
  </si>
  <si>
    <t>2. Copier la colonne M et faire immédiatement un clic droit, puis insérer les cellules copiées. Cela duplique l’ensemble des résultats sauvegardés précédemment.</t>
  </si>
  <si>
    <t>2. Copiar columna M y hacer inmediatamente clic en el botón derecho para insertar las celdas copiadas. Esto duplica el conjunto guardado de resultados existentes</t>
  </si>
  <si>
    <t>3. Now copy the live results from column F between Row 5 and 109 (i.e. each gray row)</t>
  </si>
  <si>
    <t>3. À présent, copier les résultats affichés de la colonne F entre la ligne 5 et la ligne 109 (c’est-à-dire chaque ligne grise)</t>
  </si>
  <si>
    <t>3. A continuación copiar los resultados reales desde la columna F entre las filas 5 y 109 (es decir, todas las columnas grises)</t>
  </si>
  <si>
    <t>4. Paste as values over the newly created duplicate saved results</t>
  </si>
  <si>
    <t>4. Coller comme valeurs sur les résultats nouvellement créées et sauvegardés</t>
  </si>
  <si>
    <t>4. Copiar como valores sobre los resultados guardados duplicados que se acaban de crear</t>
  </si>
  <si>
    <t>5. Rename the new saved results case in row 4</t>
  </si>
  <si>
    <t>5. Renommer les nouveaux résultats sauvegardés dans la ligne 4</t>
  </si>
  <si>
    <t>5. Asignar un nuevo nombre al nuevo caso de resultados guardado en la fila 4</t>
  </si>
  <si>
    <t>6. Track sheet will show differences between live results and saved case selected at E2</t>
  </si>
  <si>
    <t>6. La feuille de suivi montrera les différences entre les résultats réels et le cas sauvegardé choisi dans E2</t>
  </si>
  <si>
    <t>6. La hoja de control cambios mostrará las diferencias entre los resultados reales y el caso guardado seleccionado en E2</t>
  </si>
  <si>
    <t>7. Additional results and/or parameters can be added to results set. For example, fiscal parameters for baseline mission country regime could be captured to ensure no inadvertent changes</t>
  </si>
  <si>
    <t>7. D’autres résultats ou paramètres peuvent être ajoutés à l’ensemble de résultats. Par exemple, les paramètres fiscaux du régime de référence du pays de la mission pourraient être saisis pour éviter des changements par inadvertance.</t>
  </si>
  <si>
    <t>7. Pueden añadirse otros resultados o parámetros al conjunto de resultados. Por ejemplo, pueden captarse los parámetros fiscales del régimen del país objete de la misión del escenario base para que no se produzcan modificaciones inadvertidas</t>
  </si>
  <si>
    <t>Accept Terms</t>
  </si>
  <si>
    <t>J'accepte les conditions</t>
  </si>
  <si>
    <t>Acepto las condiciones</t>
  </si>
  <si>
    <t>Don't Accept Terms</t>
  </si>
  <si>
    <t>Je n'accepte pas les conditions</t>
  </si>
  <si>
    <t>No acepto las condiciones</t>
  </si>
  <si>
    <t>All checks related to the translation of options need to be green before using the model. After changing the language of the model, all drop-down options need to be re-selected for the model to function properly. Please click on each check to verify that the correct options are selected. All checks should be green.</t>
  </si>
  <si>
    <t>Toutes les vérifications liées à la traduction des options doivent être en vert avant d'utiliser le modèle. Après avoir changé la langue du modèle, toutes les options déroulantes doivent être resélectionnées pour que le modèle fonctionne correctement. Veuillez cliquer sur chaque vérification pour vérifier que les options correctes sont sélectionnées. Toutes les vérifications doivent être en vert.</t>
  </si>
  <si>
    <t>Todas las verificaciones relacionadas con la traducción de opciones deben ser de color verde antes de usar el modelo. Después de cambiar el idioma del modelo, es necesario volver a seleccionar todas las opciones desplegables para que el modelo funcione correctamente. Haga clic en cada una de las verificaciones para verificar que se hayan seleccionado las opciones correctas. Todas las verificaciones deben ser de color verde.</t>
  </si>
  <si>
    <t>Change model language</t>
  </si>
  <si>
    <t>Changer la langue du modèle.</t>
  </si>
  <si>
    <t>Cambiar el idioma del modelo.</t>
  </si>
  <si>
    <t>Select language on DASHBOARD</t>
  </si>
  <si>
    <t>Choisir la langue à partir du DASHBOARD.</t>
  </si>
  <si>
    <t>Seleccionar el idioma en el DASHBOARD.</t>
  </si>
  <si>
    <t xml:space="preserve">Please verify that the translation checks in column I and between rows </t>
  </si>
  <si>
    <t>Les vérifications lieés à la traduction des options dans la colonne I et entre les lignes</t>
  </si>
  <si>
    <t xml:space="preserve">Las verificaciones relacionadas con la traducción de opciones </t>
  </si>
  <si>
    <t>and</t>
  </si>
  <si>
    <t>et</t>
  </si>
  <si>
    <t>y</t>
  </si>
  <si>
    <t>are green.</t>
  </si>
  <si>
    <t>doivent être vert.</t>
  </si>
  <si>
    <t>deben ser de color verde.</t>
  </si>
  <si>
    <t>Carry is treated as a loan to SOC. Alternative treatment where costs are met by IOC and recovered from SOC revenues is not modelled.</t>
  </si>
  <si>
    <t>Le portage est traité comme un prêt à la SN. Le traitement alternatif où les coûts sont pris en charge par SPI et récupérés à partir des revenus de la SN n'est pas modélisé.</t>
  </si>
  <si>
    <t>Financiamiento de participación pasiva modelado como un préstamo a la EE. No se modela el tratamiento alternativo donde los costos son cubiertos por EPI y recuperados de los ingresos de la 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</si>
</sst>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164" formatCode="_-* #,##0.00_-;\-* #,##0.00_-;_-* &quot;-&quot;??_-;_-@_-"/>
    <numFmt numFmtId="165" formatCode="#,##0_);[Red]\(#,##0\);\-"/>
    <numFmt numFmtId="166" formatCode="#,##0;\-#,##0;\-"/>
    <numFmt numFmtId="167" formatCode="#,###;#,###;\-"/>
    <numFmt numFmtId="168" formatCode="0.0%"/>
    <numFmt numFmtId="169" formatCode="#,##0.0_);[Red]\(#,##0.0\);\-"/>
    <numFmt numFmtId="170" formatCode="#,##0.00;\-#,##0.00;\-"/>
    <numFmt numFmtId="171" formatCode="#,##0.000"/>
    <numFmt numFmtId="172" formatCode="[$-F800]dddd\,\ mmmm\ dd\,\ yyyy"/>
    <numFmt numFmtId="173" formatCode="#,##0_);\(#,##0\);&quot;-  &quot;;&quot; &quot;@&quot; &quot;"/>
    <numFmt numFmtId="174" formatCode="0.00%_);\-0.00%_);&quot;-  &quot;;&quot; &quot;@&quot; &quot;"/>
    <numFmt numFmtId="175" formatCode="#,##0.0000_);\(#,##0.0000\);&quot;-  &quot;;&quot; &quot;@&quot; &quot;"/>
    <numFmt numFmtId="176" formatCode="#,##0.0_);\(#,##0.0\);&quot;-  &quot;;&quot; &quot;@&quot; &quot;"/>
    <numFmt numFmtId="177" formatCode="#,##0_);\(#,##0\);&quot;-  &quot;;&quot; &quot;@"/>
    <numFmt numFmtId="178" formatCode="0.0%_);\-0.0%_);&quot;-  &quot;;&quot; &quot;@&quot; &quot;"/>
    <numFmt numFmtId="179" formatCode="#,##0.00_);\(#,##0.00\);&quot;-  &quot;;&quot; &quot;@&quot; &quot;"/>
    <numFmt numFmtId="180" formatCode="0%_);\-0%_);&quot;-  &quot;;&quot; &quot;@&quot; &quot;"/>
    <numFmt numFmtId="181" formatCode="[$-F400]h:mm:ss\ AM/PM"/>
    <numFmt numFmtId="182" formatCode="###0_);\(###0\);&quot;-  &quot;;&quot; &quot;@&quot; &quot;"/>
    <numFmt numFmtId="183" formatCode="#,##0.000000_);\(#,##0.000000\);&quot;-  &quot;;&quot; &quot;@&quot; &quot;"/>
    <numFmt numFmtId="184" formatCode="0_)%_);\(0\)%_);&quot;-  &quot;;&quot; &quot;@&quot; &quot;"/>
    <numFmt numFmtId="185" formatCode="dd\ mmm\ yyyy_);\(###0\);&quot;-  &quot;;&quot; &quot;@&quot; &quot;"/>
    <numFmt numFmtId="186" formatCode="dd\ mmm\ yy_);\(###0\);&quot;-  &quot;;&quot; &quot;@&quot; &quot;"/>
    <numFmt numFmtId="187" formatCode="###0.0_);\(###0.0\);&quot;-  &quot;;&quot; &quot;@&quot; &quot;"/>
    <numFmt numFmtId="188" formatCode="0.0_)%_);\(0.0\)%_);&quot;-  &quot;;&quot; &quot;@&quot; &quot;"/>
    <numFmt numFmtId="189" formatCode="0.00_)%_);\(0.00\)%_);&quot;-  &quot;;&quot; &quot;@&quot; &quot;"/>
  </numFmts>
  <fonts count="81" x14ac:knownFonts="1">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u/>
      <sz val="9.35"/>
      <color theme="10"/>
      <name val="Calibri"/>
      <family val="2"/>
    </font>
    <font>
      <b/>
      <sz val="11"/>
      <color theme="1"/>
      <name val="Calibri"/>
      <family val="2"/>
      <scheme val="minor"/>
    </font>
    <font>
      <sz val="11"/>
      <color rgb="FFFF0000"/>
      <name val="Calibri"/>
      <family val="2"/>
      <scheme val="minor"/>
    </font>
    <font>
      <b/>
      <sz val="11"/>
      <color theme="0"/>
      <name val="Calibri"/>
      <family val="2"/>
      <scheme val="minor"/>
    </font>
    <font>
      <sz val="11"/>
      <color theme="0"/>
      <name val="Calibri"/>
      <family val="2"/>
      <scheme val="minor"/>
    </font>
    <font>
      <b/>
      <sz val="11"/>
      <name val="Calibri"/>
      <family val="2"/>
    </font>
    <font>
      <sz val="11"/>
      <color theme="1"/>
      <name val="Calibri"/>
      <family val="2"/>
    </font>
    <font>
      <b/>
      <u/>
      <sz val="11"/>
      <name val="Calibri"/>
      <family val="2"/>
      <scheme val="minor"/>
    </font>
    <font>
      <sz val="11"/>
      <name val="Calibri"/>
      <family val="2"/>
      <scheme val="minor"/>
    </font>
    <font>
      <b/>
      <u/>
      <sz val="11"/>
      <color theme="1"/>
      <name val="Calibri"/>
      <family val="2"/>
      <scheme val="minor"/>
    </font>
    <font>
      <sz val="11"/>
      <name val="Calibri"/>
      <family val="2"/>
    </font>
    <font>
      <u/>
      <sz val="11"/>
      <color theme="1"/>
      <name val="Calibri"/>
      <family val="2"/>
    </font>
    <font>
      <b/>
      <sz val="11"/>
      <color theme="1"/>
      <name val="Calibri"/>
      <family val="2"/>
    </font>
    <font>
      <sz val="11"/>
      <color theme="0"/>
      <name val="Calibri"/>
      <family val="2"/>
    </font>
    <font>
      <b/>
      <sz val="11"/>
      <color theme="0"/>
      <name val="Calibri"/>
      <family val="2"/>
    </font>
    <font>
      <u/>
      <sz val="11"/>
      <color theme="10"/>
      <name val="Calibri"/>
      <family val="2"/>
    </font>
    <font>
      <b/>
      <u/>
      <sz val="11"/>
      <color theme="0"/>
      <name val="Calibri"/>
      <family val="2"/>
    </font>
    <font>
      <b/>
      <sz val="11"/>
      <name val="Calibri"/>
      <family val="2"/>
      <scheme val="minor"/>
    </font>
    <font>
      <sz val="11"/>
      <color indexed="12"/>
      <name val="Calibri"/>
      <family val="2"/>
      <scheme val="minor"/>
    </font>
    <font>
      <sz val="11"/>
      <color indexed="10"/>
      <name val="Calibri"/>
      <family val="2"/>
      <scheme val="minor"/>
    </font>
    <font>
      <sz val="11"/>
      <color rgb="FF0000FF"/>
      <name val="Calibri"/>
      <family val="2"/>
    </font>
    <font>
      <u/>
      <sz val="11"/>
      <color theme="0"/>
      <name val="Calibri"/>
      <family val="2"/>
    </font>
    <font>
      <sz val="11"/>
      <color theme="0" tint="-0.34998626667073579"/>
      <name val="Calibri"/>
      <family val="2"/>
    </font>
    <font>
      <sz val="11"/>
      <color rgb="FFFF0000"/>
      <name val="Calibri"/>
      <family val="2"/>
    </font>
    <font>
      <sz val="11"/>
      <color theme="0" tint="-0.34998626667073579"/>
      <name val="Calibri"/>
      <family val="2"/>
      <scheme val="minor"/>
    </font>
    <font>
      <u/>
      <sz val="11"/>
      <name val="Calibri"/>
      <family val="2"/>
    </font>
    <font>
      <sz val="11"/>
      <color theme="4"/>
      <name val="Calibri"/>
      <family val="2"/>
    </font>
    <font>
      <b/>
      <sz val="11"/>
      <color rgb="FFFF0000"/>
      <name val="Calibri"/>
      <family val="2"/>
    </font>
    <font>
      <sz val="11"/>
      <color rgb="FF000099"/>
      <name val="Calibri"/>
      <family val="2"/>
    </font>
    <font>
      <sz val="11"/>
      <color theme="0" tint="-0.499984740745262"/>
      <name val="Calibri"/>
      <family val="2"/>
    </font>
    <font>
      <u/>
      <sz val="11"/>
      <color theme="1"/>
      <name val="Calibri"/>
      <family val="2"/>
      <scheme val="minor"/>
    </font>
    <font>
      <u/>
      <sz val="11"/>
      <color rgb="FFFF0000"/>
      <name val="Calibri"/>
      <family val="2"/>
    </font>
    <font>
      <b/>
      <i/>
      <sz val="11"/>
      <color theme="1"/>
      <name val="Calibri"/>
      <family val="2"/>
    </font>
    <font>
      <b/>
      <u/>
      <sz val="11"/>
      <name val="Calibri"/>
      <family val="2"/>
    </font>
    <font>
      <b/>
      <u/>
      <sz val="11"/>
      <color theme="1"/>
      <name val="Calibri"/>
      <family val="2"/>
    </font>
    <font>
      <u/>
      <sz val="11"/>
      <name val="Calibri"/>
      <family val="2"/>
      <scheme val="minor"/>
    </font>
    <font>
      <b/>
      <sz val="11"/>
      <color rgb="FF0000FF"/>
      <name val="Calibri"/>
      <family val="2"/>
    </font>
    <font>
      <sz val="11"/>
      <color rgb="FF0000FF"/>
      <name val="Calibri"/>
      <family val="2"/>
      <scheme val="minor"/>
    </font>
    <font>
      <sz val="11"/>
      <color rgb="FF000000"/>
      <name val="Calibri"/>
      <family val="2"/>
    </font>
    <font>
      <sz val="8"/>
      <color theme="1"/>
      <name val="Calibri"/>
      <family val="2"/>
    </font>
    <font>
      <u/>
      <sz val="11"/>
      <color rgb="FF0000FF"/>
      <name val="Calibri"/>
      <family val="2"/>
    </font>
    <font>
      <b/>
      <u/>
      <sz val="11"/>
      <color rgb="FF0000FF"/>
      <name val="Calibri"/>
      <family val="2"/>
    </font>
    <font>
      <sz val="10"/>
      <color theme="0"/>
      <name val="Calibri"/>
      <family val="2"/>
    </font>
    <font>
      <b/>
      <sz val="10"/>
      <color theme="0"/>
      <name val="Calibri"/>
      <family val="2"/>
      <scheme val="minor"/>
    </font>
    <font>
      <b/>
      <sz val="10"/>
      <name val="Calibri"/>
      <family val="2"/>
      <scheme val="minor"/>
    </font>
    <font>
      <u/>
      <sz val="10"/>
      <name val="Calibri"/>
      <family val="2"/>
      <scheme val="minor"/>
    </font>
    <font>
      <sz val="10"/>
      <name val="Calibri"/>
      <family val="2"/>
      <scheme val="minor"/>
    </font>
    <font>
      <sz val="10"/>
      <color theme="1"/>
      <name val="Calibri"/>
      <family val="2"/>
      <scheme val="minor"/>
    </font>
    <font>
      <sz val="10"/>
      <color rgb="FF0000FF"/>
      <name val="Calibri"/>
      <family val="2"/>
      <scheme val="minor"/>
    </font>
    <font>
      <sz val="11"/>
      <color rgb="FF00B050"/>
      <name val="Calibri"/>
      <family val="2"/>
    </font>
    <font>
      <sz val="11"/>
      <color rgb="FF00B050"/>
      <name val="Calibri"/>
      <family val="2"/>
      <scheme val="minor"/>
    </font>
    <font>
      <b/>
      <sz val="11"/>
      <color rgb="FF000000"/>
      <name val="Calibri"/>
      <family val="2"/>
    </font>
    <font>
      <u/>
      <sz val="11"/>
      <color rgb="FF000000"/>
      <name val="Calibri"/>
      <family val="2"/>
    </font>
    <font>
      <sz val="10"/>
      <color rgb="FF000000"/>
      <name val="Calibri"/>
      <family val="2"/>
      <scheme val="minor"/>
    </font>
    <font>
      <sz val="11"/>
      <color rgb="FF000000"/>
      <name val="Calibri"/>
      <family val="2"/>
      <scheme val="minor"/>
    </font>
    <font>
      <b/>
      <sz val="11"/>
      <color rgb="FF000000"/>
      <name val="Calibri"/>
      <family val="2"/>
      <scheme val="minor"/>
    </font>
    <font>
      <u/>
      <sz val="11"/>
      <color rgb="FF000000"/>
      <name val="Calibri"/>
      <family val="2"/>
      <scheme val="minor"/>
    </font>
    <font>
      <b/>
      <u/>
      <sz val="10"/>
      <color theme="0"/>
      <name val="Calibri"/>
      <family val="2"/>
      <scheme val="minor"/>
    </font>
    <font>
      <sz val="11"/>
      <color theme="4"/>
      <name val="Calibri"/>
      <family val="2"/>
      <scheme val="minor"/>
    </font>
    <font>
      <sz val="10"/>
      <color theme="1"/>
      <name val="Arial"/>
      <family val="2"/>
    </font>
    <font>
      <b/>
      <sz val="10"/>
      <color theme="1"/>
      <name val="Calibri"/>
      <family val="2"/>
      <scheme val="minor"/>
    </font>
    <font>
      <u/>
      <sz val="10"/>
      <color theme="1"/>
      <name val="Calibri"/>
      <family val="2"/>
      <scheme val="minor"/>
    </font>
    <font>
      <sz val="10"/>
      <name val="Calibri"/>
      <family val="2"/>
    </font>
    <font>
      <b/>
      <u/>
      <sz val="11"/>
      <color theme="0"/>
      <name val="Calibri"/>
      <family val="2"/>
      <scheme val="minor"/>
    </font>
    <font>
      <b/>
      <sz val="11"/>
      <color rgb="FF0000FF"/>
      <name val="Calibri"/>
      <family val="2"/>
      <scheme val="minor"/>
    </font>
    <font>
      <u/>
      <sz val="11"/>
      <color rgb="FF0000FF"/>
      <name val="Calibri"/>
      <family val="2"/>
      <scheme val="minor"/>
    </font>
    <font>
      <sz val="10"/>
      <name val="Arial"/>
      <family val="2"/>
    </font>
    <font>
      <i/>
      <sz val="9"/>
      <name val="Calibri"/>
      <family val="2"/>
    </font>
    <font>
      <b/>
      <sz val="10"/>
      <color theme="1"/>
      <name val="Arial"/>
      <family val="2"/>
    </font>
    <font>
      <i/>
      <sz val="11"/>
      <color theme="1"/>
      <name val="Calibri"/>
      <family val="2"/>
    </font>
    <font>
      <sz val="11"/>
      <color theme="1"/>
      <name val="Arial"/>
      <family val="2"/>
    </font>
    <font>
      <sz val="10"/>
      <color theme="0"/>
      <name val="Arial"/>
      <family val="2"/>
    </font>
    <font>
      <u/>
      <sz val="9.35"/>
      <color rgb="FF0000FF"/>
      <name val="Calibri"/>
      <family val="2"/>
    </font>
    <font>
      <u/>
      <sz val="11"/>
      <color theme="10"/>
      <name val="Calibri"/>
      <family val="2"/>
      <scheme val="minor"/>
    </font>
    <font>
      <sz val="11"/>
      <color theme="3"/>
      <name val="Calibri"/>
      <family val="2"/>
    </font>
    <font>
      <u/>
      <sz val="11"/>
      <color rgb="FF339966"/>
      <name val="Calibri"/>
      <family val="2"/>
    </font>
    <font>
      <sz val="8"/>
      <color rgb="FFFF0000"/>
      <name val="Arial"/>
      <family val="2"/>
    </font>
  </fonts>
  <fills count="27">
    <fill>
      <patternFill patternType="none"/>
    </fill>
    <fill>
      <patternFill patternType="gray125"/>
    </fill>
    <fill>
      <patternFill patternType="solid">
        <fgColor theme="3"/>
        <bgColor indexed="64"/>
      </patternFill>
    </fill>
    <fill>
      <patternFill patternType="solid">
        <fgColor indexed="22"/>
        <bgColor indexed="64"/>
      </patternFill>
    </fill>
    <fill>
      <patternFill patternType="solid">
        <fgColor indexed="10"/>
        <bgColor indexed="64"/>
      </patternFill>
    </fill>
    <fill>
      <patternFill patternType="solid">
        <fgColor rgb="FFFFFF99"/>
        <bgColor indexed="64"/>
      </patternFill>
    </fill>
    <fill>
      <patternFill patternType="solid">
        <fgColor rgb="FF1F497D"/>
        <bgColor indexed="64"/>
      </patternFill>
    </fill>
    <fill>
      <patternFill patternType="solid">
        <fgColor rgb="FFC0C0C0"/>
        <bgColor indexed="64"/>
      </patternFill>
    </fill>
    <fill>
      <patternFill patternType="solid">
        <fgColor indexed="1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FFCC00"/>
        <bgColor indexed="64"/>
      </patternFill>
    </fill>
    <fill>
      <patternFill patternType="solid">
        <fgColor rgb="FFCCFFFF"/>
        <bgColor indexed="64"/>
      </patternFill>
    </fill>
    <fill>
      <patternFill patternType="solid">
        <fgColor rgb="FFA6A6A6"/>
        <bgColor indexed="64"/>
      </patternFill>
    </fill>
    <fill>
      <patternFill patternType="solid">
        <fgColor rgb="FF002060"/>
        <bgColor indexed="64"/>
      </patternFill>
    </fill>
    <fill>
      <patternFill patternType="solid">
        <fgColor rgb="FFD9D9D9"/>
        <bgColor indexed="64"/>
      </patternFill>
    </fill>
    <fill>
      <patternFill patternType="solid">
        <fgColor theme="9" tint="0.59996337778862885"/>
        <bgColor indexed="64"/>
      </patternFill>
    </fill>
    <fill>
      <patternFill patternType="solid">
        <fgColor theme="8" tint="0.79998168889431442"/>
        <bgColor indexed="64"/>
      </patternFill>
    </fill>
    <fill>
      <patternFill patternType="solid">
        <fgColor rgb="FF00B0F0"/>
        <bgColor indexed="64"/>
      </patternFill>
    </fill>
    <fill>
      <patternFill patternType="solid">
        <fgColor theme="8" tint="0.59996337778862885"/>
        <bgColor indexed="64"/>
      </patternFill>
    </fill>
    <fill>
      <patternFill patternType="solid">
        <fgColor theme="0" tint="-0.24994659260841701"/>
        <bgColor indexed="64"/>
      </patternFill>
    </fill>
    <fill>
      <patternFill patternType="solid">
        <fgColor rgb="FFFFC000"/>
        <bgColor indexed="64"/>
      </patternFill>
    </fill>
    <fill>
      <patternFill patternType="solid">
        <fgColor rgb="FFFFFFAF"/>
        <bgColor indexed="64"/>
      </patternFill>
    </fill>
    <fill>
      <patternFill patternType="solid">
        <fgColor rgb="FF2C4D75"/>
        <bgColor indexed="64"/>
      </patternFill>
    </fill>
    <fill>
      <patternFill patternType="solid">
        <fgColor rgb="FFB7DEE8"/>
        <bgColor indexed="64"/>
      </patternFill>
    </fill>
    <fill>
      <patternFill patternType="solid">
        <fgColor rgb="FFDDDDDD"/>
        <bgColor indexed="64"/>
      </patternFill>
    </fill>
    <fill>
      <patternFill patternType="solid">
        <fgColor theme="0"/>
        <bgColor indexed="64"/>
      </patternFill>
    </fill>
  </fills>
  <borders count="17">
    <border>
      <left/>
      <right/>
      <top/>
      <bottom/>
      <diagonal/>
    </border>
    <border>
      <left style="thin">
        <color indexed="64"/>
      </left>
      <right/>
      <top style="thin">
        <color indexed="64"/>
      </top>
      <bottom style="thin">
        <color indexed="64"/>
      </bottom>
      <diagonal/>
    </border>
    <border>
      <left/>
      <right/>
      <top style="medium">
        <color auto="1"/>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theme="0" tint="-0.34998626667073579"/>
      </top>
      <bottom/>
      <diagonal/>
    </border>
    <border>
      <left/>
      <right/>
      <top/>
      <bottom style="thin">
        <color theme="0" tint="-0.34998626667073579"/>
      </bottom>
      <diagonal/>
    </border>
    <border>
      <left/>
      <right/>
      <top style="thin">
        <color rgb="FF808080"/>
      </top>
      <bottom/>
      <diagonal/>
    </border>
    <border>
      <left/>
      <right/>
      <top/>
      <bottom style="thin">
        <color rgb="FF808080"/>
      </bottom>
      <diagonal/>
    </border>
    <border>
      <left/>
      <right/>
      <top/>
      <bottom style="medium">
        <color auto="1"/>
      </bottom>
      <diagonal/>
    </border>
    <border>
      <left/>
      <right/>
      <top style="thin">
        <color rgb="FF808080"/>
      </top>
      <bottom style="thin">
        <color rgb="FF808080"/>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20">
    <xf numFmtId="173" fontId="0" fillId="0" borderId="0" applyFont="0" applyFill="0" applyBorder="0" applyProtection="0">
      <alignment vertical="top"/>
    </xf>
    <xf numFmtId="174" fontId="3" fillId="0" borderId="0" applyFont="0" applyFill="0" applyBorder="0" applyProtection="0">
      <alignment vertical="top"/>
    </xf>
    <xf numFmtId="0" fontId="4" fillId="0" borderId="0" applyNumberFormat="0" applyFill="0" applyBorder="0" applyAlignment="0" applyProtection="0">
      <alignment vertical="top"/>
      <protection locked="0"/>
    </xf>
    <xf numFmtId="0" fontId="1" fillId="0" borderId="0"/>
    <xf numFmtId="175" fontId="63" fillId="0" borderId="0" applyFont="0" applyFill="0" applyBorder="0" applyProtection="0">
      <alignment vertical="top"/>
    </xf>
    <xf numFmtId="185" fontId="63" fillId="0" borderId="0" applyFont="0" applyFill="0" applyBorder="0" applyProtection="0">
      <alignment vertical="top"/>
    </xf>
    <xf numFmtId="186" fontId="63" fillId="0" borderId="0" applyFont="0" applyFill="0" applyBorder="0" applyProtection="0">
      <alignment vertical="top"/>
    </xf>
    <xf numFmtId="182" fontId="63" fillId="0" borderId="0" applyFont="0" applyFill="0" applyBorder="0" applyProtection="0">
      <alignment vertical="top"/>
    </xf>
    <xf numFmtId="174" fontId="1" fillId="0" borderId="0" applyFont="0" applyFill="0" applyBorder="0" applyProtection="0">
      <alignment vertical="top"/>
    </xf>
    <xf numFmtId="173" fontId="1" fillId="0" borderId="0" applyFont="0" applyFill="0" applyBorder="0" applyProtection="0">
      <alignment vertical="top"/>
    </xf>
    <xf numFmtId="185" fontId="1" fillId="0" borderId="0" applyFont="0" applyFill="0" applyBorder="0" applyProtection="0">
      <alignment vertical="top"/>
    </xf>
    <xf numFmtId="186" fontId="70" fillId="0" borderId="0" applyFont="0" applyFill="0" applyBorder="0" applyProtection="0">
      <alignment vertical="top"/>
    </xf>
    <xf numFmtId="164" fontId="1" fillId="0" borderId="0" applyFont="0" applyFill="0" applyBorder="0" applyAlignment="0" applyProtection="0"/>
    <xf numFmtId="174" fontId="1" fillId="0" borderId="0" applyFont="0" applyFill="0" applyBorder="0" applyProtection="0">
      <alignment vertical="top"/>
    </xf>
    <xf numFmtId="189" fontId="1" fillId="0" borderId="0" applyFont="0" applyFill="0" applyBorder="0" applyProtection="0">
      <alignment vertical="top"/>
    </xf>
    <xf numFmtId="173" fontId="1" fillId="0" borderId="0" applyFont="0" applyFill="0" applyBorder="0" applyProtection="0">
      <alignment vertical="top"/>
    </xf>
    <xf numFmtId="185" fontId="1" fillId="0" borderId="0" applyFont="0" applyFill="0" applyBorder="0" applyProtection="0">
      <alignment vertical="top"/>
    </xf>
    <xf numFmtId="164" fontId="1" fillId="0" borderId="0" applyFont="0" applyFill="0" applyBorder="0" applyAlignment="0" applyProtection="0"/>
    <xf numFmtId="174" fontId="1" fillId="0" borderId="0" applyFont="0" applyFill="0" applyBorder="0" applyProtection="0">
      <alignment vertical="top"/>
    </xf>
    <xf numFmtId="182" fontId="12" fillId="0" borderId="0" applyFont="0" applyFill="0" applyBorder="0" applyProtection="0">
      <alignment vertical="top"/>
    </xf>
  </cellStyleXfs>
  <cellXfs count="1095">
    <xf numFmtId="173" fontId="0" fillId="0" borderId="0" xfId="0">
      <alignment vertical="top"/>
    </xf>
    <xf numFmtId="173" fontId="6" fillId="0" borderId="0" xfId="0" applyFont="1">
      <alignment vertical="top"/>
    </xf>
    <xf numFmtId="173" fontId="7" fillId="6" borderId="0" xfId="0" applyFont="1" applyFill="1" applyBorder="1">
      <alignment vertical="top"/>
    </xf>
    <xf numFmtId="173" fontId="10" fillId="0" borderId="0" xfId="0" applyFont="1">
      <alignment vertical="top"/>
    </xf>
    <xf numFmtId="166" fontId="11" fillId="0" borderId="0" xfId="0" applyNumberFormat="1" applyFont="1" applyBorder="1" applyAlignment="1">
      <alignment horizontal="left" vertical="center"/>
    </xf>
    <xf numFmtId="166" fontId="12" fillId="0" borderId="0" xfId="0" applyNumberFormat="1" applyFont="1" applyBorder="1" applyAlignment="1">
      <alignment vertical="center"/>
    </xf>
    <xf numFmtId="166" fontId="13" fillId="0" borderId="0" xfId="0" applyNumberFormat="1" applyFont="1" applyBorder="1" applyAlignment="1">
      <alignment vertical="center"/>
    </xf>
    <xf numFmtId="173" fontId="10" fillId="0" borderId="0" xfId="0" applyFont="1" applyBorder="1">
      <alignment vertical="top"/>
    </xf>
    <xf numFmtId="166" fontId="10" fillId="0" borderId="2" xfId="0" applyNumberFormat="1" applyFont="1" applyBorder="1" applyAlignment="1">
      <alignment vertical="center"/>
    </xf>
    <xf numFmtId="166" fontId="14" fillId="0" borderId="2" xfId="0" applyNumberFormat="1" applyFont="1" applyFill="1" applyBorder="1" applyAlignment="1">
      <alignment horizontal="left" vertical="center"/>
    </xf>
    <xf numFmtId="172" fontId="14" fillId="0" borderId="0" xfId="0" applyNumberFormat="1" applyFont="1" applyFill="1" applyBorder="1" applyAlignment="1">
      <alignment horizontal="left" vertical="center"/>
    </xf>
    <xf numFmtId="166" fontId="14" fillId="0" borderId="0" xfId="0" applyNumberFormat="1" applyFont="1" applyFill="1" applyBorder="1" applyAlignment="1">
      <alignment horizontal="center" vertical="center"/>
    </xf>
    <xf numFmtId="166" fontId="14" fillId="0" borderId="0" xfId="0" applyNumberFormat="1" applyFont="1" applyFill="1" applyBorder="1" applyAlignment="1">
      <alignment vertical="center"/>
    </xf>
    <xf numFmtId="166" fontId="14" fillId="0" borderId="0" xfId="0" applyNumberFormat="1" applyFont="1" applyFill="1" applyBorder="1" applyAlignment="1">
      <alignment horizontal="left" vertical="center"/>
    </xf>
    <xf numFmtId="166" fontId="16" fillId="0" borderId="4" xfId="0" applyNumberFormat="1" applyFont="1" applyBorder="1" applyAlignment="1">
      <alignment vertical="center"/>
    </xf>
    <xf numFmtId="166" fontId="14" fillId="0" borderId="5" xfId="0" applyNumberFormat="1" applyFont="1" applyBorder="1" applyAlignment="1">
      <alignment horizontal="left" vertical="center"/>
    </xf>
    <xf numFmtId="166" fontId="18" fillId="2" borderId="0" xfId="0" applyNumberFormat="1" applyFont="1" applyFill="1" applyBorder="1" applyAlignment="1">
      <alignment vertical="center"/>
    </xf>
    <xf numFmtId="173" fontId="12" fillId="8" borderId="13" xfId="0" applyFont="1" applyFill="1" applyBorder="1" applyAlignment="1">
      <alignment horizontal="center" vertical="center"/>
    </xf>
    <xf numFmtId="173" fontId="7" fillId="6" borderId="0" xfId="0" applyFont="1" applyFill="1" applyBorder="1" applyAlignment="1">
      <alignment horizontal="left" vertical="center"/>
    </xf>
    <xf numFmtId="173" fontId="7" fillId="6" borderId="0" xfId="0" applyFont="1" applyFill="1" applyBorder="1" applyAlignment="1">
      <alignment horizontal="centerContinuous" vertical="top"/>
    </xf>
    <xf numFmtId="173" fontId="21" fillId="0" borderId="0" xfId="0" applyFont="1" applyFill="1" applyBorder="1">
      <alignment vertical="top"/>
    </xf>
    <xf numFmtId="173" fontId="21" fillId="0" borderId="0" xfId="0" applyFont="1">
      <alignment vertical="top"/>
    </xf>
    <xf numFmtId="173" fontId="2" fillId="0" borderId="0" xfId="0" applyFont="1">
      <alignment vertical="top"/>
    </xf>
    <xf numFmtId="173" fontId="21" fillId="0" borderId="0" xfId="0" applyFont="1" applyBorder="1" applyAlignment="1"/>
    <xf numFmtId="173" fontId="12" fillId="0" borderId="0" xfId="0" applyFont="1">
      <alignment vertical="top"/>
    </xf>
    <xf numFmtId="173" fontId="12" fillId="5" borderId="0" xfId="0" applyFont="1" applyFill="1" applyBorder="1" applyAlignment="1">
      <alignment horizontal="left" vertical="top"/>
    </xf>
    <xf numFmtId="173" fontId="12" fillId="0" borderId="0" xfId="0" applyFont="1" applyFill="1" applyBorder="1">
      <alignment vertical="top"/>
    </xf>
    <xf numFmtId="173" fontId="2" fillId="0" borderId="0" xfId="0" applyFont="1" applyFill="1">
      <alignment vertical="top"/>
    </xf>
    <xf numFmtId="173" fontId="12" fillId="13" borderId="0" xfId="0" applyFont="1" applyFill="1" applyBorder="1" applyAlignment="1">
      <alignment horizontal="left" vertical="top"/>
    </xf>
    <xf numFmtId="173" fontId="12" fillId="12" borderId="0" xfId="0" applyFont="1" applyFill="1" applyBorder="1" applyAlignment="1">
      <alignment horizontal="left" vertical="top"/>
    </xf>
    <xf numFmtId="173" fontId="22" fillId="0" borderId="0" xfId="0" applyFont="1" applyBorder="1">
      <alignment vertical="top"/>
    </xf>
    <xf numFmtId="173" fontId="23" fillId="0" borderId="0" xfId="0" applyFont="1" applyBorder="1">
      <alignment vertical="top"/>
    </xf>
    <xf numFmtId="173" fontId="12" fillId="0" borderId="0" xfId="0" applyFont="1" applyBorder="1">
      <alignment vertical="top"/>
    </xf>
    <xf numFmtId="173" fontId="12" fillId="5" borderId="0" xfId="0" applyFont="1" applyFill="1" applyBorder="1">
      <alignment vertical="top"/>
    </xf>
    <xf numFmtId="173" fontId="24" fillId="10" borderId="0" xfId="0" applyFont="1" applyFill="1">
      <alignment vertical="top"/>
    </xf>
    <xf numFmtId="173" fontId="12" fillId="3" borderId="0" xfId="0" applyFont="1" applyFill="1" applyBorder="1">
      <alignment vertical="top"/>
    </xf>
    <xf numFmtId="173" fontId="12" fillId="8" borderId="0" xfId="0" applyFont="1" applyFill="1" applyBorder="1">
      <alignment vertical="top"/>
    </xf>
    <xf numFmtId="173" fontId="12" fillId="4" borderId="0" xfId="0" applyFont="1" applyFill="1" applyBorder="1">
      <alignment vertical="top"/>
    </xf>
    <xf numFmtId="173" fontId="12" fillId="11" borderId="0" xfId="0" applyFont="1" applyFill="1" applyBorder="1">
      <alignment vertical="top"/>
    </xf>
    <xf numFmtId="173" fontId="21" fillId="0" borderId="0" xfId="0" applyFont="1" applyFill="1">
      <alignment vertical="top"/>
    </xf>
    <xf numFmtId="173" fontId="24" fillId="0" borderId="0" xfId="0" applyFont="1">
      <alignment vertical="top"/>
    </xf>
    <xf numFmtId="173" fontId="10" fillId="6" borderId="0" xfId="0" applyFont="1" applyFill="1">
      <alignment vertical="top"/>
    </xf>
    <xf numFmtId="173" fontId="17" fillId="6" borderId="0" xfId="0" applyFont="1" applyFill="1">
      <alignment vertical="top"/>
    </xf>
    <xf numFmtId="173" fontId="17" fillId="6" borderId="0" xfId="0" applyFont="1" applyFill="1" applyAlignment="1">
      <alignment horizontal="right" vertical="top"/>
    </xf>
    <xf numFmtId="173" fontId="10" fillId="0" borderId="0" xfId="0" applyFont="1" applyAlignment="1">
      <alignment horizontal="right" vertical="top"/>
    </xf>
    <xf numFmtId="173" fontId="14" fillId="0" borderId="0" xfId="0" applyFont="1" applyFill="1">
      <alignment vertical="top"/>
    </xf>
    <xf numFmtId="173" fontId="14" fillId="0" borderId="0" xfId="0" applyFont="1" applyFill="1" applyAlignment="1">
      <alignment horizontal="right" vertical="top"/>
    </xf>
    <xf numFmtId="180" fontId="10" fillId="0" borderId="0" xfId="1" applyNumberFormat="1" applyFont="1">
      <alignment vertical="top"/>
    </xf>
    <xf numFmtId="173" fontId="10" fillId="0" borderId="0" xfId="0" applyFont="1" applyFill="1">
      <alignment vertical="top"/>
    </xf>
    <xf numFmtId="176" fontId="10" fillId="0" borderId="0" xfId="0" applyNumberFormat="1" applyFont="1">
      <alignment vertical="top"/>
    </xf>
    <xf numFmtId="173" fontId="15" fillId="0" borderId="0" xfId="0" applyFont="1">
      <alignment vertical="top"/>
    </xf>
    <xf numFmtId="173" fontId="14" fillId="5" borderId="0" xfId="0" applyFont="1" applyFill="1" applyAlignment="1">
      <alignment horizontal="right" vertical="top"/>
    </xf>
    <xf numFmtId="173" fontId="10" fillId="0" borderId="0" xfId="0" applyFont="1" applyFill="1" applyBorder="1" applyAlignment="1">
      <alignment horizontal="left" vertical="center"/>
    </xf>
    <xf numFmtId="171" fontId="14" fillId="5" borderId="0" xfId="0" applyNumberFormat="1" applyFont="1" applyFill="1" applyBorder="1" applyAlignment="1">
      <alignment horizontal="right" vertical="center"/>
    </xf>
    <xf numFmtId="173" fontId="10" fillId="0" borderId="0" xfId="0" applyFont="1" applyBorder="1" applyAlignment="1">
      <alignment vertical="center"/>
    </xf>
    <xf numFmtId="173" fontId="10" fillId="0" borderId="0" xfId="0" applyFont="1" applyFill="1" applyBorder="1">
      <alignment vertical="top"/>
    </xf>
    <xf numFmtId="173" fontId="10" fillId="0" borderId="0" xfId="0" applyFont="1" applyFill="1" applyBorder="1" applyAlignment="1">
      <alignment vertical="center"/>
    </xf>
    <xf numFmtId="180" fontId="10" fillId="0" borderId="0" xfId="1" applyNumberFormat="1" applyFont="1" applyFill="1">
      <alignment vertical="top"/>
    </xf>
    <xf numFmtId="173" fontId="26" fillId="0" borderId="0" xfId="0" applyFont="1">
      <alignment vertical="top"/>
    </xf>
    <xf numFmtId="174" fontId="10" fillId="0" borderId="0" xfId="1" applyFont="1">
      <alignment vertical="top"/>
    </xf>
    <xf numFmtId="180" fontId="10" fillId="9" borderId="0" xfId="1" applyNumberFormat="1" applyFont="1" applyFill="1">
      <alignment vertical="top"/>
    </xf>
    <xf numFmtId="174" fontId="10" fillId="0" borderId="0" xfId="1" applyFont="1" applyFill="1">
      <alignment vertical="top"/>
    </xf>
    <xf numFmtId="173" fontId="14" fillId="5" borderId="0" xfId="0" applyFont="1" applyFill="1">
      <alignment vertical="top"/>
    </xf>
    <xf numFmtId="173" fontId="10" fillId="5" borderId="0" xfId="0" applyFont="1" applyFill="1">
      <alignment vertical="top"/>
    </xf>
    <xf numFmtId="173" fontId="10" fillId="0" borderId="0" xfId="0" applyFont="1" applyFill="1" applyBorder="1" applyAlignment="1">
      <alignment horizontal="right" vertical="top"/>
    </xf>
    <xf numFmtId="180" fontId="10" fillId="0" borderId="0" xfId="1" applyNumberFormat="1" applyFont="1" applyFill="1" applyBorder="1">
      <alignment vertical="top"/>
    </xf>
    <xf numFmtId="0" fontId="18" fillId="2" borderId="0" xfId="0" applyNumberFormat="1" applyFont="1" applyFill="1" applyBorder="1" applyAlignment="1">
      <alignment vertical="center"/>
    </xf>
    <xf numFmtId="173" fontId="12" fillId="7" borderId="0" xfId="0" applyFont="1" applyFill="1">
      <alignment vertical="top"/>
    </xf>
    <xf numFmtId="173" fontId="21" fillId="7" borderId="0" xfId="0" applyFont="1" applyFill="1">
      <alignment vertical="top"/>
    </xf>
    <xf numFmtId="177" fontId="12" fillId="7" borderId="0" xfId="0" applyNumberFormat="1" applyFont="1" applyFill="1" applyAlignment="1">
      <alignment horizontal="right" vertical="top"/>
    </xf>
    <xf numFmtId="173" fontId="14" fillId="0" borderId="0" xfId="0" applyFont="1" applyFill="1" applyBorder="1" applyAlignment="1">
      <alignment vertical="center"/>
    </xf>
    <xf numFmtId="173" fontId="14" fillId="8" borderId="0" xfId="0" applyFont="1" applyFill="1">
      <alignment vertical="top"/>
    </xf>
    <xf numFmtId="173" fontId="12" fillId="8" borderId="0" xfId="0" applyFont="1" applyFill="1" applyAlignment="1">
      <alignment horizontal="right" vertical="top"/>
    </xf>
    <xf numFmtId="173" fontId="14" fillId="0" borderId="0" xfId="0" applyFont="1" applyFill="1" applyBorder="1" applyAlignment="1">
      <alignment horizontal="left" vertical="center"/>
    </xf>
    <xf numFmtId="174" fontId="24" fillId="0" borderId="0" xfId="1" applyFont="1">
      <alignment vertical="top"/>
    </xf>
    <xf numFmtId="176" fontId="24" fillId="0" borderId="0" xfId="0" applyNumberFormat="1" applyFont="1">
      <alignment vertical="top"/>
    </xf>
    <xf numFmtId="178" fontId="10" fillId="0" borderId="0" xfId="1" applyNumberFormat="1" applyFont="1">
      <alignment vertical="top"/>
    </xf>
    <xf numFmtId="173" fontId="27" fillId="0" borderId="0" xfId="0" applyFont="1">
      <alignment vertical="top"/>
    </xf>
    <xf numFmtId="174" fontId="10" fillId="5" borderId="0" xfId="1" applyFont="1" applyFill="1" applyBorder="1">
      <alignment vertical="top"/>
    </xf>
    <xf numFmtId="173" fontId="10" fillId="0" borderId="0" xfId="0" applyFont="1" applyAlignment="1">
      <alignment horizontal="center" vertical="top"/>
    </xf>
    <xf numFmtId="173" fontId="10" fillId="9" borderId="0" xfId="0" applyFont="1" applyFill="1" applyAlignment="1">
      <alignment horizontal="right" vertical="top"/>
    </xf>
    <xf numFmtId="173" fontId="10" fillId="9" borderId="0" xfId="0" applyFont="1" applyFill="1">
      <alignment vertical="top"/>
    </xf>
    <xf numFmtId="178" fontId="10" fillId="9" borderId="0" xfId="1" applyNumberFormat="1" applyFont="1" applyFill="1">
      <alignment vertical="top"/>
    </xf>
    <xf numFmtId="176" fontId="28" fillId="0" borderId="0" xfId="0" applyNumberFormat="1" applyFont="1" applyFill="1">
      <alignment vertical="top"/>
    </xf>
    <xf numFmtId="173" fontId="29" fillId="0" borderId="0" xfId="0" applyFont="1" applyFill="1" applyAlignment="1">
      <alignment vertical="center"/>
    </xf>
    <xf numFmtId="173" fontId="14" fillId="0" borderId="0" xfId="0" applyFont="1" applyFill="1" applyAlignment="1">
      <alignment vertical="center"/>
    </xf>
    <xf numFmtId="173" fontId="30" fillId="0" borderId="0" xfId="0" applyFont="1" applyFill="1" applyAlignment="1">
      <alignment vertical="center"/>
    </xf>
    <xf numFmtId="173" fontId="16" fillId="0" borderId="0" xfId="0" applyFont="1" applyFill="1" applyAlignment="1">
      <alignment vertical="center"/>
    </xf>
    <xf numFmtId="173" fontId="15" fillId="0" borderId="0" xfId="0" applyFont="1" applyFill="1" applyAlignment="1">
      <alignment vertical="center"/>
    </xf>
    <xf numFmtId="173" fontId="10" fillId="0" borderId="0" xfId="0" applyFont="1" applyFill="1" applyAlignment="1">
      <alignment vertical="center"/>
    </xf>
    <xf numFmtId="173" fontId="10" fillId="0" borderId="0" xfId="0" applyFont="1" applyFill="1" applyAlignment="1">
      <alignment horizontal="left" vertical="center"/>
    </xf>
    <xf numFmtId="173" fontId="10" fillId="0" borderId="0" xfId="0" applyFont="1" applyFill="1" applyAlignment="1">
      <alignment horizontal="center" vertical="center"/>
    </xf>
    <xf numFmtId="173" fontId="14" fillId="8" borderId="0" xfId="0" applyFont="1" applyFill="1" applyBorder="1" applyAlignment="1">
      <alignment horizontal="center" vertical="top"/>
    </xf>
    <xf numFmtId="3" fontId="30" fillId="0" borderId="0" xfId="0" applyNumberFormat="1" applyFont="1" applyFill="1" applyBorder="1" applyAlignment="1">
      <alignment horizontal="right" vertical="center"/>
    </xf>
    <xf numFmtId="0" fontId="31" fillId="0" borderId="0" xfId="0" applyNumberFormat="1" applyFont="1" applyFill="1" applyBorder="1" applyAlignment="1">
      <alignment vertical="center"/>
    </xf>
    <xf numFmtId="3" fontId="10" fillId="0" borderId="0" xfId="0" applyNumberFormat="1" applyFont="1" applyFill="1" applyBorder="1" applyAlignment="1">
      <alignment horizontal="right" vertical="center"/>
    </xf>
    <xf numFmtId="0" fontId="10" fillId="0" borderId="0" xfId="0" applyNumberFormat="1" applyFont="1" applyFill="1" applyAlignment="1">
      <alignment vertical="center"/>
    </xf>
    <xf numFmtId="166" fontId="10" fillId="0" borderId="0" xfId="0" applyNumberFormat="1" applyFont="1" applyFill="1" applyAlignment="1">
      <alignment horizontal="center" vertical="center"/>
    </xf>
    <xf numFmtId="166" fontId="10" fillId="0" borderId="0" xfId="0" applyNumberFormat="1" applyFont="1" applyFill="1" applyBorder="1" applyAlignment="1">
      <alignment vertical="center"/>
    </xf>
    <xf numFmtId="173" fontId="18" fillId="6" borderId="0" xfId="0" applyFont="1" applyFill="1" applyAlignment="1">
      <alignment vertical="center"/>
    </xf>
    <xf numFmtId="173" fontId="25" fillId="6" borderId="0" xfId="0" applyFont="1" applyFill="1" applyAlignment="1">
      <alignment vertical="center"/>
    </xf>
    <xf numFmtId="173" fontId="18" fillId="6" borderId="0" xfId="0" applyFont="1" applyFill="1">
      <alignment vertical="top"/>
    </xf>
    <xf numFmtId="173" fontId="16" fillId="0" borderId="0" xfId="0" applyFont="1" applyFill="1" applyBorder="1" applyAlignment="1">
      <alignment horizontal="left" vertical="center"/>
    </xf>
    <xf numFmtId="173" fontId="10" fillId="0" borderId="9" xfId="0" applyFont="1" applyFill="1" applyBorder="1">
      <alignment vertical="top"/>
    </xf>
    <xf numFmtId="173" fontId="10" fillId="0" borderId="9" xfId="0" applyFont="1" applyFill="1" applyBorder="1" applyAlignment="1">
      <alignment vertical="center"/>
    </xf>
    <xf numFmtId="173" fontId="10" fillId="0" borderId="0" xfId="0" applyFont="1" applyFill="1" applyBorder="1" applyAlignment="1">
      <alignment horizontal="center" vertical="center"/>
    </xf>
    <xf numFmtId="173" fontId="30" fillId="0" borderId="0" xfId="0" applyFont="1" applyAlignment="1">
      <alignment vertical="center"/>
    </xf>
    <xf numFmtId="173" fontId="16" fillId="0" borderId="0" xfId="0" applyFont="1" applyAlignment="1">
      <alignment vertical="center"/>
    </xf>
    <xf numFmtId="173" fontId="15" fillId="0" borderId="0" xfId="0" applyFont="1" applyAlignment="1">
      <alignment vertical="center"/>
    </xf>
    <xf numFmtId="173" fontId="10" fillId="0" borderId="0" xfId="0" applyFont="1" applyAlignment="1">
      <alignment vertical="center"/>
    </xf>
    <xf numFmtId="173" fontId="10" fillId="0" borderId="0" xfId="0" applyFont="1" applyBorder="1" applyAlignment="1">
      <alignment horizontal="left" vertical="center"/>
    </xf>
    <xf numFmtId="173" fontId="24" fillId="0" borderId="0" xfId="0" applyFont="1" applyBorder="1">
      <alignment vertical="top"/>
    </xf>
    <xf numFmtId="1" fontId="14" fillId="0" borderId="0" xfId="0" applyNumberFormat="1" applyFont="1" applyFill="1" applyBorder="1" applyAlignment="1">
      <alignment horizontal="right" vertical="center"/>
    </xf>
    <xf numFmtId="173" fontId="10" fillId="0" borderId="10" xfId="0" applyFont="1" applyBorder="1">
      <alignment vertical="top"/>
    </xf>
    <xf numFmtId="173" fontId="10" fillId="0" borderId="10" xfId="0" applyFont="1" applyBorder="1" applyAlignment="1">
      <alignment horizontal="left" vertical="center"/>
    </xf>
    <xf numFmtId="173" fontId="10" fillId="0" borderId="10" xfId="0" applyFont="1" applyBorder="1" applyAlignment="1">
      <alignment horizontal="right" vertical="center"/>
    </xf>
    <xf numFmtId="173" fontId="10" fillId="0" borderId="0" xfId="0" applyFont="1" applyAlignment="1">
      <alignment horizontal="left" vertical="center"/>
    </xf>
    <xf numFmtId="173" fontId="10" fillId="0" borderId="0" xfId="0" applyFont="1" applyAlignment="1">
      <alignment horizontal="right" vertical="center"/>
    </xf>
    <xf numFmtId="173" fontId="16" fillId="0" borderId="0" xfId="0" applyFont="1" applyBorder="1" applyAlignment="1">
      <alignment horizontal="left" vertical="center"/>
    </xf>
    <xf numFmtId="173" fontId="15" fillId="0" borderId="0" xfId="0" applyFont="1" applyBorder="1" applyAlignment="1">
      <alignment vertical="center"/>
    </xf>
    <xf numFmtId="173" fontId="10" fillId="0" borderId="9" xfId="0" applyFont="1" applyBorder="1">
      <alignment vertical="top"/>
    </xf>
    <xf numFmtId="173" fontId="10" fillId="0" borderId="9" xfId="0" applyFont="1" applyBorder="1" applyAlignment="1">
      <alignment horizontal="left" vertical="center"/>
    </xf>
    <xf numFmtId="173" fontId="10" fillId="0" borderId="9" xfId="0" applyFont="1" applyBorder="1" applyAlignment="1">
      <alignment horizontal="right" vertical="center"/>
    </xf>
    <xf numFmtId="173" fontId="10" fillId="5" borderId="0" xfId="0" applyFont="1" applyFill="1" applyBorder="1">
      <alignment vertical="top"/>
    </xf>
    <xf numFmtId="173" fontId="10" fillId="0" borderId="0" xfId="0" applyFont="1" applyBorder="1" applyAlignment="1">
      <alignment horizontal="right" vertical="center"/>
    </xf>
    <xf numFmtId="173" fontId="14" fillId="5" borderId="0" xfId="0" applyFont="1" applyFill="1" applyBorder="1">
      <alignment vertical="top"/>
    </xf>
    <xf numFmtId="166" fontId="14" fillId="0" borderId="9" xfId="0" applyNumberFormat="1" applyFont="1" applyFill="1" applyBorder="1" applyAlignment="1">
      <alignment horizontal="left" vertical="center"/>
    </xf>
    <xf numFmtId="173" fontId="15" fillId="0" borderId="0" xfId="0" applyFont="1" applyFill="1" applyBorder="1" applyAlignment="1">
      <alignment horizontal="left" vertical="center"/>
    </xf>
    <xf numFmtId="173" fontId="15" fillId="0" borderId="0" xfId="0" applyFont="1" applyBorder="1" applyAlignment="1">
      <alignment horizontal="left" vertical="center"/>
    </xf>
    <xf numFmtId="173" fontId="30" fillId="0" borderId="0" xfId="0" applyFont="1" applyBorder="1" applyAlignment="1">
      <alignment vertical="center"/>
    </xf>
    <xf numFmtId="165" fontId="30" fillId="0" borderId="0" xfId="0" applyNumberFormat="1" applyFont="1" applyFill="1" applyBorder="1" applyAlignment="1">
      <alignment vertical="center"/>
    </xf>
    <xf numFmtId="165" fontId="16" fillId="0" borderId="0" xfId="0" applyNumberFormat="1" applyFont="1" applyFill="1" applyBorder="1" applyAlignment="1">
      <alignment vertical="center"/>
    </xf>
    <xf numFmtId="165" fontId="15" fillId="0" borderId="0" xfId="0" applyNumberFormat="1" applyFont="1" applyFill="1" applyBorder="1" applyAlignment="1">
      <alignment horizontal="center" vertical="center"/>
    </xf>
    <xf numFmtId="165" fontId="10" fillId="0" borderId="0" xfId="0" applyNumberFormat="1" applyFont="1" applyFill="1" applyBorder="1" applyAlignment="1">
      <alignment horizontal="center" vertical="center"/>
    </xf>
    <xf numFmtId="165" fontId="10" fillId="0" borderId="0" xfId="0" applyNumberFormat="1" applyFont="1" applyFill="1" applyBorder="1" applyAlignment="1">
      <alignment horizontal="left" vertical="center"/>
    </xf>
    <xf numFmtId="173" fontId="24" fillId="0" borderId="0" xfId="0" applyFont="1" applyFill="1" applyBorder="1" applyAlignment="1">
      <alignment horizontal="left" vertical="center"/>
    </xf>
    <xf numFmtId="3" fontId="24" fillId="0" borderId="0" xfId="0" applyNumberFormat="1" applyFont="1" applyFill="1" applyBorder="1" applyAlignment="1">
      <alignment horizontal="right" vertical="center"/>
    </xf>
    <xf numFmtId="173" fontId="24" fillId="0" borderId="0" xfId="0" applyFont="1" applyBorder="1" applyAlignment="1">
      <alignment vertical="center"/>
    </xf>
    <xf numFmtId="173" fontId="10" fillId="5" borderId="0" xfId="0" applyFont="1" applyFill="1" applyAlignment="1">
      <alignment horizontal="right" vertical="center"/>
    </xf>
    <xf numFmtId="173" fontId="24" fillId="0" borderId="0" xfId="0" applyFont="1" applyFill="1" applyAlignment="1">
      <alignment vertical="center"/>
    </xf>
    <xf numFmtId="173" fontId="24" fillId="0" borderId="0" xfId="0" applyFont="1" applyFill="1" applyBorder="1">
      <alignment vertical="top"/>
    </xf>
    <xf numFmtId="174" fontId="24" fillId="0" borderId="0" xfId="1" applyFont="1" applyFill="1" applyBorder="1">
      <alignment vertical="top"/>
    </xf>
    <xf numFmtId="173" fontId="24" fillId="0" borderId="0" xfId="0" applyFont="1" applyFill="1" applyBorder="1" applyAlignment="1">
      <alignment vertical="center"/>
    </xf>
    <xf numFmtId="165" fontId="10" fillId="0" borderId="0" xfId="0" applyNumberFormat="1" applyFont="1" applyFill="1" applyBorder="1" applyAlignment="1">
      <alignment vertical="center"/>
    </xf>
    <xf numFmtId="173" fontId="33" fillId="0" borderId="0" xfId="0" applyFont="1" applyFill="1" applyBorder="1" applyAlignment="1">
      <alignment horizontal="center" vertical="center"/>
    </xf>
    <xf numFmtId="173" fontId="16" fillId="0" borderId="0" xfId="0" applyFont="1" applyFill="1">
      <alignment vertical="top"/>
    </xf>
    <xf numFmtId="173" fontId="15" fillId="0" borderId="0" xfId="0" applyFont="1" applyFill="1">
      <alignment vertical="top"/>
    </xf>
    <xf numFmtId="173" fontId="10" fillId="0" borderId="0" xfId="0" applyFont="1" applyFill="1" applyAlignment="1">
      <alignment horizontal="right" vertical="top"/>
    </xf>
    <xf numFmtId="174" fontId="10" fillId="0" borderId="0" xfId="1" applyFont="1" applyFill="1" applyAlignment="1">
      <alignment horizontal="right" vertical="top"/>
    </xf>
    <xf numFmtId="173" fontId="16" fillId="0" borderId="0" xfId="0" applyFont="1" applyFill="1" applyBorder="1" applyAlignment="1">
      <alignment vertical="center"/>
    </xf>
    <xf numFmtId="173" fontId="15" fillId="0" borderId="0" xfId="0" applyFont="1" applyFill="1" applyBorder="1" applyAlignment="1">
      <alignment horizontal="center" vertical="center"/>
    </xf>
    <xf numFmtId="173" fontId="10" fillId="0" borderId="0" xfId="0" applyFont="1" applyFill="1" applyBorder="1" applyAlignment="1">
      <alignment horizontal="right" vertical="center"/>
    </xf>
    <xf numFmtId="0" fontId="25" fillId="2" borderId="0" xfId="0" applyNumberFormat="1" applyFont="1" applyFill="1" applyBorder="1" applyAlignment="1">
      <alignment vertical="center"/>
    </xf>
    <xf numFmtId="173" fontId="34" fillId="7" borderId="0" xfId="0" applyFont="1" applyFill="1">
      <alignment vertical="top"/>
    </xf>
    <xf numFmtId="173" fontId="14" fillId="7" borderId="0" xfId="0" applyFont="1" applyFill="1">
      <alignment vertical="top"/>
    </xf>
    <xf numFmtId="173" fontId="10" fillId="7" borderId="0" xfId="0" applyFont="1" applyFill="1">
      <alignment vertical="top"/>
    </xf>
    <xf numFmtId="173" fontId="9" fillId="0" borderId="0" xfId="0" applyFont="1" applyFill="1" applyBorder="1" applyAlignment="1">
      <alignment vertical="center"/>
    </xf>
    <xf numFmtId="173" fontId="14" fillId="8" borderId="0" xfId="0" applyFont="1" applyFill="1" applyAlignment="1">
      <alignment horizontal="right" vertical="top"/>
    </xf>
    <xf numFmtId="173" fontId="5" fillId="7" borderId="0" xfId="0" applyFont="1" applyFill="1">
      <alignment vertical="top"/>
    </xf>
    <xf numFmtId="173" fontId="12" fillId="8" borderId="0" xfId="0" applyFont="1" applyFill="1" applyBorder="1" applyAlignment="1">
      <alignment horizontal="center" vertical="top"/>
    </xf>
    <xf numFmtId="173" fontId="20" fillId="6" borderId="0" xfId="0" applyFont="1" applyFill="1" applyAlignment="1">
      <alignment vertical="center"/>
    </xf>
    <xf numFmtId="173" fontId="18" fillId="6" borderId="0" xfId="0" applyFont="1" applyFill="1" applyAlignment="1">
      <alignment horizontal="right" vertical="center"/>
    </xf>
    <xf numFmtId="173" fontId="10" fillId="0" borderId="0" xfId="0" applyFont="1" applyFill="1" applyAlignment="1">
      <alignment horizontal="right" vertical="center"/>
    </xf>
    <xf numFmtId="173" fontId="10" fillId="7" borderId="0" xfId="0" applyFont="1" applyFill="1" applyBorder="1" applyAlignment="1">
      <alignment vertical="center"/>
    </xf>
    <xf numFmtId="174" fontId="10" fillId="0" borderId="0" xfId="1" applyFont="1" applyBorder="1" applyAlignment="1">
      <alignment vertical="center"/>
    </xf>
    <xf numFmtId="169" fontId="10" fillId="0" borderId="0" xfId="0" applyNumberFormat="1" applyFont="1" applyFill="1" applyBorder="1" applyAlignment="1">
      <alignment horizontal="right" vertical="center"/>
    </xf>
    <xf numFmtId="169" fontId="10" fillId="0" borderId="0" xfId="0" applyNumberFormat="1" applyFont="1" applyFill="1" applyBorder="1" applyAlignment="1">
      <alignment horizontal="center" vertical="center"/>
    </xf>
    <xf numFmtId="166" fontId="24" fillId="10" borderId="0" xfId="0" applyNumberFormat="1" applyFont="1" applyFill="1" applyBorder="1" applyAlignment="1">
      <alignment vertical="center"/>
    </xf>
    <xf numFmtId="174" fontId="10" fillId="0" borderId="0" xfId="1" applyFont="1" applyAlignment="1">
      <alignment vertical="center"/>
    </xf>
    <xf numFmtId="166" fontId="10" fillId="0" borderId="0" xfId="0" applyNumberFormat="1" applyFont="1" applyFill="1" applyBorder="1" applyAlignment="1">
      <alignment horizontal="right" vertical="center"/>
    </xf>
    <xf numFmtId="173" fontId="30" fillId="0" borderId="0" xfId="0" applyFont="1">
      <alignment vertical="top"/>
    </xf>
    <xf numFmtId="173" fontId="30" fillId="0" borderId="0" xfId="0" applyFont="1" applyAlignment="1">
      <alignment horizontal="center" vertical="center"/>
    </xf>
    <xf numFmtId="173" fontId="10" fillId="0" borderId="0" xfId="0" applyFont="1" applyAlignment="1">
      <alignment horizontal="center" vertical="center"/>
    </xf>
    <xf numFmtId="173" fontId="15" fillId="0" borderId="0" xfId="0" applyFont="1" applyFill="1" applyAlignment="1">
      <alignment horizontal="center" vertical="center"/>
    </xf>
    <xf numFmtId="173" fontId="16" fillId="0" borderId="0" xfId="0" applyFont="1" applyAlignment="1">
      <alignment horizontal="left" vertical="center"/>
    </xf>
    <xf numFmtId="174" fontId="10" fillId="0" borderId="0" xfId="1" applyFont="1" applyFill="1" applyAlignment="1">
      <alignment vertical="center"/>
    </xf>
    <xf numFmtId="173" fontId="27" fillId="0" borderId="0" xfId="0" applyFont="1" applyFill="1" applyBorder="1">
      <alignment vertical="top"/>
    </xf>
    <xf numFmtId="173" fontId="27" fillId="0" borderId="0" xfId="0" applyFont="1" applyFill="1" applyBorder="1" applyAlignment="1">
      <alignment vertical="center"/>
    </xf>
    <xf numFmtId="173" fontId="30" fillId="0" borderId="0" xfId="0" applyFont="1" applyFill="1" applyBorder="1" applyAlignment="1">
      <alignment vertical="center"/>
    </xf>
    <xf numFmtId="174" fontId="10" fillId="0" borderId="0" xfId="1" applyFont="1" applyFill="1" applyBorder="1" applyAlignment="1">
      <alignment vertical="center"/>
    </xf>
    <xf numFmtId="173" fontId="15" fillId="0" borderId="0" xfId="0" applyFont="1" applyFill="1" applyBorder="1" applyAlignment="1">
      <alignment vertical="center"/>
    </xf>
    <xf numFmtId="0" fontId="18" fillId="2" borderId="1" xfId="0" applyNumberFormat="1" applyFont="1" applyFill="1" applyBorder="1" applyAlignment="1">
      <alignment vertical="center"/>
    </xf>
    <xf numFmtId="0" fontId="20" fillId="2" borderId="1" xfId="0" applyNumberFormat="1" applyFont="1" applyFill="1" applyBorder="1" applyAlignment="1">
      <alignment vertical="center"/>
    </xf>
    <xf numFmtId="0" fontId="18" fillId="2" borderId="1" xfId="0" applyNumberFormat="1" applyFont="1" applyFill="1" applyBorder="1" applyAlignment="1">
      <alignment horizontal="right" vertical="center"/>
    </xf>
    <xf numFmtId="0" fontId="18" fillId="0" borderId="0" xfId="0" applyNumberFormat="1" applyFont="1" applyFill="1" applyBorder="1" applyAlignment="1">
      <alignment vertical="center"/>
    </xf>
    <xf numFmtId="0" fontId="20" fillId="0" borderId="0" xfId="0" applyNumberFormat="1" applyFont="1" applyFill="1" applyBorder="1" applyAlignment="1">
      <alignment vertical="center"/>
    </xf>
    <xf numFmtId="0" fontId="18" fillId="0" borderId="0" xfId="0" applyNumberFormat="1" applyFont="1" applyFill="1" applyBorder="1" applyAlignment="1">
      <alignment horizontal="right" vertical="center"/>
    </xf>
    <xf numFmtId="173" fontId="18" fillId="0" borderId="0" xfId="0" applyFont="1" applyFill="1" applyBorder="1">
      <alignment vertical="top"/>
    </xf>
    <xf numFmtId="0" fontId="9" fillId="0" borderId="0" xfId="0" applyNumberFormat="1" applyFont="1" applyFill="1" applyBorder="1" applyAlignment="1">
      <alignment vertical="center"/>
    </xf>
    <xf numFmtId="174" fontId="16" fillId="0" borderId="0" xfId="1" applyFont="1" applyAlignment="1">
      <alignment vertical="center"/>
    </xf>
    <xf numFmtId="173" fontId="14" fillId="0" borderId="0" xfId="0" applyFont="1" applyFill="1" applyBorder="1">
      <alignment vertical="top"/>
    </xf>
    <xf numFmtId="173" fontId="27" fillId="0" borderId="0" xfId="0" applyFont="1" applyAlignment="1">
      <alignment vertical="center"/>
    </xf>
    <xf numFmtId="174" fontId="27" fillId="0" borderId="0" xfId="1" applyFont="1" applyAlignment="1">
      <alignment vertical="center"/>
    </xf>
    <xf numFmtId="173" fontId="35" fillId="0" borderId="0" xfId="0" applyFont="1" applyAlignment="1">
      <alignment vertical="center"/>
    </xf>
    <xf numFmtId="173" fontId="27" fillId="0" borderId="0" xfId="0" applyFont="1" applyAlignment="1">
      <alignment horizontal="right" vertical="center"/>
    </xf>
    <xf numFmtId="173" fontId="27" fillId="0" borderId="0" xfId="0" applyFont="1" applyFill="1" applyBorder="1" applyAlignment="1">
      <alignment horizontal="left" vertical="center"/>
    </xf>
    <xf numFmtId="173" fontId="27" fillId="7" borderId="0" xfId="0" applyFont="1" applyFill="1" applyBorder="1" applyAlignment="1">
      <alignment vertical="center"/>
    </xf>
    <xf numFmtId="174" fontId="9" fillId="0" borderId="0" xfId="1" applyFont="1" applyAlignment="1">
      <alignment vertical="center"/>
    </xf>
    <xf numFmtId="174" fontId="27" fillId="0" borderId="0" xfId="1" applyFont="1" applyFill="1" applyAlignment="1">
      <alignment vertical="center"/>
    </xf>
    <xf numFmtId="173" fontId="35" fillId="0" borderId="0" xfId="0" applyFont="1" applyFill="1" applyAlignment="1">
      <alignment vertical="center"/>
    </xf>
    <xf numFmtId="173" fontId="27" fillId="0" borderId="0" xfId="0" applyFont="1" applyFill="1" applyAlignment="1">
      <alignment horizontal="right" vertical="center"/>
    </xf>
    <xf numFmtId="173" fontId="27" fillId="0" borderId="0" xfId="0" applyFont="1" applyFill="1" applyAlignment="1">
      <alignment vertical="center"/>
    </xf>
    <xf numFmtId="173" fontId="18" fillId="6" borderId="0" xfId="0" applyFont="1" applyFill="1" applyBorder="1" applyAlignment="1">
      <alignment vertical="center"/>
    </xf>
    <xf numFmtId="173" fontId="20" fillId="6" borderId="0" xfId="0" applyFont="1" applyFill="1" applyBorder="1" applyAlignment="1">
      <alignment vertical="center"/>
    </xf>
    <xf numFmtId="173" fontId="18" fillId="6" borderId="0" xfId="0" applyFont="1" applyFill="1" applyBorder="1" applyAlignment="1">
      <alignment horizontal="right" vertical="center"/>
    </xf>
    <xf numFmtId="174" fontId="16" fillId="0" borderId="0" xfId="1" applyFont="1" applyFill="1" applyAlignment="1">
      <alignment vertical="center"/>
    </xf>
    <xf numFmtId="173" fontId="27" fillId="0" borderId="0" xfId="0" applyFont="1" applyFill="1">
      <alignment vertical="top"/>
    </xf>
    <xf numFmtId="173" fontId="27" fillId="0" borderId="0" xfId="0" applyFont="1" applyFill="1" applyAlignment="1">
      <alignment horizontal="left" vertical="center"/>
    </xf>
    <xf numFmtId="3" fontId="10" fillId="0" borderId="0" xfId="0" applyNumberFormat="1" applyFont="1" applyFill="1" applyBorder="1" applyAlignment="1">
      <alignment vertical="center"/>
    </xf>
    <xf numFmtId="3" fontId="27" fillId="0" borderId="0" xfId="0" applyNumberFormat="1" applyFont="1" applyFill="1" applyBorder="1" applyAlignment="1">
      <alignment vertical="center"/>
    </xf>
    <xf numFmtId="173" fontId="24" fillId="0" borderId="0" xfId="0" applyFont="1" applyFill="1" applyBorder="1" applyAlignment="1">
      <alignment horizontal="right" vertical="center"/>
    </xf>
    <xf numFmtId="173" fontId="14" fillId="0" borderId="0" xfId="0" applyFont="1" applyAlignment="1">
      <alignment vertical="center"/>
    </xf>
    <xf numFmtId="174" fontId="14" fillId="0" borderId="0" xfId="1" applyFont="1" applyFill="1" applyAlignment="1">
      <alignment vertical="center"/>
    </xf>
    <xf numFmtId="173" fontId="14" fillId="0" borderId="0" xfId="0" applyFont="1" applyFill="1" applyAlignment="1">
      <alignment horizontal="right" vertical="center"/>
    </xf>
    <xf numFmtId="3" fontId="14" fillId="0" borderId="0" xfId="0" applyNumberFormat="1" applyFont="1" applyFill="1" applyBorder="1" applyAlignment="1">
      <alignment vertical="center"/>
    </xf>
    <xf numFmtId="166" fontId="27" fillId="0" borderId="0" xfId="0" applyNumberFormat="1" applyFont="1" applyFill="1" applyBorder="1" applyAlignment="1">
      <alignment horizontal="left" vertical="center"/>
    </xf>
    <xf numFmtId="166" fontId="27" fillId="0" borderId="0" xfId="0" applyNumberFormat="1" applyFont="1" applyFill="1" applyBorder="1" applyAlignment="1">
      <alignment vertical="center"/>
    </xf>
    <xf numFmtId="167" fontId="10" fillId="0" borderId="0" xfId="0" applyNumberFormat="1" applyFont="1" applyFill="1" applyBorder="1" applyAlignment="1">
      <alignment horizontal="right" vertical="center"/>
    </xf>
    <xf numFmtId="166" fontId="10" fillId="0" borderId="0" xfId="0" applyNumberFormat="1" applyFont="1" applyFill="1" applyBorder="1" applyAlignment="1">
      <alignment horizontal="left" vertical="center"/>
    </xf>
    <xf numFmtId="166" fontId="10" fillId="0" borderId="0" xfId="0" applyNumberFormat="1" applyFont="1" applyFill="1" applyBorder="1" applyAlignment="1">
      <alignment horizontal="center" vertical="center"/>
    </xf>
    <xf numFmtId="173" fontId="18" fillId="0" borderId="0" xfId="0" applyFont="1" applyFill="1" applyBorder="1" applyAlignment="1">
      <alignment vertical="center"/>
    </xf>
    <xf numFmtId="173" fontId="18" fillId="0" borderId="0" xfId="0" applyFont="1" applyFill="1" applyBorder="1" applyAlignment="1">
      <alignment horizontal="right" vertical="center"/>
    </xf>
    <xf numFmtId="173" fontId="24" fillId="0" borderId="0" xfId="0" applyFont="1" applyFill="1">
      <alignment vertical="top"/>
    </xf>
    <xf numFmtId="173" fontId="10" fillId="0" borderId="11" xfId="0" applyFont="1" applyFill="1" applyBorder="1">
      <alignment vertical="top"/>
    </xf>
    <xf numFmtId="173" fontId="10" fillId="0" borderId="11" xfId="0" applyFont="1" applyFill="1" applyBorder="1" applyAlignment="1">
      <alignment horizontal="right" vertical="top"/>
    </xf>
    <xf numFmtId="173" fontId="10" fillId="0" borderId="11" xfId="0" applyFont="1" applyBorder="1">
      <alignment vertical="top"/>
    </xf>
    <xf numFmtId="173" fontId="15" fillId="0" borderId="0" xfId="0" applyFont="1" applyFill="1" applyBorder="1">
      <alignment vertical="top"/>
    </xf>
    <xf numFmtId="173" fontId="9" fillId="0" borderId="0" xfId="0" applyFont="1" applyFill="1" applyBorder="1">
      <alignment vertical="top"/>
    </xf>
    <xf numFmtId="173" fontId="10" fillId="0" borderId="12" xfId="0" applyFont="1" applyFill="1" applyBorder="1">
      <alignment vertical="top"/>
    </xf>
    <xf numFmtId="173" fontId="10" fillId="0" borderId="12" xfId="0" applyFont="1" applyFill="1" applyBorder="1" applyAlignment="1">
      <alignment horizontal="right" vertical="top"/>
    </xf>
    <xf numFmtId="173" fontId="10" fillId="7" borderId="12" xfId="0" applyFont="1" applyFill="1" applyBorder="1">
      <alignment vertical="top"/>
    </xf>
    <xf numFmtId="173" fontId="10" fillId="0" borderId="12" xfId="0" applyFont="1" applyBorder="1">
      <alignment vertical="top"/>
    </xf>
    <xf numFmtId="173" fontId="27" fillId="0" borderId="0" xfId="0" applyFont="1" applyFill="1" applyBorder="1" applyAlignment="1">
      <alignment horizontal="right" vertical="center"/>
    </xf>
    <xf numFmtId="173" fontId="14" fillId="5" borderId="0" xfId="0" applyFont="1" applyFill="1" applyBorder="1" applyAlignment="1">
      <alignment horizontal="right" vertical="center"/>
    </xf>
    <xf numFmtId="173" fontId="9" fillId="0" borderId="0" xfId="0" applyFont="1" applyFill="1" applyBorder="1" applyAlignment="1">
      <alignment horizontal="right" vertical="center"/>
    </xf>
    <xf numFmtId="173" fontId="16" fillId="0" borderId="0" xfId="0" applyFont="1" applyFill="1" applyAlignment="1">
      <alignment horizontal="left" vertical="center"/>
    </xf>
    <xf numFmtId="173" fontId="10" fillId="7" borderId="0" xfId="0" applyFont="1" applyFill="1" applyBorder="1">
      <alignment vertical="top"/>
    </xf>
    <xf numFmtId="9" fontId="10" fillId="0" borderId="0" xfId="0" applyNumberFormat="1" applyFont="1" applyFill="1" applyBorder="1" applyAlignment="1">
      <alignment vertical="center"/>
    </xf>
    <xf numFmtId="167" fontId="14" fillId="0" borderId="0" xfId="0" applyNumberFormat="1" applyFont="1" applyFill="1" applyBorder="1" applyAlignment="1">
      <alignment horizontal="right" vertical="center"/>
    </xf>
    <xf numFmtId="174" fontId="14" fillId="0" borderId="0" xfId="1" applyFont="1" applyFill="1" applyBorder="1">
      <alignment vertical="top"/>
    </xf>
    <xf numFmtId="9" fontId="14" fillId="0" borderId="0" xfId="0" applyNumberFormat="1" applyFont="1" applyFill="1" applyBorder="1" applyAlignment="1">
      <alignment vertical="center"/>
    </xf>
    <xf numFmtId="173" fontId="30" fillId="0" borderId="0" xfId="0" applyFont="1" applyFill="1">
      <alignment vertical="top"/>
    </xf>
    <xf numFmtId="173" fontId="14" fillId="0" borderId="0" xfId="0" applyFont="1" applyFill="1" applyBorder="1" applyAlignment="1">
      <alignment horizontal="right" vertical="top"/>
    </xf>
    <xf numFmtId="173" fontId="14" fillId="0" borderId="11" xfId="0" applyFont="1" applyFill="1" applyBorder="1">
      <alignment vertical="top"/>
    </xf>
    <xf numFmtId="173" fontId="14" fillId="0" borderId="11" xfId="0" applyFont="1" applyFill="1" applyBorder="1" applyAlignment="1">
      <alignment horizontal="right" vertical="top"/>
    </xf>
    <xf numFmtId="173" fontId="14" fillId="0" borderId="12" xfId="0" applyFont="1" applyFill="1" applyBorder="1">
      <alignment vertical="top"/>
    </xf>
    <xf numFmtId="173" fontId="14" fillId="0" borderId="12" xfId="0" applyFont="1" applyFill="1" applyBorder="1" applyAlignment="1">
      <alignment horizontal="right" vertical="top"/>
    </xf>
    <xf numFmtId="173" fontId="14" fillId="7" borderId="12" xfId="0" applyFont="1" applyFill="1" applyBorder="1">
      <alignment vertical="top"/>
    </xf>
    <xf numFmtId="173" fontId="16" fillId="0" borderId="0" xfId="0" applyFont="1" applyFill="1" applyBorder="1">
      <alignment vertical="top"/>
    </xf>
    <xf numFmtId="174" fontId="10" fillId="0" borderId="0" xfId="1" applyFont="1" applyFill="1" applyBorder="1">
      <alignment vertical="top"/>
    </xf>
    <xf numFmtId="173" fontId="14" fillId="0" borderId="0" xfId="0" applyFont="1" applyAlignment="1">
      <alignment horizontal="right" vertical="center"/>
    </xf>
    <xf numFmtId="174" fontId="30" fillId="0" borderId="0" xfId="1" applyFont="1" applyFill="1">
      <alignment vertical="top"/>
    </xf>
    <xf numFmtId="174" fontId="15" fillId="0" borderId="0" xfId="1" applyFont="1" applyFill="1">
      <alignment vertical="top"/>
    </xf>
    <xf numFmtId="174" fontId="10" fillId="0" borderId="0" xfId="1" applyFont="1" applyFill="1" applyBorder="1" applyAlignment="1">
      <alignment horizontal="right" vertical="top"/>
    </xf>
    <xf numFmtId="173" fontId="18" fillId="0" borderId="0" xfId="0" applyFont="1" applyFill="1" applyBorder="1" applyAlignment="1">
      <alignment horizontal="right" vertical="top"/>
    </xf>
    <xf numFmtId="173" fontId="9" fillId="0" borderId="0" xfId="0" applyFont="1" applyFill="1" applyBorder="1" applyAlignment="1">
      <alignment horizontal="right" vertical="top"/>
    </xf>
    <xf numFmtId="166" fontId="14" fillId="0" borderId="0" xfId="1" applyNumberFormat="1" applyFont="1" applyFill="1" applyBorder="1">
      <alignment vertical="top"/>
    </xf>
    <xf numFmtId="173" fontId="14" fillId="0" borderId="0" xfId="0" applyFont="1">
      <alignment vertical="top"/>
    </xf>
    <xf numFmtId="174" fontId="14" fillId="0" borderId="0" xfId="1" applyFont="1">
      <alignment vertical="top"/>
    </xf>
    <xf numFmtId="173" fontId="30" fillId="0" borderId="11" xfId="0" applyFont="1" applyBorder="1" applyAlignment="1">
      <alignment vertical="center"/>
    </xf>
    <xf numFmtId="173" fontId="10" fillId="0" borderId="11" xfId="0" applyFont="1" applyBorder="1" applyAlignment="1">
      <alignment horizontal="right" vertical="center"/>
    </xf>
    <xf numFmtId="173" fontId="10" fillId="0" borderId="11" xfId="0" applyFont="1" applyBorder="1" applyAlignment="1">
      <alignment vertical="center"/>
    </xf>
    <xf numFmtId="173" fontId="10" fillId="0" borderId="11" xfId="0" applyFont="1" applyBorder="1" applyAlignment="1">
      <alignment horizontal="left" vertical="center"/>
    </xf>
    <xf numFmtId="173" fontId="30" fillId="0" borderId="0" xfId="0" applyFont="1" applyBorder="1">
      <alignment vertical="top"/>
    </xf>
    <xf numFmtId="173" fontId="10" fillId="0" borderId="0" xfId="0" applyFont="1" applyBorder="1" applyAlignment="1">
      <alignment horizontal="right" vertical="top"/>
    </xf>
    <xf numFmtId="173" fontId="30" fillId="0" borderId="12" xfId="0" applyFont="1" applyBorder="1" applyAlignment="1">
      <alignment vertical="center"/>
    </xf>
    <xf numFmtId="173" fontId="10" fillId="0" borderId="12" xfId="0" applyFont="1" applyBorder="1" applyAlignment="1">
      <alignment horizontal="right" vertical="center"/>
    </xf>
    <xf numFmtId="173" fontId="10" fillId="0" borderId="12" xfId="0" applyFont="1" applyBorder="1" applyAlignment="1">
      <alignment vertical="center"/>
    </xf>
    <xf numFmtId="173" fontId="10" fillId="7" borderId="12" xfId="0" applyFont="1" applyFill="1" applyBorder="1" applyAlignment="1">
      <alignment vertical="center"/>
    </xf>
    <xf numFmtId="173" fontId="14" fillId="0" borderId="0" xfId="0" applyFont="1" applyFill="1" applyBorder="1" applyAlignment="1">
      <alignment horizontal="right" vertical="center"/>
    </xf>
    <xf numFmtId="170" fontId="10" fillId="0" borderId="0" xfId="0" applyNumberFormat="1" applyFont="1" applyFill="1" applyBorder="1" applyAlignment="1">
      <alignment vertical="center"/>
    </xf>
    <xf numFmtId="166" fontId="24" fillId="0" borderId="0" xfId="0" applyNumberFormat="1" applyFont="1" applyFill="1" applyBorder="1" applyAlignment="1">
      <alignment horizontal="left" vertical="center"/>
    </xf>
    <xf numFmtId="167" fontId="15" fillId="0" borderId="0" xfId="0" applyNumberFormat="1" applyFont="1" applyFill="1" applyBorder="1" applyAlignment="1">
      <alignment horizontal="right" vertical="center"/>
    </xf>
    <xf numFmtId="173" fontId="30" fillId="0" borderId="11" xfId="0" applyFont="1" applyFill="1" applyBorder="1">
      <alignment vertical="top"/>
    </xf>
    <xf numFmtId="173" fontId="30" fillId="0" borderId="0" xfId="0" applyFont="1" applyFill="1" applyBorder="1">
      <alignment vertical="top"/>
    </xf>
    <xf numFmtId="173" fontId="30" fillId="0" borderId="12" xfId="0" applyFont="1" applyBorder="1">
      <alignment vertical="top"/>
    </xf>
    <xf numFmtId="173" fontId="10" fillId="0" borderId="12" xfId="0" applyFont="1" applyBorder="1" applyAlignment="1">
      <alignment horizontal="right" vertical="top"/>
    </xf>
    <xf numFmtId="173" fontId="30" fillId="0" borderId="11" xfId="0" applyFont="1" applyFill="1" applyBorder="1" applyAlignment="1">
      <alignment vertical="center"/>
    </xf>
    <xf numFmtId="167" fontId="10" fillId="0" borderId="11" xfId="0" applyNumberFormat="1" applyFont="1" applyFill="1" applyBorder="1" applyAlignment="1">
      <alignment horizontal="right" vertical="center"/>
    </xf>
    <xf numFmtId="173" fontId="30" fillId="0" borderId="12" xfId="0" applyFont="1" applyFill="1" applyBorder="1" applyAlignment="1">
      <alignment vertical="center"/>
    </xf>
    <xf numFmtId="167" fontId="10" fillId="0" borderId="12" xfId="0" applyNumberFormat="1" applyFont="1" applyFill="1" applyBorder="1" applyAlignment="1">
      <alignment horizontal="right" vertical="center"/>
    </xf>
    <xf numFmtId="173" fontId="16" fillId="0" borderId="0" xfId="0" applyFont="1" applyFill="1" applyBorder="1" applyAlignment="1">
      <alignment horizontal="right" vertical="top"/>
    </xf>
    <xf numFmtId="173" fontId="16" fillId="0" borderId="0" xfId="0" applyFont="1">
      <alignment vertical="top"/>
    </xf>
    <xf numFmtId="173" fontId="24" fillId="0" borderId="0" xfId="0" applyFont="1" applyAlignment="1">
      <alignment horizontal="right" vertical="top"/>
    </xf>
    <xf numFmtId="173" fontId="27" fillId="6" borderId="0" xfId="0" applyFont="1" applyFill="1" applyBorder="1" applyAlignment="1">
      <alignment vertical="center"/>
    </xf>
    <xf numFmtId="0" fontId="20" fillId="2" borderId="0" xfId="0" applyNumberFormat="1" applyFont="1" applyFill="1" applyBorder="1" applyAlignment="1">
      <alignment vertical="center"/>
    </xf>
    <xf numFmtId="0" fontId="18" fillId="2" borderId="0" xfId="0" applyNumberFormat="1" applyFont="1" applyFill="1" applyBorder="1" applyAlignment="1">
      <alignment horizontal="right" vertical="center"/>
    </xf>
    <xf numFmtId="173" fontId="39" fillId="7" borderId="0" xfId="0" applyFont="1" applyFill="1">
      <alignment vertical="top"/>
    </xf>
    <xf numFmtId="173" fontId="39" fillId="0" borderId="0" xfId="0" applyFont="1">
      <alignment vertical="top"/>
    </xf>
    <xf numFmtId="177" fontId="12" fillId="0" borderId="0" xfId="0" applyNumberFormat="1" applyFont="1" applyAlignment="1">
      <alignment horizontal="right" vertical="top"/>
    </xf>
    <xf numFmtId="173" fontId="24" fillId="0" borderId="0" xfId="0" applyFont="1" applyAlignment="1">
      <alignment vertical="center"/>
    </xf>
    <xf numFmtId="174" fontId="40" fillId="0" borderId="0" xfId="1" applyFont="1" applyAlignment="1">
      <alignment vertical="center"/>
    </xf>
    <xf numFmtId="174" fontId="24" fillId="0" borderId="0" xfId="1" applyFont="1" applyAlignment="1">
      <alignment vertical="center"/>
    </xf>
    <xf numFmtId="173" fontId="10" fillId="7" borderId="0" xfId="0" applyFont="1" applyFill="1" applyAlignment="1">
      <alignment vertical="center"/>
    </xf>
    <xf numFmtId="179" fontId="10" fillId="0" borderId="0" xfId="0" applyNumberFormat="1" applyFont="1" applyAlignment="1">
      <alignment vertical="center"/>
    </xf>
    <xf numFmtId="176" fontId="10" fillId="0" borderId="0" xfId="0" applyNumberFormat="1" applyFont="1" applyAlignment="1">
      <alignment vertical="center"/>
    </xf>
    <xf numFmtId="174" fontId="14" fillId="0" borderId="0" xfId="1" applyFont="1" applyAlignment="1">
      <alignment vertical="center"/>
    </xf>
    <xf numFmtId="175" fontId="14" fillId="0" borderId="0" xfId="0" applyNumberFormat="1" applyFont="1" applyFill="1" applyBorder="1" applyAlignment="1">
      <alignment horizontal="left" vertical="center"/>
    </xf>
    <xf numFmtId="165" fontId="10" fillId="5" borderId="0" xfId="0" applyNumberFormat="1" applyFont="1" applyFill="1" applyBorder="1" applyAlignment="1">
      <alignment horizontal="left" vertical="center"/>
    </xf>
    <xf numFmtId="173" fontId="24" fillId="0" borderId="0" xfId="0" applyFont="1" applyFill="1" applyBorder="1" applyAlignment="1">
      <alignment horizontal="center" vertical="center"/>
    </xf>
    <xf numFmtId="166" fontId="24" fillId="0" borderId="0" xfId="0" applyNumberFormat="1" applyFont="1" applyFill="1" applyAlignment="1">
      <alignment vertical="center"/>
    </xf>
    <xf numFmtId="166" fontId="10" fillId="0" borderId="0" xfId="0" applyNumberFormat="1" applyFont="1" applyFill="1" applyAlignment="1">
      <alignment vertical="center"/>
    </xf>
    <xf numFmtId="173" fontId="39" fillId="0" borderId="0" xfId="0" applyFont="1" applyFill="1">
      <alignment vertical="top"/>
    </xf>
    <xf numFmtId="177" fontId="12" fillId="0" borderId="0" xfId="0" applyNumberFormat="1" applyFont="1" applyFill="1" applyAlignment="1">
      <alignment horizontal="right" vertical="top"/>
    </xf>
    <xf numFmtId="173" fontId="41" fillId="0" borderId="0" xfId="0" applyFont="1" applyFill="1">
      <alignment vertical="top"/>
    </xf>
    <xf numFmtId="173" fontId="41" fillId="0" borderId="0" xfId="0" applyFont="1">
      <alignment vertical="top"/>
    </xf>
    <xf numFmtId="173" fontId="41" fillId="0" borderId="0" xfId="0" applyFont="1" applyAlignment="1">
      <alignment horizontal="right" vertical="top"/>
    </xf>
    <xf numFmtId="176" fontId="12" fillId="0" borderId="0" xfId="0" applyNumberFormat="1" applyFont="1">
      <alignment vertical="top"/>
    </xf>
    <xf numFmtId="173" fontId="12" fillId="7" borderId="0" xfId="0" applyFont="1" applyFill="1" applyBorder="1">
      <alignment vertical="top"/>
    </xf>
    <xf numFmtId="0" fontId="14" fillId="5" borderId="0" xfId="0" applyNumberFormat="1" applyFont="1" applyFill="1" applyAlignment="1">
      <alignment vertical="center"/>
    </xf>
    <xf numFmtId="0" fontId="24" fillId="0" borderId="0" xfId="0" applyNumberFormat="1" applyFont="1">
      <alignment vertical="top"/>
    </xf>
    <xf numFmtId="173" fontId="18" fillId="0" borderId="0" xfId="0" applyFont="1" applyFill="1" applyAlignment="1">
      <alignment vertical="center"/>
    </xf>
    <xf numFmtId="173" fontId="20" fillId="0" borderId="0" xfId="0" applyFont="1" applyFill="1" applyAlignment="1">
      <alignment vertical="center"/>
    </xf>
    <xf numFmtId="173" fontId="18" fillId="0" borderId="0" xfId="0" applyFont="1" applyFill="1" applyAlignment="1">
      <alignment horizontal="right" vertical="center"/>
    </xf>
    <xf numFmtId="0" fontId="10" fillId="0" borderId="0" xfId="0" applyNumberFormat="1" applyFont="1" applyFill="1" applyBorder="1" applyAlignment="1">
      <alignment horizontal="right" vertical="center"/>
    </xf>
    <xf numFmtId="174" fontId="14" fillId="5" borderId="0" xfId="1" applyFont="1" applyFill="1" applyBorder="1">
      <alignment vertical="top"/>
    </xf>
    <xf numFmtId="0" fontId="14" fillId="0" borderId="0" xfId="0" applyNumberFormat="1" applyFont="1" applyFill="1">
      <alignment vertical="top"/>
    </xf>
    <xf numFmtId="173" fontId="25" fillId="0" borderId="0" xfId="0" applyFont="1" applyFill="1" applyAlignment="1">
      <alignment vertical="center"/>
    </xf>
    <xf numFmtId="166" fontId="10" fillId="7" borderId="6" xfId="0" applyNumberFormat="1" applyFont="1" applyFill="1" applyBorder="1" applyAlignment="1">
      <alignment vertical="center"/>
    </xf>
    <xf numFmtId="166" fontId="10" fillId="7" borderId="0" xfId="0" applyNumberFormat="1" applyFont="1" applyFill="1" applyBorder="1" applyAlignment="1">
      <alignment vertical="center"/>
    </xf>
    <xf numFmtId="166" fontId="14" fillId="7" borderId="3" xfId="0" applyNumberFormat="1" applyFont="1" applyFill="1" applyBorder="1" applyAlignment="1">
      <alignment horizontal="left" vertical="center"/>
    </xf>
    <xf numFmtId="166" fontId="10" fillId="7" borderId="7" xfId="0" applyNumberFormat="1" applyFont="1" applyFill="1" applyBorder="1" applyAlignment="1">
      <alignment vertical="center"/>
    </xf>
    <xf numFmtId="166" fontId="10" fillId="7" borderId="13" xfId="0" applyNumberFormat="1" applyFont="1" applyFill="1" applyBorder="1" applyAlignment="1">
      <alignment vertical="center"/>
    </xf>
    <xf numFmtId="166" fontId="14" fillId="7" borderId="8" xfId="0" applyNumberFormat="1" applyFont="1" applyFill="1" applyBorder="1" applyAlignment="1">
      <alignment horizontal="left" vertical="center"/>
    </xf>
    <xf numFmtId="173" fontId="10" fillId="16" borderId="0" xfId="0" quotePrefix="1" applyFont="1" applyFill="1">
      <alignment vertical="top"/>
    </xf>
    <xf numFmtId="180" fontId="10" fillId="16" borderId="0" xfId="1" applyNumberFormat="1" applyFont="1" applyFill="1">
      <alignment vertical="top"/>
    </xf>
    <xf numFmtId="173" fontId="10" fillId="16" borderId="0" xfId="0" applyFont="1" applyFill="1">
      <alignment vertical="top"/>
    </xf>
    <xf numFmtId="173" fontId="10" fillId="17" borderId="0" xfId="0" applyFont="1" applyFill="1">
      <alignment vertical="top"/>
    </xf>
    <xf numFmtId="173" fontId="35" fillId="0" borderId="0" xfId="0" applyFont="1" applyFill="1">
      <alignment vertical="top"/>
    </xf>
    <xf numFmtId="173" fontId="27" fillId="0" borderId="0" xfId="0" applyFont="1" applyFill="1" applyBorder="1" applyAlignment="1">
      <alignment horizontal="right" vertical="top"/>
    </xf>
    <xf numFmtId="173" fontId="27" fillId="0" borderId="0" xfId="0" applyFont="1" applyBorder="1" applyAlignment="1">
      <alignment vertical="center"/>
    </xf>
    <xf numFmtId="174" fontId="27" fillId="0" borderId="0" xfId="1" applyFont="1" applyBorder="1" applyAlignment="1">
      <alignment vertical="center"/>
    </xf>
    <xf numFmtId="173" fontId="35" fillId="0" borderId="0" xfId="0" applyFont="1" applyBorder="1" applyAlignment="1">
      <alignment vertical="center"/>
    </xf>
    <xf numFmtId="169" fontId="27" fillId="0" borderId="0" xfId="0" applyNumberFormat="1" applyFont="1" applyFill="1" applyBorder="1" applyAlignment="1">
      <alignment horizontal="right" vertical="center"/>
    </xf>
    <xf numFmtId="178" fontId="27" fillId="0" borderId="0" xfId="1" applyNumberFormat="1" applyFont="1">
      <alignment vertical="top"/>
    </xf>
    <xf numFmtId="179" fontId="27" fillId="0" borderId="0" xfId="0" applyNumberFormat="1" applyFont="1">
      <alignment vertical="top"/>
    </xf>
    <xf numFmtId="178" fontId="10" fillId="0" borderId="0" xfId="1" applyNumberFormat="1" applyFont="1" applyFill="1">
      <alignment vertical="top"/>
    </xf>
    <xf numFmtId="173" fontId="12" fillId="18" borderId="0" xfId="0" applyFont="1" applyFill="1" applyBorder="1" applyAlignment="1">
      <alignment horizontal="left" vertical="top"/>
    </xf>
    <xf numFmtId="173" fontId="12" fillId="0" borderId="0" xfId="0" applyFont="1" applyBorder="1" applyAlignment="1"/>
    <xf numFmtId="173" fontId="8" fillId="14" borderId="0" xfId="0" applyFont="1" applyFill="1">
      <alignment vertical="top"/>
    </xf>
    <xf numFmtId="173" fontId="10" fillId="7" borderId="0" xfId="0" applyFont="1" applyFill="1" applyBorder="1" applyAlignment="1">
      <alignment horizontal="left" vertical="center"/>
    </xf>
    <xf numFmtId="173" fontId="10" fillId="7" borderId="0" xfId="0" applyFont="1" applyFill="1" applyBorder="1" applyAlignment="1">
      <alignment horizontal="right" vertical="center"/>
    </xf>
    <xf numFmtId="174" fontId="10" fillId="7" borderId="0" xfId="1" applyFont="1" applyFill="1">
      <alignment vertical="top"/>
    </xf>
    <xf numFmtId="9" fontId="10" fillId="7" borderId="0" xfId="0" applyNumberFormat="1" applyFont="1" applyFill="1" applyAlignment="1">
      <alignment vertical="center"/>
    </xf>
    <xf numFmtId="173" fontId="7" fillId="6" borderId="0" xfId="0" applyFont="1" applyFill="1" applyBorder="1" applyAlignment="1">
      <alignment horizontal="left" vertical="top"/>
    </xf>
    <xf numFmtId="173" fontId="10" fillId="16" borderId="0" xfId="0" quotePrefix="1" applyFont="1" applyFill="1" applyBorder="1">
      <alignment vertical="top"/>
    </xf>
    <xf numFmtId="173" fontId="10" fillId="0" borderId="0" xfId="0" quotePrefix="1" applyFont="1" applyFill="1" applyBorder="1">
      <alignment vertical="top"/>
    </xf>
    <xf numFmtId="166" fontId="19" fillId="0" borderId="0" xfId="2" applyNumberFormat="1" applyFont="1" applyFill="1" applyBorder="1" applyAlignment="1" applyProtection="1">
      <alignment horizontal="left" vertical="center"/>
    </xf>
    <xf numFmtId="173" fontId="10" fillId="5" borderId="0" xfId="0" applyFont="1" applyFill="1" applyAlignment="1">
      <alignment vertical="center"/>
    </xf>
    <xf numFmtId="173" fontId="12" fillId="0" borderId="0" xfId="0" applyFont="1" applyAlignment="1">
      <alignment horizontal="left" vertical="top"/>
    </xf>
    <xf numFmtId="173" fontId="12" fillId="0" borderId="0" xfId="0" applyFont="1" applyFill="1">
      <alignment vertical="top"/>
    </xf>
    <xf numFmtId="167" fontId="24" fillId="0" borderId="0" xfId="0" applyNumberFormat="1" applyFont="1" applyFill="1" applyBorder="1" applyAlignment="1">
      <alignment horizontal="right" vertical="center"/>
    </xf>
    <xf numFmtId="173" fontId="24" fillId="7" borderId="0" xfId="0" applyFont="1" applyFill="1">
      <alignment vertical="top"/>
    </xf>
    <xf numFmtId="173" fontId="24" fillId="0" borderId="0" xfId="0" applyFont="1" applyAlignment="1">
      <alignment vertical="center" wrapText="1"/>
    </xf>
    <xf numFmtId="173" fontId="24" fillId="0" borderId="0" xfId="0" applyFont="1" applyFill="1" applyAlignment="1">
      <alignment horizontal="right" vertical="center"/>
    </xf>
    <xf numFmtId="173" fontId="40" fillId="0" borderId="0" xfId="0" applyFont="1" applyFill="1" applyBorder="1">
      <alignment vertical="top"/>
    </xf>
    <xf numFmtId="173" fontId="40" fillId="0" borderId="0" xfId="0" applyFont="1" applyFill="1" applyBorder="1" applyAlignment="1">
      <alignment horizontal="right" vertical="top"/>
    </xf>
    <xf numFmtId="173" fontId="24" fillId="0" borderId="0" xfId="0" applyFont="1" applyAlignment="1">
      <alignment horizontal="right" vertical="center"/>
    </xf>
    <xf numFmtId="0" fontId="27" fillId="0" borderId="0" xfId="0" applyNumberFormat="1" applyFont="1" applyFill="1" applyBorder="1" applyAlignment="1">
      <alignment vertical="center"/>
    </xf>
    <xf numFmtId="0" fontId="35" fillId="0" borderId="0" xfId="0" applyNumberFormat="1" applyFont="1" applyFill="1" applyBorder="1" applyAlignment="1">
      <alignment vertical="center"/>
    </xf>
    <xf numFmtId="0" fontId="27" fillId="0" borderId="0" xfId="0" applyNumberFormat="1" applyFont="1" applyFill="1" applyBorder="1" applyAlignment="1">
      <alignment horizontal="right" vertical="center"/>
    </xf>
    <xf numFmtId="166" fontId="24" fillId="0" borderId="6" xfId="0" applyNumberFormat="1" applyFont="1" applyBorder="1" applyAlignment="1">
      <alignment vertical="center"/>
    </xf>
    <xf numFmtId="166" fontId="24" fillId="0" borderId="3" xfId="0" applyNumberFormat="1" applyFont="1" applyBorder="1" applyAlignment="1">
      <alignment vertical="center"/>
    </xf>
    <xf numFmtId="174" fontId="16" fillId="0" borderId="0" xfId="1" applyFont="1" applyFill="1" applyBorder="1" applyAlignment="1">
      <alignment vertical="center"/>
    </xf>
    <xf numFmtId="0" fontId="14" fillId="0" borderId="0" xfId="0" applyNumberFormat="1" applyFont="1" applyFill="1" applyAlignment="1">
      <alignment vertical="center"/>
    </xf>
    <xf numFmtId="166" fontId="10" fillId="0" borderId="4" xfId="0" applyNumberFormat="1" applyFont="1" applyFill="1" applyBorder="1" applyAlignment="1">
      <alignment vertical="center"/>
    </xf>
    <xf numFmtId="166" fontId="10" fillId="0" borderId="2" xfId="0" applyNumberFormat="1" applyFont="1" applyFill="1" applyBorder="1" applyAlignment="1">
      <alignment vertical="center"/>
    </xf>
    <xf numFmtId="166" fontId="10" fillId="0" borderId="6" xfId="0" applyNumberFormat="1" applyFont="1" applyFill="1" applyBorder="1" applyAlignment="1">
      <alignment vertical="center"/>
    </xf>
    <xf numFmtId="166" fontId="10" fillId="0" borderId="6" xfId="0" applyNumberFormat="1" applyFont="1" applyFill="1" applyBorder="1" applyAlignment="1">
      <alignment horizontal="left" vertical="center" indent="1"/>
    </xf>
    <xf numFmtId="166" fontId="20" fillId="2" borderId="0" xfId="0" applyNumberFormat="1" applyFont="1" applyFill="1" applyBorder="1" applyAlignment="1">
      <alignment vertical="center"/>
    </xf>
    <xf numFmtId="166" fontId="46" fillId="2" borderId="0" xfId="0" applyNumberFormat="1" applyFont="1" applyFill="1" applyBorder="1" applyAlignment="1">
      <alignment vertical="center"/>
    </xf>
    <xf numFmtId="173" fontId="8" fillId="6" borderId="0" xfId="0" applyFont="1" applyFill="1" applyBorder="1">
      <alignment vertical="top"/>
    </xf>
    <xf numFmtId="0" fontId="10" fillId="0" borderId="0" xfId="0" applyNumberFormat="1" applyFont="1" applyAlignment="1">
      <alignment vertical="center"/>
    </xf>
    <xf numFmtId="0" fontId="10" fillId="0" borderId="0" xfId="0" applyNumberFormat="1" applyFont="1">
      <alignment vertical="top"/>
    </xf>
    <xf numFmtId="173" fontId="47" fillId="6" borderId="0" xfId="0" applyFont="1" applyFill="1">
      <alignment vertical="top"/>
    </xf>
    <xf numFmtId="0" fontId="9" fillId="0" borderId="0" xfId="0" applyNumberFormat="1" applyFont="1" applyFill="1" applyAlignment="1">
      <alignment vertical="center"/>
    </xf>
    <xf numFmtId="174" fontId="16" fillId="0" borderId="0" xfId="1" applyFont="1">
      <alignment vertical="top"/>
    </xf>
    <xf numFmtId="173" fontId="48" fillId="20" borderId="0" xfId="0" applyFont="1" applyFill="1">
      <alignment vertical="top"/>
    </xf>
    <xf numFmtId="173" fontId="49" fillId="20" borderId="0" xfId="0" applyFont="1" applyFill="1">
      <alignment vertical="top"/>
    </xf>
    <xf numFmtId="177" fontId="50" fillId="20" borderId="0" xfId="0" applyNumberFormat="1" applyFont="1" applyFill="1" applyAlignment="1">
      <alignment horizontal="right" vertical="top"/>
    </xf>
    <xf numFmtId="173" fontId="51" fillId="20" borderId="0" xfId="0" applyFont="1" applyFill="1">
      <alignment vertical="top"/>
    </xf>
    <xf numFmtId="173" fontId="50" fillId="8" borderId="0" xfId="0" applyFont="1" applyFill="1">
      <alignment vertical="top"/>
    </xf>
    <xf numFmtId="173" fontId="50" fillId="0" borderId="0" xfId="0" applyFont="1">
      <alignment vertical="top"/>
    </xf>
    <xf numFmtId="173" fontId="52" fillId="20" borderId="0" xfId="0" applyFont="1" applyFill="1" applyAlignment="1"/>
    <xf numFmtId="173" fontId="51" fillId="0" borderId="0" xfId="0" applyFont="1">
      <alignment vertical="top"/>
    </xf>
    <xf numFmtId="174" fontId="52" fillId="20" borderId="0" xfId="1" applyFont="1" applyFill="1">
      <alignment vertical="top"/>
    </xf>
    <xf numFmtId="173" fontId="48" fillId="0" borderId="0" xfId="0" applyFont="1">
      <alignment vertical="top"/>
    </xf>
    <xf numFmtId="174" fontId="50" fillId="0" borderId="0" xfId="1" applyFont="1">
      <alignment vertical="top"/>
    </xf>
    <xf numFmtId="173" fontId="49" fillId="0" borderId="0" xfId="0" applyFont="1">
      <alignment vertical="top"/>
    </xf>
    <xf numFmtId="177" fontId="50" fillId="0" borderId="0" xfId="0" applyNumberFormat="1" applyFont="1" applyAlignment="1">
      <alignment horizontal="right" vertical="top"/>
    </xf>
    <xf numFmtId="173" fontId="52" fillId="0" borderId="0" xfId="0" applyFont="1">
      <alignment vertical="top"/>
    </xf>
    <xf numFmtId="173" fontId="52" fillId="17" borderId="0" xfId="0" applyFont="1" applyFill="1">
      <alignment vertical="top"/>
    </xf>
    <xf numFmtId="174" fontId="52" fillId="0" borderId="0" xfId="1" applyFont="1">
      <alignment vertical="top"/>
    </xf>
    <xf numFmtId="173" fontId="52" fillId="0" borderId="0" xfId="0" applyFont="1" applyFill="1">
      <alignment vertical="top"/>
    </xf>
    <xf numFmtId="174" fontId="52" fillId="0" borderId="0" xfId="1" applyFont="1" applyFill="1">
      <alignment vertical="top"/>
    </xf>
    <xf numFmtId="173" fontId="12" fillId="0" borderId="0" xfId="0" applyFont="1" applyFill="1" applyBorder="1" applyAlignment="1">
      <alignment horizontal="center" vertical="top"/>
    </xf>
    <xf numFmtId="0" fontId="21" fillId="0" borderId="0" xfId="0" applyNumberFormat="1" applyFont="1" applyFill="1" applyBorder="1">
      <alignment vertical="top"/>
    </xf>
    <xf numFmtId="0" fontId="29" fillId="0" borderId="0" xfId="0" applyNumberFormat="1" applyFont="1" applyFill="1" applyAlignment="1">
      <alignment vertical="center"/>
    </xf>
    <xf numFmtId="173" fontId="42" fillId="0" borderId="0" xfId="0" applyFont="1" applyFill="1">
      <alignment vertical="top"/>
    </xf>
    <xf numFmtId="173" fontId="53" fillId="0" borderId="0" xfId="0" applyFont="1" applyFill="1" applyBorder="1" applyAlignment="1">
      <alignment horizontal="right" vertical="center"/>
    </xf>
    <xf numFmtId="173" fontId="53" fillId="0" borderId="0" xfId="0" applyFont="1" applyFill="1" applyBorder="1" applyAlignment="1">
      <alignment vertical="center"/>
    </xf>
    <xf numFmtId="174" fontId="53" fillId="0" borderId="0" xfId="1" applyFont="1" applyFill="1">
      <alignment vertical="top"/>
    </xf>
    <xf numFmtId="174" fontId="53" fillId="0" borderId="0" xfId="1" applyFont="1" applyFill="1" applyBorder="1">
      <alignment vertical="top"/>
    </xf>
    <xf numFmtId="173" fontId="53" fillId="0" borderId="0" xfId="0" applyFont="1" applyFill="1" applyAlignment="1">
      <alignment vertical="center"/>
    </xf>
    <xf numFmtId="173" fontId="53" fillId="0" borderId="0" xfId="0" applyFont="1" applyFill="1" applyAlignment="1">
      <alignment horizontal="right" vertical="top"/>
    </xf>
    <xf numFmtId="173" fontId="53" fillId="0" borderId="0" xfId="0" applyFont="1" applyFill="1" applyBorder="1" applyAlignment="1">
      <alignment horizontal="left" vertical="center"/>
    </xf>
    <xf numFmtId="166" fontId="53" fillId="0" borderId="0" xfId="0" applyNumberFormat="1" applyFont="1" applyFill="1" applyBorder="1" applyAlignment="1">
      <alignment horizontal="left" vertical="center"/>
    </xf>
    <xf numFmtId="166" fontId="53" fillId="0" borderId="0" xfId="0" applyNumberFormat="1" applyFont="1" applyFill="1" applyBorder="1">
      <alignment vertical="top"/>
    </xf>
    <xf numFmtId="173" fontId="53" fillId="0" borderId="0" xfId="0" applyFont="1" applyFill="1" applyBorder="1" applyAlignment="1">
      <alignment horizontal="right" vertical="top"/>
    </xf>
    <xf numFmtId="173" fontId="54" fillId="0" borderId="0" xfId="0" applyFont="1" applyBorder="1">
      <alignment vertical="top"/>
    </xf>
    <xf numFmtId="173" fontId="42" fillId="0" borderId="0" xfId="0" applyFont="1" applyFill="1" applyBorder="1" applyAlignment="1">
      <alignment horizontal="right" vertical="top"/>
    </xf>
    <xf numFmtId="173" fontId="42" fillId="0" borderId="0" xfId="0" applyFont="1" applyFill="1" applyBorder="1">
      <alignment vertical="top"/>
    </xf>
    <xf numFmtId="173" fontId="42" fillId="0" borderId="0" xfId="0" applyFont="1">
      <alignment vertical="top"/>
    </xf>
    <xf numFmtId="173" fontId="42" fillId="0" borderId="0" xfId="0" applyFont="1" applyAlignment="1">
      <alignment vertical="center"/>
    </xf>
    <xf numFmtId="167" fontId="42" fillId="0" borderId="0" xfId="0" applyNumberFormat="1" applyFont="1" applyFill="1" applyBorder="1" applyAlignment="1">
      <alignment horizontal="right" vertical="center"/>
    </xf>
    <xf numFmtId="173" fontId="42" fillId="0" borderId="0" xfId="0" applyFont="1" applyFill="1" applyBorder="1" applyAlignment="1">
      <alignment vertical="center"/>
    </xf>
    <xf numFmtId="166" fontId="42" fillId="0" borderId="0" xfId="0" applyNumberFormat="1" applyFont="1" applyFill="1" applyBorder="1" applyAlignment="1">
      <alignment horizontal="left" vertical="center"/>
    </xf>
    <xf numFmtId="9" fontId="42" fillId="0" borderId="0" xfId="0" applyNumberFormat="1" applyFont="1" applyFill="1" applyBorder="1" applyAlignment="1">
      <alignment vertical="center"/>
    </xf>
    <xf numFmtId="166" fontId="42" fillId="0" borderId="0" xfId="0" applyNumberFormat="1" applyFont="1" applyFill="1" applyBorder="1" applyAlignment="1">
      <alignment vertical="center"/>
    </xf>
    <xf numFmtId="166" fontId="42" fillId="0" borderId="0" xfId="0" applyNumberFormat="1" applyFont="1" applyFill="1" applyBorder="1">
      <alignment vertical="top"/>
    </xf>
    <xf numFmtId="173" fontId="42" fillId="0" borderId="0" xfId="0" applyFont="1" applyFill="1" applyAlignment="1">
      <alignment vertical="center"/>
    </xf>
    <xf numFmtId="173" fontId="42" fillId="0" borderId="0" xfId="0" applyFont="1" applyBorder="1" applyAlignment="1">
      <alignment vertical="center"/>
    </xf>
    <xf numFmtId="173" fontId="42" fillId="0" borderId="0" xfId="0" applyFont="1" applyBorder="1">
      <alignment vertical="top"/>
    </xf>
    <xf numFmtId="173" fontId="42" fillId="0" borderId="11" xfId="0" applyFont="1" applyBorder="1" applyAlignment="1">
      <alignment vertical="center"/>
    </xf>
    <xf numFmtId="167" fontId="42" fillId="0" borderId="11" xfId="0" applyNumberFormat="1" applyFont="1" applyFill="1" applyBorder="1" applyAlignment="1">
      <alignment horizontal="right" vertical="center"/>
    </xf>
    <xf numFmtId="166" fontId="42" fillId="0" borderId="11" xfId="0" applyNumberFormat="1" applyFont="1" applyFill="1" applyBorder="1">
      <alignment vertical="top"/>
    </xf>
    <xf numFmtId="173" fontId="42" fillId="0" borderId="11" xfId="0" applyFont="1" applyBorder="1">
      <alignment vertical="top"/>
    </xf>
    <xf numFmtId="9" fontId="42" fillId="0" borderId="11" xfId="0" applyNumberFormat="1" applyFont="1" applyFill="1" applyBorder="1" applyAlignment="1">
      <alignment vertical="center"/>
    </xf>
    <xf numFmtId="173" fontId="42" fillId="0" borderId="11" xfId="0" applyFont="1" applyFill="1" applyBorder="1">
      <alignment vertical="top"/>
    </xf>
    <xf numFmtId="173" fontId="42" fillId="0" borderId="12" xfId="0" applyFont="1" applyBorder="1" applyAlignment="1">
      <alignment vertical="center"/>
    </xf>
    <xf numFmtId="167" fontId="42" fillId="0" borderId="12" xfId="0" applyNumberFormat="1" applyFont="1" applyFill="1" applyBorder="1" applyAlignment="1">
      <alignment horizontal="right" vertical="center"/>
    </xf>
    <xf numFmtId="173" fontId="42" fillId="0" borderId="12" xfId="0" applyFont="1" applyFill="1" applyBorder="1">
      <alignment vertical="top"/>
    </xf>
    <xf numFmtId="173" fontId="42" fillId="15" borderId="12" xfId="0" applyFont="1" applyFill="1" applyBorder="1">
      <alignment vertical="top"/>
    </xf>
    <xf numFmtId="173" fontId="42" fillId="0" borderId="12" xfId="0" applyFont="1" applyBorder="1">
      <alignment vertical="top"/>
    </xf>
    <xf numFmtId="173" fontId="10" fillId="15" borderId="0" xfId="0" applyFont="1" applyFill="1" applyBorder="1">
      <alignment vertical="top"/>
    </xf>
    <xf numFmtId="0" fontId="24" fillId="0" borderId="0" xfId="0" applyNumberFormat="1" applyFont="1" applyFill="1" applyAlignment="1">
      <alignment vertical="center"/>
    </xf>
    <xf numFmtId="0" fontId="21" fillId="0" borderId="0" xfId="0" applyNumberFormat="1" applyFont="1">
      <alignment vertical="top"/>
    </xf>
    <xf numFmtId="0" fontId="39" fillId="0" borderId="0" xfId="0" applyNumberFormat="1" applyFont="1">
      <alignment vertical="top"/>
    </xf>
    <xf numFmtId="0" fontId="12" fillId="0" borderId="0" xfId="0" applyNumberFormat="1" applyFont="1" applyAlignment="1">
      <alignment horizontal="right" vertical="top"/>
    </xf>
    <xf numFmtId="0" fontId="2" fillId="0" borderId="0" xfId="0" applyNumberFormat="1" applyFont="1">
      <alignment vertical="top"/>
    </xf>
    <xf numFmtId="0" fontId="21" fillId="0" borderId="0" xfId="0" applyNumberFormat="1" applyFont="1" applyBorder="1" applyAlignment="1">
      <alignment horizontal="right"/>
    </xf>
    <xf numFmtId="173" fontId="17" fillId="0" borderId="0" xfId="0" applyFont="1" applyFill="1">
      <alignment vertical="top"/>
    </xf>
    <xf numFmtId="173" fontId="7" fillId="0" borderId="0" xfId="0" applyFont="1" applyFill="1" applyBorder="1">
      <alignment vertical="top"/>
    </xf>
    <xf numFmtId="173" fontId="17" fillId="0" borderId="0" xfId="0" applyFont="1" applyFill="1" applyAlignment="1">
      <alignment horizontal="right" vertical="top"/>
    </xf>
    <xf numFmtId="9" fontId="10" fillId="0" borderId="0" xfId="0" applyNumberFormat="1" applyFont="1" applyFill="1">
      <alignment vertical="top"/>
    </xf>
    <xf numFmtId="174" fontId="24" fillId="0" borderId="0" xfId="1" applyFont="1" applyFill="1" applyBorder="1" applyAlignment="1">
      <alignment horizontal="right" vertical="top"/>
    </xf>
    <xf numFmtId="180" fontId="10" fillId="0" borderId="0" xfId="0" applyNumberFormat="1" applyFont="1">
      <alignment vertical="top"/>
    </xf>
    <xf numFmtId="173" fontId="10" fillId="19" borderId="0" xfId="0" applyFont="1" applyFill="1">
      <alignment vertical="top"/>
    </xf>
    <xf numFmtId="173" fontId="10" fillId="22" borderId="0" xfId="0" applyFont="1" applyFill="1">
      <alignment vertical="top"/>
    </xf>
    <xf numFmtId="173" fontId="14" fillId="22" borderId="0" xfId="0" applyFont="1" applyFill="1" applyBorder="1">
      <alignment vertical="top"/>
    </xf>
    <xf numFmtId="173" fontId="30" fillId="0" borderId="9" xfId="0" applyFont="1" applyBorder="1" applyAlignment="1">
      <alignment vertical="center"/>
    </xf>
    <xf numFmtId="173" fontId="16" fillId="0" borderId="9" xfId="0" applyFont="1" applyBorder="1" applyAlignment="1">
      <alignment horizontal="left" vertical="center"/>
    </xf>
    <xf numFmtId="173" fontId="10" fillId="0" borderId="9" xfId="0" applyFont="1" applyBorder="1" applyAlignment="1">
      <alignment vertical="center"/>
    </xf>
    <xf numFmtId="173" fontId="10" fillId="0" borderId="9" xfId="0" applyFont="1" applyFill="1" applyBorder="1" applyAlignment="1">
      <alignment horizontal="left" vertical="center"/>
    </xf>
    <xf numFmtId="173" fontId="30" fillId="0" borderId="9" xfId="0" applyFont="1" applyBorder="1">
      <alignment vertical="top"/>
    </xf>
    <xf numFmtId="173" fontId="16" fillId="0" borderId="9" xfId="0" applyFont="1" applyFill="1" applyBorder="1" applyAlignment="1">
      <alignment horizontal="left" vertical="center"/>
    </xf>
    <xf numFmtId="174" fontId="16" fillId="0" borderId="0" xfId="1" applyFont="1" applyFill="1">
      <alignment vertical="top"/>
    </xf>
    <xf numFmtId="9" fontId="27" fillId="0" borderId="0" xfId="0" applyNumberFormat="1" applyFont="1" applyFill="1" applyAlignment="1">
      <alignment vertical="center"/>
    </xf>
    <xf numFmtId="173" fontId="40" fillId="0" borderId="0" xfId="0" applyFont="1" applyFill="1" applyBorder="1" applyAlignment="1">
      <alignment vertical="center"/>
    </xf>
    <xf numFmtId="173" fontId="44" fillId="0" borderId="0" xfId="0" applyFont="1" applyFill="1" applyBorder="1" applyAlignment="1">
      <alignment vertical="center"/>
    </xf>
    <xf numFmtId="174" fontId="27" fillId="0" borderId="0" xfId="1" applyFont="1" applyFill="1" applyAlignment="1">
      <alignment horizontal="right" vertical="top"/>
    </xf>
    <xf numFmtId="0" fontId="14" fillId="0" borderId="0" xfId="0" applyNumberFormat="1" applyFont="1" applyFill="1" applyAlignment="1">
      <alignment horizontal="center" vertical="center"/>
    </xf>
    <xf numFmtId="173" fontId="51" fillId="0" borderId="0" xfId="0" applyFont="1" applyAlignment="1">
      <alignment horizontal="center" vertical="top"/>
    </xf>
    <xf numFmtId="173" fontId="51" fillId="20" borderId="0" xfId="0" applyFont="1" applyFill="1" applyAlignment="1">
      <alignment horizontal="center" vertical="top"/>
    </xf>
    <xf numFmtId="173" fontId="47" fillId="6" borderId="0" xfId="0" applyFont="1" applyFill="1" applyAlignment="1">
      <alignment horizontal="center" vertical="top"/>
    </xf>
    <xf numFmtId="173" fontId="50" fillId="8" borderId="0" xfId="0" applyFont="1" applyFill="1" applyAlignment="1">
      <alignment horizontal="center" vertical="top"/>
    </xf>
    <xf numFmtId="173" fontId="41" fillId="8" borderId="0" xfId="0" applyFont="1" applyFill="1" applyBorder="1" applyAlignment="1">
      <alignment horizontal="center" vertical="top"/>
    </xf>
    <xf numFmtId="173" fontId="50" fillId="8" borderId="13" xfId="0" applyFont="1" applyFill="1" applyBorder="1" applyAlignment="1">
      <alignment horizontal="center" vertical="top"/>
    </xf>
    <xf numFmtId="173" fontId="10" fillId="23" borderId="0" xfId="0" applyFont="1" applyFill="1">
      <alignment vertical="top"/>
    </xf>
    <xf numFmtId="173" fontId="7" fillId="23" borderId="0" xfId="0" applyFont="1" applyFill="1" applyBorder="1" applyAlignment="1">
      <alignment horizontal="centerContinuous" vertical="top"/>
    </xf>
    <xf numFmtId="173" fontId="26" fillId="0" borderId="0" xfId="0" applyFont="1" applyFill="1">
      <alignment vertical="top"/>
    </xf>
    <xf numFmtId="180" fontId="10" fillId="16" borderId="0" xfId="0" applyNumberFormat="1" applyFont="1" applyFill="1">
      <alignment vertical="top"/>
    </xf>
    <xf numFmtId="180" fontId="10" fillId="19" borderId="0" xfId="0" applyNumberFormat="1" applyFont="1" applyFill="1">
      <alignment vertical="top"/>
    </xf>
    <xf numFmtId="178" fontId="10" fillId="24" borderId="0" xfId="1" applyNumberFormat="1" applyFont="1" applyFill="1">
      <alignment vertical="top"/>
    </xf>
    <xf numFmtId="173" fontId="10" fillId="24" borderId="0" xfId="0" applyFont="1" applyFill="1">
      <alignment vertical="top"/>
    </xf>
    <xf numFmtId="180" fontId="10" fillId="24" borderId="0" xfId="1" applyNumberFormat="1" applyFont="1" applyFill="1">
      <alignment vertical="top"/>
    </xf>
    <xf numFmtId="173" fontId="10" fillId="16" borderId="0" xfId="0" applyFont="1" applyFill="1" applyAlignment="1">
      <alignment horizontal="right" vertical="top"/>
    </xf>
    <xf numFmtId="173" fontId="33" fillId="0" borderId="0" xfId="0" applyFont="1" applyFill="1" applyBorder="1">
      <alignment vertical="top"/>
    </xf>
    <xf numFmtId="183" fontId="14" fillId="22" borderId="0" xfId="0" applyNumberFormat="1" applyFont="1" applyFill="1">
      <alignment vertical="top"/>
    </xf>
    <xf numFmtId="173" fontId="30" fillId="0" borderId="14" xfId="0" applyFont="1" applyFill="1" applyBorder="1" applyAlignment="1">
      <alignment vertical="center"/>
    </xf>
    <xf numFmtId="173" fontId="15" fillId="0" borderId="14" xfId="0" applyFont="1" applyFill="1" applyBorder="1" applyAlignment="1">
      <alignment vertical="center"/>
    </xf>
    <xf numFmtId="173" fontId="10" fillId="0" borderId="14" xfId="0" applyFont="1" applyFill="1" applyBorder="1" applyAlignment="1">
      <alignment horizontal="right" vertical="center"/>
    </xf>
    <xf numFmtId="173" fontId="10" fillId="0" borderId="14" xfId="0" applyFont="1" applyFill="1" applyBorder="1">
      <alignment vertical="top"/>
    </xf>
    <xf numFmtId="173" fontId="10" fillId="0" borderId="14" xfId="0" applyFont="1" applyFill="1" applyBorder="1" applyAlignment="1">
      <alignment vertical="center"/>
    </xf>
    <xf numFmtId="173" fontId="10" fillId="0" borderId="14" xfId="0" applyFont="1" applyFill="1" applyBorder="1" applyAlignment="1">
      <alignment horizontal="left" vertical="center"/>
    </xf>
    <xf numFmtId="173" fontId="10" fillId="0" borderId="14" xfId="0" applyFont="1" applyBorder="1">
      <alignment vertical="top"/>
    </xf>
    <xf numFmtId="179" fontId="30" fillId="0" borderId="0" xfId="0" applyNumberFormat="1" applyFont="1">
      <alignment vertical="top"/>
    </xf>
    <xf numFmtId="179" fontId="10" fillId="0" borderId="0" xfId="0" applyNumberFormat="1" applyFont="1" applyBorder="1">
      <alignment vertical="top"/>
    </xf>
    <xf numFmtId="179" fontId="14" fillId="0" borderId="0" xfId="0" applyNumberFormat="1" applyFont="1" applyFill="1" applyBorder="1">
      <alignment vertical="top"/>
    </xf>
    <xf numFmtId="179" fontId="10" fillId="0" borderId="0" xfId="0" applyNumberFormat="1" applyFont="1">
      <alignment vertical="top"/>
    </xf>
    <xf numFmtId="173" fontId="53" fillId="0" borderId="0" xfId="0" applyFont="1" applyFill="1" applyBorder="1">
      <alignment vertical="top"/>
    </xf>
    <xf numFmtId="174" fontId="27" fillId="7" borderId="0" xfId="1" applyFont="1" applyFill="1" applyBorder="1">
      <alignment vertical="top"/>
    </xf>
    <xf numFmtId="175" fontId="27" fillId="0" borderId="0" xfId="0" applyNumberFormat="1" applyFont="1" applyFill="1" applyBorder="1">
      <alignment vertical="top"/>
    </xf>
    <xf numFmtId="173" fontId="30" fillId="0" borderId="14" xfId="0" applyFont="1" applyBorder="1" applyAlignment="1">
      <alignment vertical="center"/>
    </xf>
    <xf numFmtId="173" fontId="10" fillId="0" borderId="14" xfId="0" applyFont="1" applyBorder="1" applyAlignment="1">
      <alignment vertical="center"/>
    </xf>
    <xf numFmtId="173" fontId="10" fillId="0" borderId="14" xfId="0" applyFont="1" applyBorder="1" applyAlignment="1">
      <alignment horizontal="right" vertical="center"/>
    </xf>
    <xf numFmtId="173" fontId="27" fillId="0" borderId="14" xfId="0" applyFont="1" applyBorder="1" applyAlignment="1">
      <alignment vertical="center"/>
    </xf>
    <xf numFmtId="173" fontId="35" fillId="0" borderId="14" xfId="0" applyFont="1" applyFill="1" applyBorder="1" applyAlignment="1">
      <alignment vertical="center"/>
    </xf>
    <xf numFmtId="173" fontId="27" fillId="0" borderId="14" xfId="0" applyFont="1" applyFill="1" applyBorder="1" applyAlignment="1">
      <alignment horizontal="right" vertical="center"/>
    </xf>
    <xf numFmtId="173" fontId="27" fillId="0" borderId="14" xfId="0" applyFont="1" applyFill="1" applyBorder="1">
      <alignment vertical="top"/>
    </xf>
    <xf numFmtId="173" fontId="27" fillId="0" borderId="14" xfId="0" applyFont="1" applyFill="1" applyBorder="1" applyAlignment="1">
      <alignment vertical="center"/>
    </xf>
    <xf numFmtId="173" fontId="27" fillId="0" borderId="14" xfId="0" applyFont="1" applyBorder="1" applyAlignment="1">
      <alignment horizontal="right" vertical="center"/>
    </xf>
    <xf numFmtId="173" fontId="30" fillId="0" borderId="14" xfId="0" applyFont="1" applyFill="1" applyBorder="1">
      <alignment vertical="top"/>
    </xf>
    <xf numFmtId="173" fontId="15" fillId="0" borderId="14" xfId="0" applyFont="1" applyFill="1" applyBorder="1">
      <alignment vertical="top"/>
    </xf>
    <xf numFmtId="173" fontId="10" fillId="0" borderId="14" xfId="0" applyFont="1" applyFill="1" applyBorder="1" applyAlignment="1">
      <alignment horizontal="right" vertical="top"/>
    </xf>
    <xf numFmtId="173" fontId="10" fillId="0" borderId="14" xfId="0" applyFont="1" applyBorder="1" applyAlignment="1">
      <alignment horizontal="right" vertical="top"/>
    </xf>
    <xf numFmtId="173" fontId="42" fillId="0" borderId="0" xfId="0" applyFont="1" applyFill="1" applyAlignment="1">
      <alignment horizontal="right" vertical="top"/>
    </xf>
    <xf numFmtId="173" fontId="10" fillId="25" borderId="0" xfId="0" applyFont="1" applyFill="1">
      <alignment vertical="top"/>
    </xf>
    <xf numFmtId="167" fontId="10" fillId="0" borderId="14" xfId="0" applyNumberFormat="1" applyFont="1" applyFill="1" applyBorder="1" applyAlignment="1">
      <alignment horizontal="right" vertical="center"/>
    </xf>
    <xf numFmtId="174" fontId="27" fillId="0" borderId="0" xfId="1" applyFont="1" applyFill="1" applyBorder="1">
      <alignment vertical="top"/>
    </xf>
    <xf numFmtId="173" fontId="30" fillId="0" borderId="14" xfId="0" applyFont="1" applyBorder="1">
      <alignment vertical="top"/>
    </xf>
    <xf numFmtId="173" fontId="14" fillId="0" borderId="14" xfId="0" applyFont="1" applyFill="1" applyBorder="1">
      <alignment vertical="top"/>
    </xf>
    <xf numFmtId="173" fontId="42" fillId="0" borderId="0" xfId="0" applyFont="1" applyFill="1" applyAlignment="1">
      <alignment horizontal="right" vertical="center"/>
    </xf>
    <xf numFmtId="174" fontId="42" fillId="0" borderId="0" xfId="1" applyFont="1">
      <alignment vertical="top"/>
    </xf>
    <xf numFmtId="174" fontId="42" fillId="0" borderId="0" xfId="1" applyFont="1" applyFill="1" applyBorder="1">
      <alignment vertical="top"/>
    </xf>
    <xf numFmtId="173" fontId="10" fillId="7" borderId="14" xfId="0" applyFont="1" applyFill="1" applyBorder="1">
      <alignment vertical="top"/>
    </xf>
    <xf numFmtId="173" fontId="35" fillId="0" borderId="14" xfId="0" applyFont="1" applyFill="1" applyBorder="1">
      <alignment vertical="top"/>
    </xf>
    <xf numFmtId="173" fontId="27" fillId="0" borderId="14" xfId="0" applyFont="1" applyFill="1" applyBorder="1" applyAlignment="1">
      <alignment horizontal="right" vertical="top"/>
    </xf>
    <xf numFmtId="173" fontId="27" fillId="0" borderId="14" xfId="0" applyFont="1" applyBorder="1">
      <alignment vertical="top"/>
    </xf>
    <xf numFmtId="173" fontId="14" fillId="0" borderId="14" xfId="0" applyFont="1" applyBorder="1" applyAlignment="1">
      <alignment vertical="center"/>
    </xf>
    <xf numFmtId="173" fontId="27" fillId="0" borderId="14" xfId="0" applyFont="1" applyBorder="1" applyAlignment="1">
      <alignment horizontal="right" vertical="top"/>
    </xf>
    <xf numFmtId="174" fontId="10" fillId="0" borderId="0" xfId="1" applyFont="1" applyBorder="1">
      <alignment vertical="top"/>
    </xf>
    <xf numFmtId="174" fontId="27" fillId="0" borderId="14" xfId="1" applyFont="1" applyFill="1" applyBorder="1" applyAlignment="1">
      <alignment horizontal="right" vertical="top"/>
    </xf>
    <xf numFmtId="9" fontId="27" fillId="0" borderId="14" xfId="0" applyNumberFormat="1" applyFont="1" applyFill="1" applyBorder="1" applyAlignment="1">
      <alignment vertical="center"/>
    </xf>
    <xf numFmtId="174" fontId="10" fillId="0" borderId="14" xfId="1" applyFont="1" applyFill="1" applyBorder="1" applyAlignment="1">
      <alignment vertical="center"/>
    </xf>
    <xf numFmtId="174" fontId="27" fillId="0" borderId="14" xfId="1" applyFont="1" applyFill="1" applyBorder="1" applyAlignment="1">
      <alignment vertical="center"/>
    </xf>
    <xf numFmtId="173" fontId="9" fillId="0" borderId="14" xfId="0" applyFont="1" applyFill="1" applyBorder="1">
      <alignment vertical="top"/>
    </xf>
    <xf numFmtId="173" fontId="9" fillId="0" borderId="14" xfId="0" applyFont="1" applyFill="1" applyBorder="1" applyAlignment="1">
      <alignment horizontal="right" vertical="top"/>
    </xf>
    <xf numFmtId="184" fontId="10" fillId="5" borderId="0" xfId="1" applyNumberFormat="1" applyFont="1" applyFill="1" applyBorder="1" applyAlignment="1">
      <alignment horizontal="right" vertical="top"/>
    </xf>
    <xf numFmtId="184" fontId="24" fillId="0" borderId="0" xfId="1" applyNumberFormat="1" applyFont="1">
      <alignment vertical="top"/>
    </xf>
    <xf numFmtId="173" fontId="57" fillId="0" borderId="0" xfId="0" applyFont="1">
      <alignment vertical="top"/>
    </xf>
    <xf numFmtId="175" fontId="14" fillId="22" borderId="0" xfId="0" applyNumberFormat="1" applyFont="1" applyFill="1" applyBorder="1">
      <alignment vertical="top"/>
    </xf>
    <xf numFmtId="173" fontId="53" fillId="0" borderId="0" xfId="0" applyFont="1" applyFill="1">
      <alignment vertical="top"/>
    </xf>
    <xf numFmtId="173" fontId="24" fillId="0" borderId="0" xfId="0" applyFont="1" applyFill="1" applyAlignment="1">
      <alignment horizontal="right" vertical="top"/>
    </xf>
    <xf numFmtId="174" fontId="53" fillId="0" borderId="0" xfId="1" applyFont="1" applyFill="1" applyBorder="1" applyAlignment="1">
      <alignment horizontal="right" vertical="top"/>
    </xf>
    <xf numFmtId="173" fontId="42" fillId="0" borderId="0" xfId="0" applyFont="1" applyFill="1" applyBorder="1" applyAlignment="1">
      <alignment horizontal="right" vertical="center"/>
    </xf>
    <xf numFmtId="174" fontId="31" fillId="0" borderId="0" xfId="1" applyFont="1" applyFill="1" applyBorder="1" applyAlignment="1">
      <alignment vertical="center"/>
    </xf>
    <xf numFmtId="173" fontId="35" fillId="0" borderId="0" xfId="0" applyFont="1" applyFill="1" applyBorder="1" applyAlignment="1">
      <alignment vertical="center"/>
    </xf>
    <xf numFmtId="173" fontId="27" fillId="0" borderId="0" xfId="0" applyFont="1" applyBorder="1">
      <alignment vertical="top"/>
    </xf>
    <xf numFmtId="173" fontId="12" fillId="0" borderId="0" xfId="0" applyFont="1" applyFill="1" applyBorder="1" applyAlignment="1">
      <alignment horizontal="left" vertical="top"/>
    </xf>
    <xf numFmtId="173" fontId="24" fillId="0" borderId="0" xfId="0" applyFont="1" applyFill="1" applyBorder="1" applyAlignment="1">
      <alignment horizontal="right" vertical="top"/>
    </xf>
    <xf numFmtId="173" fontId="10" fillId="0" borderId="0" xfId="0" applyFont="1" applyAlignment="1">
      <alignment vertical="top" wrapText="1"/>
    </xf>
    <xf numFmtId="173" fontId="10" fillId="15" borderId="0" xfId="0" applyFont="1" applyFill="1">
      <alignment vertical="top"/>
    </xf>
    <xf numFmtId="173" fontId="1" fillId="0" borderId="0" xfId="0" applyFont="1" applyFill="1" applyBorder="1">
      <alignment vertical="top"/>
    </xf>
    <xf numFmtId="173" fontId="1" fillId="0" borderId="0" xfId="0" applyFont="1">
      <alignment vertical="top"/>
    </xf>
    <xf numFmtId="173" fontId="62" fillId="0" borderId="0" xfId="0" applyFont="1" applyFill="1">
      <alignment vertical="top"/>
    </xf>
    <xf numFmtId="173" fontId="5" fillId="0" borderId="0" xfId="0" applyFont="1" applyFill="1" applyAlignment="1">
      <alignment horizontal="left" vertical="top"/>
    </xf>
    <xf numFmtId="173" fontId="1" fillId="0" borderId="0" xfId="0" applyFont="1" applyFill="1" applyBorder="1" applyAlignment="1">
      <alignment horizontal="right" vertical="top"/>
    </xf>
    <xf numFmtId="173" fontId="12" fillId="8" borderId="0" xfId="0" applyFont="1" applyFill="1" applyBorder="1" applyAlignment="1">
      <alignment horizontal="right" vertical="top"/>
    </xf>
    <xf numFmtId="173" fontId="24" fillId="0" borderId="0" xfId="0" applyFont="1" applyBorder="1" applyAlignment="1">
      <alignment horizontal="right" vertical="top" wrapText="1"/>
    </xf>
    <xf numFmtId="167" fontId="32" fillId="0" borderId="10" xfId="0" applyNumberFormat="1" applyFont="1" applyFill="1" applyBorder="1" applyAlignment="1">
      <alignment horizontal="right" vertical="center"/>
    </xf>
    <xf numFmtId="167" fontId="32" fillId="7" borderId="0" xfId="0" applyNumberFormat="1" applyFont="1" applyFill="1" applyBorder="1" applyAlignment="1">
      <alignment horizontal="right" vertical="center"/>
    </xf>
    <xf numFmtId="0" fontId="14" fillId="0" borderId="9" xfId="0" applyNumberFormat="1" applyFont="1" applyFill="1" applyBorder="1" applyAlignment="1">
      <alignment horizontal="right" vertical="center"/>
    </xf>
    <xf numFmtId="173" fontId="14" fillId="0" borderId="9" xfId="0" applyFont="1" applyFill="1" applyBorder="1" applyAlignment="1">
      <alignment horizontal="right" vertical="top"/>
    </xf>
    <xf numFmtId="174" fontId="14" fillId="0" borderId="9" xfId="1" applyFont="1" applyFill="1" applyBorder="1" applyAlignment="1">
      <alignment horizontal="right" vertical="top"/>
    </xf>
    <xf numFmtId="174" fontId="14" fillId="0" borderId="0" xfId="1" applyFont="1" applyFill="1" applyBorder="1" applyAlignment="1">
      <alignment horizontal="right" vertical="top"/>
    </xf>
    <xf numFmtId="9" fontId="14" fillId="0" borderId="0" xfId="0" applyNumberFormat="1" applyFont="1" applyFill="1" applyBorder="1" applyAlignment="1">
      <alignment horizontal="right" vertical="center"/>
    </xf>
    <xf numFmtId="179" fontId="14" fillId="0" borderId="0" xfId="0" applyNumberFormat="1" applyFont="1" applyFill="1" applyBorder="1" applyAlignment="1">
      <alignment horizontal="right" vertical="top"/>
    </xf>
    <xf numFmtId="174" fontId="14" fillId="0" borderId="9" xfId="1" applyFont="1" applyFill="1" applyBorder="1" applyAlignment="1">
      <alignment horizontal="right" vertical="center"/>
    </xf>
    <xf numFmtId="174" fontId="14" fillId="0" borderId="0" xfId="1" applyFont="1" applyFill="1" applyBorder="1" applyAlignment="1">
      <alignment horizontal="right" vertical="center"/>
    </xf>
    <xf numFmtId="173" fontId="16" fillId="0" borderId="0" xfId="0" applyFont="1" applyFill="1" applyBorder="1" applyAlignment="1">
      <alignment horizontal="right" vertical="center"/>
    </xf>
    <xf numFmtId="174" fontId="10" fillId="7" borderId="0" xfId="1" applyFont="1" applyFill="1" applyAlignment="1">
      <alignment horizontal="right" vertical="top"/>
    </xf>
    <xf numFmtId="173" fontId="36" fillId="0" borderId="0" xfId="0" applyFont="1" applyFill="1" applyBorder="1" applyAlignment="1">
      <alignment horizontal="right" vertical="center"/>
    </xf>
    <xf numFmtId="173" fontId="16" fillId="0" borderId="0" xfId="0" applyFont="1" applyFill="1" applyAlignment="1">
      <alignment horizontal="right" vertical="center"/>
    </xf>
    <xf numFmtId="174" fontId="53" fillId="0" borderId="0" xfId="1" applyFont="1" applyFill="1" applyAlignment="1">
      <alignment horizontal="right" vertical="top"/>
    </xf>
    <xf numFmtId="174" fontId="24" fillId="0" borderId="0" xfId="1" applyFont="1" applyFill="1" applyAlignment="1">
      <alignment horizontal="right" vertical="top"/>
    </xf>
    <xf numFmtId="176" fontId="12" fillId="0" borderId="0" xfId="0" applyNumberFormat="1" applyFont="1" applyFill="1" applyAlignment="1">
      <alignment horizontal="right" vertical="top"/>
    </xf>
    <xf numFmtId="176" fontId="58" fillId="0" borderId="0" xfId="0" applyNumberFormat="1" applyFont="1" applyFill="1" applyBorder="1" applyAlignment="1">
      <alignment horizontal="right" vertical="top"/>
    </xf>
    <xf numFmtId="173" fontId="14" fillId="7" borderId="0" xfId="0" applyFont="1" applyFill="1" applyAlignment="1">
      <alignment horizontal="right" vertical="top"/>
    </xf>
    <xf numFmtId="173" fontId="16" fillId="0" borderId="14" xfId="0" applyFont="1" applyFill="1" applyBorder="1" applyAlignment="1">
      <alignment horizontal="right" vertical="center"/>
    </xf>
    <xf numFmtId="173" fontId="31" fillId="0" borderId="14" xfId="0" applyFont="1" applyFill="1" applyBorder="1" applyAlignment="1">
      <alignment horizontal="right" vertical="center"/>
    </xf>
    <xf numFmtId="173" fontId="53" fillId="0" borderId="0" xfId="0" applyFont="1" applyFill="1" applyAlignment="1">
      <alignment horizontal="right" vertical="center"/>
    </xf>
    <xf numFmtId="174" fontId="42" fillId="0" borderId="0" xfId="1" applyFont="1" applyFill="1" applyBorder="1" applyAlignment="1">
      <alignment horizontal="right" vertical="top"/>
    </xf>
    <xf numFmtId="174" fontId="27" fillId="0" borderId="0" xfId="1" applyFont="1" applyFill="1" applyBorder="1" applyAlignment="1">
      <alignment horizontal="right" vertical="top"/>
    </xf>
    <xf numFmtId="173" fontId="14" fillId="0" borderId="14" xfId="0" applyFont="1" applyFill="1" applyBorder="1" applyAlignment="1">
      <alignment horizontal="right" vertical="top"/>
    </xf>
    <xf numFmtId="0" fontId="14" fillId="0" borderId="0" xfId="1" applyNumberFormat="1" applyFont="1" applyFill="1" applyBorder="1" applyAlignment="1">
      <alignment horizontal="right" vertical="top"/>
    </xf>
    <xf numFmtId="173" fontId="14" fillId="0" borderId="0" xfId="0" applyFont="1" applyAlignment="1">
      <alignment horizontal="right" vertical="top"/>
    </xf>
    <xf numFmtId="173" fontId="10" fillId="0" borderId="0" xfId="0" applyFont="1" applyFill="1" applyAlignment="1">
      <alignment horizontal="right" vertical="center" indent="1"/>
    </xf>
    <xf numFmtId="173" fontId="32" fillId="0" borderId="0" xfId="0" applyFont="1" applyFill="1" applyBorder="1" applyAlignment="1">
      <alignment horizontal="right" vertical="center"/>
    </xf>
    <xf numFmtId="166" fontId="10" fillId="0" borderId="0" xfId="0" applyNumberFormat="1" applyFont="1" applyFill="1" applyBorder="1" applyAlignment="1">
      <alignment horizontal="right" vertical="center" indent="1"/>
    </xf>
    <xf numFmtId="166" fontId="24" fillId="0" borderId="0" xfId="0" applyNumberFormat="1" applyFont="1" applyFill="1" applyBorder="1" applyAlignment="1">
      <alignment horizontal="right" vertical="center"/>
    </xf>
    <xf numFmtId="166" fontId="53" fillId="0" borderId="0" xfId="0" applyNumberFormat="1" applyFont="1" applyFill="1" applyBorder="1" applyAlignment="1">
      <alignment horizontal="right" vertical="center"/>
    </xf>
    <xf numFmtId="166" fontId="14" fillId="5" borderId="0" xfId="0" applyNumberFormat="1" applyFont="1" applyFill="1" applyBorder="1" applyAlignment="1">
      <alignment horizontal="right" vertical="center"/>
    </xf>
    <xf numFmtId="173" fontId="15" fillId="0" borderId="0" xfId="0" applyFont="1" applyFill="1" applyBorder="1" applyAlignment="1">
      <alignment horizontal="right" vertical="top"/>
    </xf>
    <xf numFmtId="173" fontId="10" fillId="5" borderId="0" xfId="0" applyFont="1" applyFill="1" applyBorder="1" applyAlignment="1">
      <alignment horizontal="right" vertical="top"/>
    </xf>
    <xf numFmtId="173" fontId="10" fillId="7" borderId="0" xfId="0" applyFont="1" applyFill="1" applyBorder="1" applyAlignment="1">
      <alignment horizontal="right" vertical="top"/>
    </xf>
    <xf numFmtId="166" fontId="16" fillId="0" borderId="0" xfId="0" applyNumberFormat="1" applyFont="1" applyFill="1" applyBorder="1" applyAlignment="1">
      <alignment horizontal="right" vertical="center"/>
    </xf>
    <xf numFmtId="173" fontId="10" fillId="25" borderId="0" xfId="0" applyFont="1" applyFill="1" applyAlignment="1">
      <alignment horizontal="right" vertical="top"/>
    </xf>
    <xf numFmtId="173" fontId="0" fillId="0" borderId="0" xfId="0" applyAlignment="1">
      <alignment horizontal="right" vertical="top"/>
    </xf>
    <xf numFmtId="173" fontId="10" fillId="15" borderId="0" xfId="0" applyFont="1" applyFill="1" applyBorder="1" applyAlignment="1">
      <alignment horizontal="right" vertical="top"/>
    </xf>
    <xf numFmtId="173" fontId="27" fillId="0" borderId="0" xfId="0" applyFont="1" applyFill="1" applyAlignment="1">
      <alignment horizontal="right" vertical="top"/>
    </xf>
    <xf numFmtId="173" fontId="42" fillId="0" borderId="0" xfId="0" applyFont="1" applyAlignment="1">
      <alignment horizontal="right" vertical="top"/>
    </xf>
    <xf numFmtId="174" fontId="53" fillId="0" borderId="0" xfId="0" applyNumberFormat="1" applyFont="1" applyFill="1" applyAlignment="1">
      <alignment horizontal="right" vertical="top"/>
    </xf>
    <xf numFmtId="174" fontId="24" fillId="0" borderId="0" xfId="1" applyFont="1" applyAlignment="1">
      <alignment horizontal="right" vertical="top"/>
    </xf>
    <xf numFmtId="174" fontId="42" fillId="0" borderId="0" xfId="1" applyFont="1" applyFill="1" applyAlignment="1">
      <alignment horizontal="right" vertical="top"/>
    </xf>
    <xf numFmtId="174" fontId="42" fillId="0" borderId="0" xfId="0" applyNumberFormat="1" applyFont="1" applyFill="1" applyAlignment="1">
      <alignment horizontal="right" vertical="top"/>
    </xf>
    <xf numFmtId="174" fontId="42" fillId="0" borderId="11" xfId="0" applyNumberFormat="1" applyFont="1" applyFill="1" applyBorder="1" applyAlignment="1">
      <alignment horizontal="right" vertical="top"/>
    </xf>
    <xf numFmtId="173" fontId="42" fillId="0" borderId="12" xfId="0" applyFont="1" applyFill="1" applyBorder="1" applyAlignment="1">
      <alignment horizontal="right" vertical="top"/>
    </xf>
    <xf numFmtId="173" fontId="10" fillId="17" borderId="0" xfId="0" applyFont="1" applyFill="1" applyAlignment="1">
      <alignment horizontal="left" vertical="top"/>
    </xf>
    <xf numFmtId="173" fontId="10" fillId="17" borderId="0" xfId="0" applyFont="1" applyFill="1" applyAlignment="1">
      <alignment horizontal="right" vertical="top"/>
    </xf>
    <xf numFmtId="173" fontId="10" fillId="22" borderId="0" xfId="0" applyFont="1" applyFill="1" applyAlignment="1">
      <alignment horizontal="right" vertical="center"/>
    </xf>
    <xf numFmtId="173" fontId="15" fillId="0" borderId="0" xfId="0" applyFont="1" applyAlignment="1">
      <alignment horizontal="left" vertical="center"/>
    </xf>
    <xf numFmtId="3" fontId="15" fillId="0" borderId="0" xfId="0" applyNumberFormat="1" applyFont="1" applyFill="1" applyBorder="1" applyAlignment="1">
      <alignment horizontal="left" vertical="center"/>
    </xf>
    <xf numFmtId="173" fontId="25" fillId="6" borderId="0" xfId="0" applyFont="1" applyFill="1" applyAlignment="1">
      <alignment horizontal="left" vertical="center"/>
    </xf>
    <xf numFmtId="173" fontId="15" fillId="0" borderId="0" xfId="0" applyFont="1" applyFill="1" applyAlignment="1">
      <alignment horizontal="left" vertical="center"/>
    </xf>
    <xf numFmtId="173" fontId="15" fillId="7" borderId="0" xfId="0" applyFont="1" applyFill="1" applyAlignment="1">
      <alignment horizontal="left" vertical="center"/>
    </xf>
    <xf numFmtId="173" fontId="15" fillId="0" borderId="9" xfId="0" applyFont="1" applyBorder="1" applyAlignment="1">
      <alignment horizontal="left" vertical="center"/>
    </xf>
    <xf numFmtId="173" fontId="15" fillId="0" borderId="0" xfId="0" applyFont="1" applyBorder="1" applyAlignment="1">
      <alignment horizontal="left" vertical="top"/>
    </xf>
    <xf numFmtId="173" fontId="15" fillId="0" borderId="9" xfId="0" applyFont="1" applyBorder="1" applyAlignment="1">
      <alignment horizontal="left" vertical="top"/>
    </xf>
    <xf numFmtId="179" fontId="15" fillId="0" borderId="0" xfId="0" applyNumberFormat="1" applyFont="1" applyBorder="1" applyAlignment="1">
      <alignment horizontal="left" vertical="top"/>
    </xf>
    <xf numFmtId="173" fontId="20" fillId="6" borderId="0" xfId="0" applyFont="1" applyFill="1" applyBorder="1" applyAlignment="1">
      <alignment horizontal="left" vertical="center"/>
    </xf>
    <xf numFmtId="173" fontId="20" fillId="0" borderId="0" xfId="0" applyFont="1" applyFill="1" applyBorder="1" applyAlignment="1">
      <alignment horizontal="left" vertical="center"/>
    </xf>
    <xf numFmtId="173" fontId="29" fillId="0" borderId="0" xfId="0" applyFont="1" applyFill="1" applyBorder="1" applyAlignment="1">
      <alignment horizontal="left" vertical="center"/>
    </xf>
    <xf numFmtId="173" fontId="44" fillId="0" borderId="0" xfId="0" applyFont="1" applyFill="1" applyAlignment="1">
      <alignment horizontal="left" vertical="center"/>
    </xf>
    <xf numFmtId="173" fontId="56" fillId="0" borderId="0" xfId="0" applyFont="1" applyFill="1" applyBorder="1" applyAlignment="1">
      <alignment horizontal="left" vertical="center"/>
    </xf>
    <xf numFmtId="173" fontId="15" fillId="0" borderId="0" xfId="0" applyFont="1" applyFill="1" applyAlignment="1">
      <alignment horizontal="left" vertical="top"/>
    </xf>
    <xf numFmtId="173" fontId="15" fillId="0" borderId="11" xfId="0" applyFont="1" applyFill="1" applyBorder="1" applyAlignment="1">
      <alignment horizontal="left" vertical="top"/>
    </xf>
    <xf numFmtId="173" fontId="29" fillId="0" borderId="0" xfId="0" applyFont="1" applyFill="1" applyBorder="1" applyAlignment="1">
      <alignment horizontal="left" vertical="top"/>
    </xf>
    <xf numFmtId="173" fontId="15" fillId="0" borderId="0" xfId="0" applyFont="1" applyFill="1" applyBorder="1" applyAlignment="1">
      <alignment horizontal="left" vertical="top"/>
    </xf>
    <xf numFmtId="173" fontId="15" fillId="0" borderId="12" xfId="0" applyFont="1" applyFill="1" applyBorder="1" applyAlignment="1">
      <alignment horizontal="left" vertical="top"/>
    </xf>
    <xf numFmtId="173" fontId="15" fillId="0" borderId="0" xfId="0" applyFont="1" applyAlignment="1">
      <alignment horizontal="left" vertical="top"/>
    </xf>
    <xf numFmtId="173" fontId="15" fillId="0" borderId="14" xfId="0" applyFont="1" applyFill="1" applyBorder="1" applyAlignment="1">
      <alignment horizontal="left" vertical="center"/>
    </xf>
    <xf numFmtId="173" fontId="35" fillId="0" borderId="14" xfId="0" applyFont="1" applyFill="1" applyBorder="1" applyAlignment="1">
      <alignment horizontal="left" vertical="center"/>
    </xf>
    <xf numFmtId="173" fontId="37" fillId="0" borderId="0" xfId="0" applyFont="1" applyFill="1" applyBorder="1" applyAlignment="1">
      <alignment horizontal="left" vertical="center"/>
    </xf>
    <xf numFmtId="173" fontId="44" fillId="0" borderId="0" xfId="0" applyFont="1" applyFill="1" applyBorder="1" applyAlignment="1">
      <alignment horizontal="left" vertical="top"/>
    </xf>
    <xf numFmtId="173" fontId="56" fillId="0" borderId="0" xfId="0" applyFont="1" applyFill="1" applyAlignment="1">
      <alignment horizontal="left" vertical="top"/>
    </xf>
    <xf numFmtId="174" fontId="15" fillId="0" borderId="0" xfId="1" applyFont="1" applyFill="1" applyAlignment="1">
      <alignment horizontal="left" vertical="top"/>
    </xf>
    <xf numFmtId="173" fontId="56" fillId="0" borderId="0" xfId="0" applyFont="1" applyFill="1" applyAlignment="1">
      <alignment horizontal="left" vertical="center"/>
    </xf>
    <xf numFmtId="173" fontId="29" fillId="0" borderId="0" xfId="0" applyFont="1" applyFill="1" applyAlignment="1">
      <alignment horizontal="left" vertical="center"/>
    </xf>
    <xf numFmtId="173" fontId="29" fillId="0" borderId="0" xfId="0" applyFont="1" applyFill="1" applyAlignment="1">
      <alignment horizontal="left" vertical="top"/>
    </xf>
    <xf numFmtId="173" fontId="29" fillId="0" borderId="11" xfId="0" applyFont="1" applyFill="1" applyBorder="1" applyAlignment="1">
      <alignment horizontal="left" vertical="top"/>
    </xf>
    <xf numFmtId="173" fontId="29" fillId="0" borderId="12" xfId="0" applyFont="1" applyFill="1" applyBorder="1" applyAlignment="1">
      <alignment horizontal="left" vertical="top"/>
    </xf>
    <xf numFmtId="173" fontId="29" fillId="0" borderId="14" xfId="0" applyFont="1" applyFill="1" applyBorder="1" applyAlignment="1">
      <alignment horizontal="left" vertical="top"/>
    </xf>
    <xf numFmtId="167" fontId="29" fillId="0" borderId="0" xfId="0" applyNumberFormat="1" applyFont="1" applyFill="1" applyBorder="1" applyAlignment="1">
      <alignment horizontal="left" vertical="center"/>
    </xf>
    <xf numFmtId="173" fontId="44" fillId="0" borderId="0" xfId="0" applyFont="1" applyFill="1" applyAlignment="1">
      <alignment horizontal="left" vertical="top"/>
    </xf>
    <xf numFmtId="173" fontId="20" fillId="0" borderId="0" xfId="0" applyFont="1" applyFill="1" applyBorder="1" applyAlignment="1">
      <alignment horizontal="left" vertical="top"/>
    </xf>
    <xf numFmtId="173" fontId="37" fillId="0" borderId="0" xfId="0" applyFont="1" applyFill="1" applyBorder="1" applyAlignment="1">
      <alignment horizontal="left" vertical="top"/>
    </xf>
    <xf numFmtId="173" fontId="45" fillId="0" borderId="0" xfId="0" applyFont="1" applyFill="1" applyBorder="1" applyAlignment="1">
      <alignment horizontal="left" vertical="top"/>
    </xf>
    <xf numFmtId="173" fontId="44" fillId="0" borderId="0" xfId="0" applyFont="1" applyAlignment="1">
      <alignment horizontal="left" vertical="center"/>
    </xf>
    <xf numFmtId="173" fontId="37" fillId="0" borderId="14" xfId="0" applyFont="1" applyFill="1" applyBorder="1" applyAlignment="1">
      <alignment horizontal="left" vertical="top"/>
    </xf>
    <xf numFmtId="173" fontId="15" fillId="0" borderId="14" xfId="0" applyFont="1" applyBorder="1" applyAlignment="1">
      <alignment horizontal="left" vertical="top"/>
    </xf>
    <xf numFmtId="173" fontId="15" fillId="0" borderId="14" xfId="0" applyFont="1" applyBorder="1" applyAlignment="1">
      <alignment horizontal="left" vertical="center"/>
    </xf>
    <xf numFmtId="173" fontId="29" fillId="0" borderId="0" xfId="0" applyFont="1" applyAlignment="1">
      <alignment horizontal="left" vertical="center"/>
    </xf>
    <xf numFmtId="173" fontId="15" fillId="0" borderId="11" xfId="0" applyFont="1" applyBorder="1" applyAlignment="1">
      <alignment horizontal="left" vertical="center"/>
    </xf>
    <xf numFmtId="173" fontId="15" fillId="0" borderId="12" xfId="0" applyFont="1" applyBorder="1" applyAlignment="1">
      <alignment horizontal="left" vertical="center"/>
    </xf>
    <xf numFmtId="173" fontId="15" fillId="0" borderId="14" xfId="0" applyFont="1" applyFill="1" applyBorder="1" applyAlignment="1">
      <alignment horizontal="left" vertical="top"/>
    </xf>
    <xf numFmtId="173" fontId="34" fillId="0" borderId="0" xfId="0" applyFont="1" applyAlignment="1">
      <alignment horizontal="left" vertical="top"/>
    </xf>
    <xf numFmtId="173" fontId="44" fillId="0" borderId="0" xfId="0" applyFont="1" applyAlignment="1">
      <alignment horizontal="left" vertical="top"/>
    </xf>
    <xf numFmtId="173" fontId="35" fillId="0" borderId="0" xfId="0" applyFont="1" applyFill="1" applyAlignment="1">
      <alignment horizontal="left" vertical="top"/>
    </xf>
    <xf numFmtId="173" fontId="38" fillId="0" borderId="0" xfId="0" applyFont="1" applyFill="1" applyAlignment="1">
      <alignment horizontal="left" vertical="center"/>
    </xf>
    <xf numFmtId="173" fontId="15" fillId="0" borderId="12" xfId="0" applyFont="1" applyBorder="1" applyAlignment="1">
      <alignment horizontal="left" vertical="top"/>
    </xf>
    <xf numFmtId="173" fontId="15" fillId="0" borderId="11" xfId="0" applyFont="1" applyFill="1" applyBorder="1" applyAlignment="1">
      <alignment horizontal="left" vertical="center"/>
    </xf>
    <xf numFmtId="173" fontId="15" fillId="0" borderId="12" xfId="0" applyFont="1" applyFill="1" applyBorder="1" applyAlignment="1">
      <alignment horizontal="left" vertical="center"/>
    </xf>
    <xf numFmtId="173" fontId="34" fillId="0" borderId="0" xfId="0" applyFont="1" applyFill="1" applyAlignment="1">
      <alignment horizontal="left" vertical="top"/>
    </xf>
    <xf numFmtId="173" fontId="35" fillId="0" borderId="14" xfId="0" applyFont="1" applyFill="1" applyBorder="1" applyAlignment="1">
      <alignment horizontal="left" vertical="top"/>
    </xf>
    <xf numFmtId="173" fontId="56" fillId="0" borderId="0" xfId="0" applyFont="1" applyAlignment="1">
      <alignment horizontal="left" vertical="center"/>
    </xf>
    <xf numFmtId="174" fontId="56" fillId="0" borderId="0" xfId="1" applyFont="1" applyAlignment="1">
      <alignment horizontal="left" vertical="top"/>
    </xf>
    <xf numFmtId="173" fontId="56" fillId="0" borderId="11" xfId="0" applyFont="1" applyBorder="1" applyAlignment="1">
      <alignment horizontal="left" vertical="center"/>
    </xf>
    <xf numFmtId="173" fontId="56" fillId="0" borderId="0" xfId="0" applyFont="1" applyBorder="1" applyAlignment="1">
      <alignment horizontal="left" vertical="center"/>
    </xf>
    <xf numFmtId="173" fontId="56" fillId="0" borderId="12" xfId="0" applyFont="1" applyBorder="1" applyAlignment="1">
      <alignment horizontal="left" vertical="center"/>
    </xf>
    <xf numFmtId="0" fontId="20" fillId="2" borderId="0" xfId="0" applyNumberFormat="1" applyFont="1" applyFill="1" applyBorder="1" applyAlignment="1">
      <alignment horizontal="left" vertical="center"/>
    </xf>
    <xf numFmtId="173" fontId="35" fillId="0" borderId="14" xfId="0" applyFont="1" applyBorder="1" applyAlignment="1">
      <alignment horizontal="left" vertical="center"/>
    </xf>
    <xf numFmtId="173" fontId="35" fillId="0" borderId="14" xfId="0" applyFont="1" applyBorder="1" applyAlignment="1">
      <alignment horizontal="left" vertical="top"/>
    </xf>
    <xf numFmtId="173" fontId="35" fillId="0" borderId="0" xfId="0" applyFont="1" applyAlignment="1">
      <alignment horizontal="left" vertical="center"/>
    </xf>
    <xf numFmtId="173" fontId="39" fillId="7" borderId="0" xfId="0" applyFont="1" applyFill="1" applyAlignment="1">
      <alignment horizontal="left" vertical="top"/>
    </xf>
    <xf numFmtId="173" fontId="39" fillId="0" borderId="0" xfId="0" applyFont="1" applyAlignment="1">
      <alignment horizontal="left" vertical="top"/>
    </xf>
    <xf numFmtId="173" fontId="16" fillId="7" borderId="0" xfId="0" applyFont="1" applyFill="1" applyAlignment="1">
      <alignment horizontal="left" vertical="center"/>
    </xf>
    <xf numFmtId="173" fontId="16" fillId="0" borderId="0" xfId="0" applyFont="1" applyBorder="1" applyAlignment="1">
      <alignment horizontal="left" vertical="top"/>
    </xf>
    <xf numFmtId="173" fontId="16" fillId="0" borderId="9" xfId="0" applyFont="1" applyBorder="1" applyAlignment="1">
      <alignment horizontal="left" vertical="top"/>
    </xf>
    <xf numFmtId="179" fontId="16" fillId="0" borderId="0" xfId="0" applyNumberFormat="1" applyFont="1" applyBorder="1" applyAlignment="1">
      <alignment horizontal="left" vertical="top"/>
    </xf>
    <xf numFmtId="173" fontId="16" fillId="0" borderId="0" xfId="0" applyFont="1" applyBorder="1" applyAlignment="1">
      <alignment horizontal="left" vertical="center" textRotation="90"/>
    </xf>
    <xf numFmtId="173" fontId="16" fillId="0" borderId="11" xfId="0" applyFont="1" applyFill="1" applyBorder="1" applyAlignment="1">
      <alignment horizontal="left" vertical="top"/>
    </xf>
    <xf numFmtId="173" fontId="16" fillId="0" borderId="0" xfId="0" applyFont="1" applyFill="1" applyBorder="1" applyAlignment="1">
      <alignment horizontal="left" vertical="top"/>
    </xf>
    <xf numFmtId="173" fontId="16" fillId="0" borderId="12" xfId="0" applyFont="1" applyFill="1" applyBorder="1" applyAlignment="1">
      <alignment horizontal="left" vertical="top"/>
    </xf>
    <xf numFmtId="173" fontId="16" fillId="0" borderId="14" xfId="0" applyFont="1" applyFill="1" applyBorder="1" applyAlignment="1">
      <alignment horizontal="left" vertical="center"/>
    </xf>
    <xf numFmtId="173" fontId="16" fillId="0" borderId="0" xfId="0" applyFont="1" applyFill="1" applyAlignment="1">
      <alignment horizontal="left" vertical="top"/>
    </xf>
    <xf numFmtId="174" fontId="16" fillId="0" borderId="0" xfId="1" applyFont="1" applyFill="1" applyAlignment="1">
      <alignment horizontal="left" vertical="top"/>
    </xf>
    <xf numFmtId="174" fontId="16" fillId="0" borderId="0" xfId="1" applyFont="1" applyFill="1" applyAlignment="1">
      <alignment horizontal="left" vertical="center"/>
    </xf>
    <xf numFmtId="174" fontId="10" fillId="0" borderId="0" xfId="1" applyFont="1" applyFill="1" applyAlignment="1">
      <alignment horizontal="left" vertical="center"/>
    </xf>
    <xf numFmtId="173" fontId="16" fillId="0" borderId="14" xfId="0" applyFont="1" applyBorder="1" applyAlignment="1">
      <alignment horizontal="left" vertical="top"/>
    </xf>
    <xf numFmtId="173" fontId="16" fillId="0" borderId="14" xfId="0" applyFont="1" applyBorder="1" applyAlignment="1">
      <alignment horizontal="left" vertical="center"/>
    </xf>
    <xf numFmtId="173" fontId="16" fillId="0" borderId="11" xfId="0" applyFont="1" applyBorder="1" applyAlignment="1">
      <alignment horizontal="left" vertical="center"/>
    </xf>
    <xf numFmtId="173" fontId="16" fillId="0" borderId="12" xfId="0" applyFont="1" applyBorder="1" applyAlignment="1">
      <alignment horizontal="left" vertical="center"/>
    </xf>
    <xf numFmtId="173" fontId="16" fillId="0" borderId="0" xfId="0" applyFont="1" applyAlignment="1">
      <alignment horizontal="left" vertical="top"/>
    </xf>
    <xf numFmtId="173" fontId="16" fillId="0" borderId="14" xfId="0" applyFont="1" applyFill="1" applyBorder="1" applyAlignment="1">
      <alignment horizontal="left" vertical="top"/>
    </xf>
    <xf numFmtId="173" fontId="9" fillId="0" borderId="0" xfId="0" applyFont="1" applyFill="1" applyAlignment="1">
      <alignment horizontal="left" vertical="center"/>
    </xf>
    <xf numFmtId="173" fontId="5" fillId="0" borderId="0" xfId="0" applyFont="1" applyAlignment="1">
      <alignment horizontal="left" vertical="top"/>
    </xf>
    <xf numFmtId="174" fontId="16" fillId="0" borderId="14" xfId="1" applyFont="1" applyFill="1" applyBorder="1" applyAlignment="1">
      <alignment horizontal="left" vertical="center"/>
    </xf>
    <xf numFmtId="173" fontId="16" fillId="0" borderId="12" xfId="0" applyFont="1" applyBorder="1" applyAlignment="1">
      <alignment horizontal="left" vertical="top"/>
    </xf>
    <xf numFmtId="174" fontId="16" fillId="0" borderId="0" xfId="1" applyFont="1" applyFill="1" applyBorder="1" applyAlignment="1">
      <alignment horizontal="left" vertical="center"/>
    </xf>
    <xf numFmtId="174" fontId="16" fillId="0" borderId="11" xfId="1" applyFont="1" applyFill="1" applyBorder="1" applyAlignment="1">
      <alignment horizontal="left" vertical="center"/>
    </xf>
    <xf numFmtId="174" fontId="16" fillId="0" borderId="12" xfId="1" applyFont="1" applyFill="1" applyBorder="1" applyAlignment="1">
      <alignment horizontal="left" vertical="center"/>
    </xf>
    <xf numFmtId="174" fontId="16" fillId="0" borderId="0" xfId="1" applyFont="1" applyAlignment="1">
      <alignment horizontal="left" vertical="center"/>
    </xf>
    <xf numFmtId="174" fontId="16" fillId="0" borderId="14" xfId="1" applyFont="1" applyBorder="1" applyAlignment="1">
      <alignment horizontal="left" vertical="center"/>
    </xf>
    <xf numFmtId="173" fontId="42" fillId="0" borderId="0" xfId="0" applyFont="1" applyAlignment="1">
      <alignment horizontal="right" vertical="center"/>
    </xf>
    <xf numFmtId="173" fontId="42" fillId="0" borderId="0" xfId="0" applyFont="1" applyAlignment="1">
      <alignment horizontal="left" vertical="center"/>
    </xf>
    <xf numFmtId="173" fontId="42" fillId="15" borderId="0" xfId="0" applyFont="1" applyFill="1" applyAlignment="1">
      <alignment vertical="center"/>
    </xf>
    <xf numFmtId="173" fontId="56" fillId="15" borderId="0" xfId="0" applyFont="1" applyFill="1" applyAlignment="1">
      <alignment horizontal="left" vertical="center"/>
    </xf>
    <xf numFmtId="173" fontId="42" fillId="15" borderId="0" xfId="0" applyFont="1" applyFill="1" applyAlignment="1">
      <alignment horizontal="right" vertical="center"/>
    </xf>
    <xf numFmtId="166" fontId="42" fillId="15" borderId="0" xfId="0" applyNumberFormat="1" applyFont="1" applyFill="1" applyBorder="1" applyAlignment="1">
      <alignment horizontal="right" vertical="center"/>
    </xf>
    <xf numFmtId="166" fontId="42" fillId="15" borderId="0" xfId="0" applyNumberFormat="1" applyFont="1" applyFill="1" applyBorder="1" applyAlignment="1">
      <alignment horizontal="left" vertical="center"/>
    </xf>
    <xf numFmtId="166" fontId="42" fillId="15" borderId="0" xfId="0" applyNumberFormat="1" applyFont="1" applyFill="1" applyBorder="1" applyAlignment="1">
      <alignment horizontal="center" vertical="center"/>
    </xf>
    <xf numFmtId="173" fontId="42" fillId="15" borderId="0" xfId="0" applyFont="1" applyFill="1" applyBorder="1" applyAlignment="1">
      <alignment vertical="center"/>
    </xf>
    <xf numFmtId="173" fontId="42" fillId="15" borderId="0" xfId="0" applyFont="1" applyFill="1">
      <alignment vertical="top"/>
    </xf>
    <xf numFmtId="173" fontId="14" fillId="15" borderId="0" xfId="0" applyFont="1" applyFill="1" applyAlignment="1">
      <alignment vertical="center"/>
    </xf>
    <xf numFmtId="173" fontId="29" fillId="15" borderId="0" xfId="0" applyFont="1" applyFill="1" applyAlignment="1">
      <alignment horizontal="left" vertical="center"/>
    </xf>
    <xf numFmtId="173" fontId="14" fillId="15" borderId="0" xfId="0" applyFont="1" applyFill="1" applyAlignment="1">
      <alignment horizontal="right" vertical="center"/>
    </xf>
    <xf numFmtId="173" fontId="14" fillId="15" borderId="0" xfId="0" applyFont="1" applyFill="1" applyBorder="1">
      <alignment vertical="top"/>
    </xf>
    <xf numFmtId="173" fontId="14" fillId="15" borderId="0" xfId="0" applyFont="1" applyFill="1" applyBorder="1" applyAlignment="1">
      <alignment horizontal="right" vertical="top"/>
    </xf>
    <xf numFmtId="174" fontId="14" fillId="15" borderId="0" xfId="1" applyFont="1" applyFill="1" applyBorder="1">
      <alignment vertical="top"/>
    </xf>
    <xf numFmtId="166" fontId="53" fillId="15" borderId="0" xfId="0" applyNumberFormat="1" applyFont="1" applyFill="1" applyBorder="1" applyAlignment="1">
      <alignment horizontal="left" vertical="center"/>
    </xf>
    <xf numFmtId="176" fontId="50" fillId="0" borderId="0" xfId="0" applyNumberFormat="1" applyFont="1">
      <alignment vertical="top"/>
    </xf>
    <xf numFmtId="174" fontId="7" fillId="6" borderId="0" xfId="1" applyFont="1" applyFill="1" applyBorder="1">
      <alignment vertical="top"/>
    </xf>
    <xf numFmtId="173" fontId="47" fillId="0" borderId="0" xfId="0" applyFont="1" applyFill="1" applyAlignment="1">
      <alignment horizontal="right" vertical="top"/>
    </xf>
    <xf numFmtId="173" fontId="61" fillId="0" borderId="0" xfId="0" applyFont="1" applyFill="1">
      <alignment vertical="top"/>
    </xf>
    <xf numFmtId="173" fontId="10" fillId="16" borderId="0" xfId="0" quotePrefix="1" applyFont="1" applyFill="1" applyAlignment="1">
      <alignment vertical="top" wrapText="1"/>
    </xf>
    <xf numFmtId="173" fontId="10" fillId="5" borderId="0" xfId="0" applyFont="1" applyFill="1" applyAlignment="1">
      <alignment horizontal="right" vertical="top" wrapText="1"/>
    </xf>
    <xf numFmtId="173" fontId="10" fillId="5" borderId="0" xfId="0" applyFont="1" applyFill="1" applyAlignment="1">
      <alignment horizontal="left" vertical="top" wrapText="1"/>
    </xf>
    <xf numFmtId="173" fontId="10" fillId="0" borderId="0" xfId="0" applyFont="1" applyAlignment="1"/>
    <xf numFmtId="173" fontId="43" fillId="0" borderId="0" xfId="0" applyFont="1" applyAlignment="1">
      <alignment horizontal="right"/>
    </xf>
    <xf numFmtId="166" fontId="18" fillId="0" borderId="0" xfId="0" applyNumberFormat="1" applyFont="1" applyFill="1" applyBorder="1" applyAlignment="1">
      <alignment vertical="center"/>
    </xf>
    <xf numFmtId="166" fontId="14" fillId="0" borderId="5" xfId="0" applyNumberFormat="1" applyFont="1" applyFill="1" applyBorder="1" applyAlignment="1">
      <alignment horizontal="center" vertical="center"/>
    </xf>
    <xf numFmtId="166" fontId="14" fillId="0" borderId="8" xfId="0" applyNumberFormat="1" applyFont="1" applyFill="1" applyBorder="1" applyAlignment="1">
      <alignment horizontal="center" vertical="center"/>
    </xf>
    <xf numFmtId="175" fontId="10" fillId="0" borderId="0" xfId="4" applyFont="1">
      <alignment vertical="top"/>
    </xf>
    <xf numFmtId="175" fontId="16" fillId="0" borderId="0" xfId="4" applyFont="1">
      <alignment vertical="top"/>
    </xf>
    <xf numFmtId="175" fontId="15" fillId="0" borderId="0" xfId="4" applyFont="1">
      <alignment vertical="top"/>
    </xf>
    <xf numFmtId="175" fontId="10" fillId="0" borderId="0" xfId="4" applyFont="1" applyFill="1" applyBorder="1">
      <alignment vertical="top"/>
    </xf>
    <xf numFmtId="175" fontId="10" fillId="7" borderId="0" xfId="4" applyFont="1" applyFill="1">
      <alignment vertical="top"/>
    </xf>
    <xf numFmtId="175" fontId="27" fillId="0" borderId="0" xfId="4" applyFont="1" applyFill="1">
      <alignment vertical="top"/>
    </xf>
    <xf numFmtId="175" fontId="35" fillId="0" borderId="0" xfId="4" applyFont="1" applyFill="1">
      <alignment vertical="top"/>
    </xf>
    <xf numFmtId="175" fontId="27" fillId="0" borderId="0" xfId="4" applyFont="1" applyFill="1" applyBorder="1">
      <alignment vertical="top"/>
    </xf>
    <xf numFmtId="175" fontId="27" fillId="0" borderId="0" xfId="4" applyFont="1">
      <alignment vertical="top"/>
    </xf>
    <xf numFmtId="14" fontId="10" fillId="22" borderId="0" xfId="0" applyNumberFormat="1" applyFont="1" applyFill="1" applyAlignment="1">
      <alignment horizontal="right" vertical="top"/>
    </xf>
    <xf numFmtId="173" fontId="10" fillId="0" borderId="0" xfId="0" applyFont="1" applyAlignment="1">
      <alignment horizontal="right" vertical="center" wrapText="1"/>
    </xf>
    <xf numFmtId="174" fontId="10" fillId="22" borderId="0" xfId="1" applyFont="1" applyFill="1">
      <alignment vertical="top"/>
    </xf>
    <xf numFmtId="174" fontId="14" fillId="22" borderId="0" xfId="1" applyFont="1" applyFill="1" applyBorder="1" applyAlignment="1">
      <alignment horizontal="right" vertical="top"/>
    </xf>
    <xf numFmtId="174" fontId="14" fillId="22" borderId="0" xfId="1" applyFont="1" applyFill="1" applyBorder="1">
      <alignment vertical="top"/>
    </xf>
    <xf numFmtId="173" fontId="10" fillId="22" borderId="0" xfId="0" applyFont="1" applyFill="1" applyAlignment="1">
      <alignment horizontal="right" vertical="top"/>
    </xf>
    <xf numFmtId="182" fontId="30" fillId="0" borderId="0" xfId="7" applyFont="1" applyFill="1">
      <alignment vertical="top"/>
    </xf>
    <xf numFmtId="182" fontId="16" fillId="0" borderId="0" xfId="7" applyFont="1">
      <alignment vertical="top"/>
    </xf>
    <xf numFmtId="182" fontId="15" fillId="0" borderId="0" xfId="7" applyFont="1">
      <alignment vertical="top"/>
    </xf>
    <xf numFmtId="182" fontId="10" fillId="0" borderId="0" xfId="7" applyFont="1">
      <alignment vertical="top"/>
    </xf>
    <xf numFmtId="182" fontId="24" fillId="0" borderId="0" xfId="7" applyFont="1">
      <alignment vertical="top"/>
    </xf>
    <xf numFmtId="173" fontId="55" fillId="0" borderId="0" xfId="0" applyFont="1" applyAlignment="1">
      <alignment horizontal="left" vertical="top"/>
    </xf>
    <xf numFmtId="173" fontId="56" fillId="0" borderId="0" xfId="0" applyFont="1" applyAlignment="1">
      <alignment horizontal="left" vertical="top"/>
    </xf>
    <xf numFmtId="182" fontId="42" fillId="0" borderId="0" xfId="7" applyFont="1">
      <alignment vertical="top"/>
    </xf>
    <xf numFmtId="173" fontId="42" fillId="22" borderId="0" xfId="0" applyFont="1" applyFill="1" applyAlignment="1">
      <alignment horizontal="right" vertical="top"/>
    </xf>
    <xf numFmtId="173" fontId="53" fillId="0" borderId="0" xfId="0" applyFont="1">
      <alignment vertical="top"/>
    </xf>
    <xf numFmtId="173" fontId="42" fillId="0" borderId="14" xfId="0" applyFont="1" applyFill="1" applyBorder="1" applyAlignment="1">
      <alignment vertical="center"/>
    </xf>
    <xf numFmtId="173" fontId="56" fillId="0" borderId="14" xfId="0" applyFont="1" applyBorder="1" applyAlignment="1">
      <alignment horizontal="left" vertical="top"/>
    </xf>
    <xf numFmtId="173" fontId="42" fillId="0" borderId="14" xfId="0" applyFont="1" applyBorder="1" applyAlignment="1">
      <alignment horizontal="right" vertical="top"/>
    </xf>
    <xf numFmtId="174" fontId="42" fillId="0" borderId="14" xfId="1" applyFont="1" applyFill="1" applyBorder="1">
      <alignment vertical="top"/>
    </xf>
    <xf numFmtId="173" fontId="42" fillId="0" borderId="14" xfId="0" applyFont="1" applyBorder="1">
      <alignment vertical="top"/>
    </xf>
    <xf numFmtId="173" fontId="64" fillId="0" borderId="0" xfId="0" applyFont="1">
      <alignment vertical="top"/>
    </xf>
    <xf numFmtId="173" fontId="65" fillId="0" borderId="0" xfId="0" applyFont="1">
      <alignment vertical="top"/>
    </xf>
    <xf numFmtId="173" fontId="16" fillId="0" borderId="10" xfId="0" applyFont="1" applyFill="1" applyBorder="1" applyAlignment="1">
      <alignment horizontal="right" vertical="center"/>
    </xf>
    <xf numFmtId="173" fontId="10" fillId="0" borderId="10" xfId="0" applyFont="1" applyFill="1" applyBorder="1" applyAlignment="1">
      <alignment horizontal="left" vertical="center"/>
    </xf>
    <xf numFmtId="182" fontId="1" fillId="0" borderId="0" xfId="7" applyFont="1">
      <alignment vertical="top"/>
    </xf>
    <xf numFmtId="173" fontId="41" fillId="0" borderId="0" xfId="0" applyFont="1" applyFill="1" applyBorder="1">
      <alignment vertical="top"/>
    </xf>
    <xf numFmtId="173" fontId="5" fillId="0" borderId="0" xfId="0" applyFont="1">
      <alignment vertical="top"/>
    </xf>
    <xf numFmtId="173" fontId="34" fillId="0" borderId="0" xfId="0" applyFont="1">
      <alignment vertical="top"/>
    </xf>
    <xf numFmtId="173" fontId="1" fillId="0" borderId="0" xfId="0" applyFont="1" applyAlignment="1">
      <alignment horizontal="right" vertical="top"/>
    </xf>
    <xf numFmtId="175" fontId="53" fillId="0" borderId="0" xfId="4" applyFont="1" applyFill="1">
      <alignment vertical="top"/>
    </xf>
    <xf numFmtId="179" fontId="10" fillId="9" borderId="0" xfId="0" applyNumberFormat="1" applyFont="1" applyFill="1">
      <alignment vertical="top"/>
    </xf>
    <xf numFmtId="178" fontId="10" fillId="19" borderId="0" xfId="0" applyNumberFormat="1" applyFont="1" applyFill="1">
      <alignment vertical="top"/>
    </xf>
    <xf numFmtId="174" fontId="14" fillId="22" borderId="0" xfId="0" applyNumberFormat="1" applyFont="1" applyFill="1">
      <alignment vertical="top"/>
    </xf>
    <xf numFmtId="173" fontId="14" fillId="22" borderId="9" xfId="0" applyFont="1" applyFill="1" applyBorder="1">
      <alignment vertical="top"/>
    </xf>
    <xf numFmtId="182" fontId="1" fillId="0" borderId="0" xfId="7" applyFont="1" applyFill="1" applyBorder="1">
      <alignment vertical="top"/>
    </xf>
    <xf numFmtId="174" fontId="30" fillId="0" borderId="0" xfId="1" applyFont="1" applyBorder="1">
      <alignment vertical="top"/>
    </xf>
    <xf numFmtId="174" fontId="16" fillId="0" borderId="0" xfId="1" applyFont="1" applyBorder="1">
      <alignment vertical="top"/>
    </xf>
    <xf numFmtId="174" fontId="15" fillId="0" borderId="0" xfId="1" applyFont="1" applyBorder="1">
      <alignment vertical="top"/>
    </xf>
    <xf numFmtId="182" fontId="30" fillId="0" borderId="0" xfId="7" applyFont="1" applyBorder="1">
      <alignment vertical="top"/>
    </xf>
    <xf numFmtId="182" fontId="16" fillId="0" borderId="0" xfId="7" applyFont="1" applyBorder="1">
      <alignment vertical="top"/>
    </xf>
    <xf numFmtId="182" fontId="15" fillId="0" borderId="0" xfId="7" applyFont="1" applyBorder="1">
      <alignment vertical="top"/>
    </xf>
    <xf numFmtId="182" fontId="10" fillId="0" borderId="0" xfId="7" applyFont="1" applyBorder="1">
      <alignment vertical="top"/>
    </xf>
    <xf numFmtId="182" fontId="10" fillId="0" borderId="0" xfId="7" applyFont="1" applyFill="1" applyBorder="1">
      <alignment vertical="top"/>
    </xf>
    <xf numFmtId="182" fontId="14" fillId="0" borderId="0" xfId="7" applyFont="1" applyFill="1" applyBorder="1">
      <alignment vertical="top"/>
    </xf>
    <xf numFmtId="182" fontId="14" fillId="22" borderId="0" xfId="7" applyFont="1" applyFill="1" applyBorder="1">
      <alignment vertical="top"/>
    </xf>
    <xf numFmtId="1" fontId="14" fillId="22" borderId="0" xfId="0" applyNumberFormat="1" applyFont="1" applyFill="1" applyBorder="1" applyAlignment="1">
      <alignment horizontal="right" vertical="center"/>
    </xf>
    <xf numFmtId="0" fontId="16" fillId="0" borderId="0" xfId="0" applyNumberFormat="1" applyFont="1" applyFill="1" applyBorder="1" applyAlignment="1">
      <alignment horizontal="left" vertical="center"/>
    </xf>
    <xf numFmtId="173" fontId="16" fillId="6" borderId="0" xfId="0" applyFont="1" applyFill="1" applyAlignment="1">
      <alignment horizontal="left" vertical="center"/>
    </xf>
    <xf numFmtId="173" fontId="16" fillId="6" borderId="0" xfId="0" applyFont="1" applyFill="1" applyBorder="1" applyAlignment="1">
      <alignment horizontal="left" vertical="center"/>
    </xf>
    <xf numFmtId="175" fontId="16" fillId="0" borderId="0" xfId="4" applyFont="1" applyFill="1">
      <alignment vertical="top"/>
    </xf>
    <xf numFmtId="173" fontId="0" fillId="0" borderId="0" xfId="0" applyFont="1">
      <alignment vertical="top"/>
    </xf>
    <xf numFmtId="174" fontId="16" fillId="15" borderId="0" xfId="1" applyFont="1" applyFill="1" applyAlignment="1">
      <alignment horizontal="left" vertical="center"/>
    </xf>
    <xf numFmtId="174" fontId="16" fillId="0" borderId="0" xfId="1" applyFont="1" applyAlignment="1">
      <alignment horizontal="left" vertical="top"/>
    </xf>
    <xf numFmtId="174" fontId="16" fillId="0" borderId="11" xfId="1" applyFont="1" applyBorder="1" applyAlignment="1">
      <alignment horizontal="left" vertical="center"/>
    </xf>
    <xf numFmtId="174" fontId="16" fillId="0" borderId="0" xfId="1" applyFont="1" applyBorder="1" applyAlignment="1">
      <alignment horizontal="left" vertical="center"/>
    </xf>
    <xf numFmtId="174" fontId="16" fillId="0" borderId="12" xfId="1" applyFont="1" applyBorder="1" applyAlignment="1">
      <alignment horizontal="left" vertical="center"/>
    </xf>
    <xf numFmtId="0" fontId="16" fillId="2" borderId="0" xfId="0" applyNumberFormat="1" applyFont="1" applyFill="1" applyBorder="1" applyAlignment="1">
      <alignment horizontal="left" vertical="center"/>
    </xf>
    <xf numFmtId="173" fontId="5" fillId="7" borderId="0" xfId="0" applyFont="1" applyFill="1" applyAlignment="1">
      <alignment horizontal="left" vertical="top"/>
    </xf>
    <xf numFmtId="182" fontId="40" fillId="0" borderId="0" xfId="7" applyFont="1">
      <alignment vertical="top"/>
    </xf>
    <xf numFmtId="182" fontId="44" fillId="0" borderId="0" xfId="7" applyFont="1">
      <alignment vertical="top"/>
    </xf>
    <xf numFmtId="182" fontId="24" fillId="0" borderId="0" xfId="7" applyFont="1" applyBorder="1">
      <alignment vertical="top"/>
    </xf>
    <xf numFmtId="182" fontId="53" fillId="0" borderId="0" xfId="7" applyFont="1">
      <alignment vertical="top"/>
    </xf>
    <xf numFmtId="182" fontId="55" fillId="0" borderId="0" xfId="7" applyFont="1">
      <alignment vertical="top"/>
    </xf>
    <xf numFmtId="182" fontId="56" fillId="0" borderId="0" xfId="7" applyFont="1">
      <alignment vertical="top"/>
    </xf>
    <xf numFmtId="182" fontId="42" fillId="0" borderId="0" xfId="7" applyFont="1" applyAlignment="1">
      <alignment horizontal="right" vertical="top"/>
    </xf>
    <xf numFmtId="182" fontId="42" fillId="0" borderId="0" xfId="7" applyFont="1" applyBorder="1">
      <alignment vertical="top"/>
    </xf>
    <xf numFmtId="173" fontId="10" fillId="5" borderId="0" xfId="0" applyFont="1" applyFill="1" applyAlignment="1">
      <alignment horizontal="right" vertical="top"/>
    </xf>
    <xf numFmtId="175" fontId="24" fillId="0" borderId="0" xfId="4" applyFont="1">
      <alignment vertical="top"/>
    </xf>
    <xf numFmtId="175" fontId="40" fillId="0" borderId="0" xfId="4" applyFont="1">
      <alignment vertical="top"/>
    </xf>
    <xf numFmtId="175" fontId="44" fillId="0" borderId="0" xfId="4" applyFont="1">
      <alignment vertical="top"/>
    </xf>
    <xf numFmtId="175" fontId="24" fillId="0" borderId="0" xfId="4" applyFont="1" applyBorder="1">
      <alignment vertical="top"/>
    </xf>
    <xf numFmtId="175" fontId="24" fillId="0" borderId="0" xfId="4" applyFont="1" applyAlignment="1">
      <alignment horizontal="right" vertical="top"/>
    </xf>
    <xf numFmtId="175" fontId="42" fillId="0" borderId="0" xfId="4" applyFont="1">
      <alignment vertical="top"/>
    </xf>
    <xf numFmtId="175" fontId="55" fillId="0" borderId="0" xfId="4" applyFont="1">
      <alignment vertical="top"/>
    </xf>
    <xf numFmtId="175" fontId="56" fillId="0" borderId="0" xfId="4" applyFont="1">
      <alignment vertical="top"/>
    </xf>
    <xf numFmtId="175" fontId="42" fillId="0" borderId="0" xfId="4" applyFont="1" applyBorder="1">
      <alignment vertical="top"/>
    </xf>
    <xf numFmtId="175" fontId="10" fillId="0" borderId="0" xfId="4" applyFont="1" applyAlignment="1">
      <alignment horizontal="right" vertical="top"/>
    </xf>
    <xf numFmtId="175" fontId="10" fillId="0" borderId="0" xfId="4" applyFont="1" applyBorder="1">
      <alignment vertical="top"/>
    </xf>
    <xf numFmtId="175" fontId="10" fillId="0" borderId="0" xfId="4" applyFont="1" applyFill="1">
      <alignment vertical="top"/>
    </xf>
    <xf numFmtId="175" fontId="15" fillId="0" borderId="0" xfId="4" applyFont="1" applyFill="1">
      <alignment vertical="top"/>
    </xf>
    <xf numFmtId="175" fontId="10" fillId="0" borderId="0" xfId="4" applyFont="1" applyFill="1" applyAlignment="1">
      <alignment horizontal="right" vertical="top"/>
    </xf>
    <xf numFmtId="174" fontId="15" fillId="0" borderId="0" xfId="1" applyFont="1">
      <alignment vertical="top"/>
    </xf>
    <xf numFmtId="174" fontId="53" fillId="0" borderId="0" xfId="1" applyFont="1">
      <alignment vertical="top"/>
    </xf>
    <xf numFmtId="173" fontId="55" fillId="0" borderId="0" xfId="0" applyFont="1" applyFill="1">
      <alignment vertical="top"/>
    </xf>
    <xf numFmtId="173" fontId="56" fillId="0" borderId="0" xfId="0" applyFont="1" applyFill="1">
      <alignment vertical="top"/>
    </xf>
    <xf numFmtId="179" fontId="10" fillId="0" borderId="0" xfId="4" applyNumberFormat="1" applyFont="1">
      <alignment vertical="top"/>
    </xf>
    <xf numFmtId="179" fontId="16" fillId="0" borderId="0" xfId="4" applyNumberFormat="1" applyFont="1">
      <alignment vertical="top"/>
    </xf>
    <xf numFmtId="179" fontId="15" fillId="0" borderId="0" xfId="4" applyNumberFormat="1" applyFont="1">
      <alignment vertical="top"/>
    </xf>
    <xf numFmtId="179" fontId="10" fillId="0" borderId="0" xfId="4" applyNumberFormat="1" applyFont="1" applyBorder="1">
      <alignment vertical="top"/>
    </xf>
    <xf numFmtId="175" fontId="10" fillId="5" borderId="0" xfId="4" applyFont="1" applyFill="1" applyAlignment="1">
      <alignment horizontal="right" vertical="top"/>
    </xf>
    <xf numFmtId="173" fontId="16" fillId="0" borderId="14" xfId="0" applyFont="1" applyBorder="1">
      <alignment vertical="top"/>
    </xf>
    <xf numFmtId="173" fontId="15" fillId="0" borderId="14" xfId="0" applyFont="1" applyBorder="1">
      <alignment vertical="top"/>
    </xf>
    <xf numFmtId="173" fontId="14" fillId="0" borderId="0" xfId="0" applyFont="1" applyBorder="1">
      <alignment vertical="top"/>
    </xf>
    <xf numFmtId="182" fontId="53" fillId="0" borderId="0" xfId="7" applyFont="1" applyAlignment="1">
      <alignment horizontal="right" vertical="top"/>
    </xf>
    <xf numFmtId="174" fontId="58" fillId="0" borderId="0" xfId="1" applyFont="1">
      <alignment vertical="top"/>
    </xf>
    <xf numFmtId="174" fontId="5" fillId="0" borderId="0" xfId="1" applyFont="1">
      <alignment vertical="top"/>
    </xf>
    <xf numFmtId="174" fontId="60" fillId="0" borderId="0" xfId="1" applyFont="1">
      <alignment vertical="top"/>
    </xf>
    <xf numFmtId="174" fontId="30" fillId="0" borderId="9" xfId="1" applyFont="1" applyBorder="1">
      <alignment vertical="top"/>
    </xf>
    <xf numFmtId="174" fontId="16" fillId="0" borderId="9" xfId="1" applyFont="1" applyBorder="1">
      <alignment vertical="top"/>
    </xf>
    <xf numFmtId="174" fontId="15" fillId="0" borderId="9" xfId="1" applyFont="1" applyBorder="1">
      <alignment vertical="top"/>
    </xf>
    <xf numFmtId="174" fontId="10" fillId="0" borderId="9" xfId="1" applyFont="1" applyBorder="1">
      <alignment vertical="top"/>
    </xf>
    <xf numFmtId="174" fontId="14" fillId="0" borderId="9" xfId="1" applyFont="1" applyFill="1" applyBorder="1">
      <alignment vertical="top"/>
    </xf>
    <xf numFmtId="182" fontId="14" fillId="0" borderId="0" xfId="7" applyFont="1" applyFill="1">
      <alignment vertical="top"/>
    </xf>
    <xf numFmtId="173" fontId="9" fillId="0" borderId="0" xfId="0" applyFont="1" applyFill="1">
      <alignment vertical="top"/>
    </xf>
    <xf numFmtId="173" fontId="29" fillId="0" borderId="0" xfId="0" applyFont="1" applyFill="1">
      <alignment vertical="top"/>
    </xf>
    <xf numFmtId="174" fontId="30" fillId="0" borderId="0" xfId="1" applyFont="1">
      <alignment vertical="top"/>
    </xf>
    <xf numFmtId="174" fontId="14" fillId="22" borderId="0" xfId="1" applyFont="1" applyFill="1" applyBorder="1" applyAlignment="1">
      <alignment horizontal="right" vertical="center"/>
    </xf>
    <xf numFmtId="173" fontId="16" fillId="0" borderId="0" xfId="0" applyFont="1" applyBorder="1">
      <alignment vertical="top"/>
    </xf>
    <xf numFmtId="173" fontId="15" fillId="0" borderId="0" xfId="0" applyFont="1" applyBorder="1">
      <alignment vertical="top"/>
    </xf>
    <xf numFmtId="176" fontId="14" fillId="0" borderId="0" xfId="0" applyNumberFormat="1" applyFont="1" applyFill="1" applyBorder="1">
      <alignment vertical="top"/>
    </xf>
    <xf numFmtId="176" fontId="14" fillId="22" borderId="0" xfId="0" applyNumberFormat="1" applyFont="1" applyFill="1" applyBorder="1">
      <alignment vertical="top"/>
    </xf>
    <xf numFmtId="174" fontId="14" fillId="0" borderId="0" xfId="1" applyFont="1" applyFill="1" applyBorder="1" applyAlignment="1">
      <alignment horizontal="left" vertical="top"/>
    </xf>
    <xf numFmtId="173" fontId="42" fillId="0" borderId="9" xfId="0" applyFont="1" applyBorder="1">
      <alignment vertical="top"/>
    </xf>
    <xf numFmtId="174" fontId="42" fillId="0" borderId="0" xfId="1" applyFont="1" applyBorder="1">
      <alignment vertical="top"/>
    </xf>
    <xf numFmtId="174" fontId="14" fillId="0" borderId="0" xfId="1" applyFont="1" applyFill="1">
      <alignment vertical="top"/>
    </xf>
    <xf numFmtId="176" fontId="53" fillId="0" borderId="0" xfId="0" applyNumberFormat="1" applyFont="1" applyFill="1" applyBorder="1">
      <alignment vertical="top"/>
    </xf>
    <xf numFmtId="175" fontId="30" fillId="0" borderId="0" xfId="4" applyFont="1" applyFill="1">
      <alignment vertical="top"/>
    </xf>
    <xf numFmtId="175" fontId="24" fillId="0" borderId="0" xfId="4" applyFont="1" applyFill="1" applyBorder="1">
      <alignment vertical="top"/>
    </xf>
    <xf numFmtId="187" fontId="42" fillId="0" borderId="0" xfId="7" applyNumberFormat="1" applyFont="1" applyFill="1">
      <alignment vertical="top"/>
    </xf>
    <xf numFmtId="187" fontId="55" fillId="0" borderId="0" xfId="7" applyNumberFormat="1" applyFont="1" applyFill="1">
      <alignment vertical="top"/>
    </xf>
    <xf numFmtId="187" fontId="56" fillId="0" borderId="0" xfId="7" applyNumberFormat="1" applyFont="1" applyFill="1">
      <alignment vertical="top"/>
    </xf>
    <xf numFmtId="187" fontId="42" fillId="0" borderId="0" xfId="7" applyNumberFormat="1" applyFont="1" applyFill="1" applyBorder="1">
      <alignment vertical="top"/>
    </xf>
    <xf numFmtId="187" fontId="42" fillId="0" borderId="0" xfId="7" applyNumberFormat="1" applyFont="1" applyBorder="1">
      <alignment vertical="top"/>
    </xf>
    <xf numFmtId="174" fontId="30" fillId="0" borderId="14" xfId="1" applyFont="1" applyFill="1" applyBorder="1">
      <alignment vertical="top"/>
    </xf>
    <xf numFmtId="174" fontId="16" fillId="0" borderId="14" xfId="1" applyFont="1" applyFill="1" applyBorder="1">
      <alignment vertical="top"/>
    </xf>
    <xf numFmtId="174" fontId="15" fillId="0" borderId="14" xfId="1" applyFont="1" applyFill="1" applyBorder="1">
      <alignment vertical="top"/>
    </xf>
    <xf numFmtId="174" fontId="10" fillId="0" borderId="14" xfId="1" applyFont="1" applyFill="1" applyBorder="1">
      <alignment vertical="top"/>
    </xf>
    <xf numFmtId="174" fontId="10" fillId="0" borderId="14" xfId="1" applyFont="1" applyBorder="1">
      <alignment vertical="top"/>
    </xf>
    <xf numFmtId="182" fontId="16" fillId="0" borderId="0" xfId="7" applyFont="1" applyFill="1">
      <alignment vertical="top"/>
    </xf>
    <xf numFmtId="182" fontId="15" fillId="0" borderId="0" xfId="7" applyFont="1" applyFill="1">
      <alignment vertical="top"/>
    </xf>
    <xf numFmtId="182" fontId="24" fillId="0" borderId="0" xfId="7" applyFont="1" applyFill="1" applyBorder="1">
      <alignment vertical="top"/>
    </xf>
    <xf numFmtId="174" fontId="30" fillId="0" borderId="0" xfId="1" applyFont="1" applyFill="1" applyBorder="1">
      <alignment vertical="top"/>
    </xf>
    <xf numFmtId="174" fontId="16" fillId="0" borderId="0" xfId="1" applyFont="1" applyFill="1" applyBorder="1">
      <alignment vertical="top"/>
    </xf>
    <xf numFmtId="174" fontId="15" fillId="0" borderId="0" xfId="1" applyFont="1" applyFill="1" applyBorder="1">
      <alignment vertical="top"/>
    </xf>
    <xf numFmtId="173" fontId="10" fillId="22" borderId="9" xfId="0" applyFont="1" applyFill="1" applyBorder="1">
      <alignment vertical="top"/>
    </xf>
    <xf numFmtId="174" fontId="14" fillId="22" borderId="9" xfId="1" applyFont="1" applyFill="1" applyBorder="1" applyAlignment="1">
      <alignment horizontal="right" vertical="center"/>
    </xf>
    <xf numFmtId="1" fontId="14" fillId="22" borderId="9" xfId="0" applyNumberFormat="1" applyFont="1" applyFill="1" applyBorder="1" applyAlignment="1">
      <alignment horizontal="right" vertical="center"/>
    </xf>
    <xf numFmtId="9" fontId="14" fillId="22" borderId="0" xfId="0" applyNumberFormat="1" applyFont="1" applyFill="1" applyBorder="1" applyAlignment="1">
      <alignment horizontal="right" vertical="center"/>
    </xf>
    <xf numFmtId="9" fontId="14" fillId="22" borderId="9" xfId="0" applyNumberFormat="1" applyFont="1" applyFill="1" applyBorder="1" applyAlignment="1">
      <alignment horizontal="right" vertical="center"/>
    </xf>
    <xf numFmtId="0" fontId="14" fillId="22" borderId="0" xfId="1" applyNumberFormat="1" applyFont="1" applyFill="1" applyBorder="1" applyAlignment="1">
      <alignment horizontal="right" vertical="center"/>
    </xf>
    <xf numFmtId="179" fontId="14" fillId="22" borderId="0" xfId="0" applyNumberFormat="1" applyFont="1" applyFill="1" applyBorder="1">
      <alignment vertical="top"/>
    </xf>
    <xf numFmtId="182" fontId="30" fillId="0" borderId="0" xfId="7" applyFont="1">
      <alignment vertical="top"/>
    </xf>
    <xf numFmtId="0" fontId="14" fillId="22" borderId="0" xfId="0" applyNumberFormat="1" applyFont="1" applyFill="1" applyBorder="1" applyAlignment="1">
      <alignment horizontal="right" vertical="center"/>
    </xf>
    <xf numFmtId="0" fontId="14" fillId="22" borderId="9" xfId="0" applyNumberFormat="1" applyFont="1" applyFill="1" applyBorder="1" applyAlignment="1">
      <alignment horizontal="right" vertical="center"/>
    </xf>
    <xf numFmtId="3" fontId="14" fillId="22" borderId="0" xfId="0" applyNumberFormat="1" applyFont="1" applyFill="1" applyBorder="1" applyAlignment="1">
      <alignment horizontal="right" vertical="center"/>
    </xf>
    <xf numFmtId="168" fontId="14" fillId="22" borderId="0" xfId="1" applyNumberFormat="1" applyFont="1" applyFill="1" applyBorder="1" applyAlignment="1">
      <alignment horizontal="right" vertical="center"/>
    </xf>
    <xf numFmtId="173" fontId="14" fillId="0" borderId="0" xfId="0" applyFont="1" applyFill="1" applyAlignment="1">
      <alignment horizontal="center" vertical="center"/>
    </xf>
    <xf numFmtId="166" fontId="14" fillId="0" borderId="0" xfId="0" applyNumberFormat="1" applyFont="1" applyFill="1" applyBorder="1" applyAlignment="1">
      <alignment horizontal="right" vertical="center"/>
    </xf>
    <xf numFmtId="182" fontId="27" fillId="0" borderId="0" xfId="7" applyFont="1" applyFill="1" applyBorder="1">
      <alignment vertical="top"/>
    </xf>
    <xf numFmtId="182" fontId="51" fillId="0" borderId="0" xfId="7" applyFont="1">
      <alignment vertical="top"/>
    </xf>
    <xf numFmtId="182" fontId="10" fillId="0" borderId="0" xfId="7" applyFont="1" applyFill="1">
      <alignment vertical="top"/>
    </xf>
    <xf numFmtId="182" fontId="27" fillId="0" borderId="0" xfId="7" applyFont="1">
      <alignment vertical="top"/>
    </xf>
    <xf numFmtId="182" fontId="27" fillId="0" borderId="0" xfId="7" applyFont="1" applyFill="1">
      <alignment vertical="top"/>
    </xf>
    <xf numFmtId="182" fontId="35" fillId="0" borderId="0" xfId="7" applyFont="1" applyFill="1">
      <alignment vertical="top"/>
    </xf>
    <xf numFmtId="182" fontId="27" fillId="7" borderId="0" xfId="7" applyFont="1" applyFill="1" applyBorder="1">
      <alignment vertical="top"/>
    </xf>
    <xf numFmtId="173" fontId="10" fillId="22" borderId="0" xfId="0" applyFont="1" applyFill="1" applyAlignment="1">
      <alignment vertical="center"/>
    </xf>
    <xf numFmtId="182" fontId="10" fillId="7" borderId="0" xfId="7" applyFont="1" applyFill="1" applyBorder="1">
      <alignment vertical="top"/>
    </xf>
    <xf numFmtId="182" fontId="24" fillId="0" borderId="0" xfId="7" applyFont="1" applyFill="1">
      <alignment vertical="top"/>
    </xf>
    <xf numFmtId="173" fontId="14" fillId="0" borderId="0" xfId="0" applyFont="1" applyBorder="1" applyAlignment="1">
      <alignment vertical="center"/>
    </xf>
    <xf numFmtId="174" fontId="14" fillId="0" borderId="0" xfId="1" applyFont="1" applyBorder="1" applyAlignment="1">
      <alignment vertical="center"/>
    </xf>
    <xf numFmtId="173" fontId="29" fillId="0" borderId="0" xfId="0" applyFont="1" applyBorder="1" applyAlignment="1">
      <alignment vertical="center"/>
    </xf>
    <xf numFmtId="169" fontId="14" fillId="0" borderId="0" xfId="0" applyNumberFormat="1" applyFont="1" applyFill="1" applyBorder="1" applyAlignment="1">
      <alignment horizontal="right" vertical="center"/>
    </xf>
    <xf numFmtId="169" fontId="14" fillId="0" borderId="0" xfId="0" applyNumberFormat="1" applyFont="1" applyFill="1" applyBorder="1" applyAlignment="1">
      <alignment horizontal="center" vertical="center"/>
    </xf>
    <xf numFmtId="173" fontId="14" fillId="0" borderId="14" xfId="0" applyFont="1" applyFill="1" applyBorder="1" applyAlignment="1">
      <alignment vertical="center"/>
    </xf>
    <xf numFmtId="174" fontId="14" fillId="0" borderId="14" xfId="1" applyFont="1" applyFill="1" applyBorder="1" applyAlignment="1">
      <alignment vertical="center"/>
    </xf>
    <xf numFmtId="173" fontId="29" fillId="0" borderId="14" xfId="0" applyFont="1" applyFill="1" applyBorder="1" applyAlignment="1">
      <alignment vertical="center"/>
    </xf>
    <xf numFmtId="173" fontId="14" fillId="0" borderId="14" xfId="0" applyFont="1" applyFill="1" applyBorder="1" applyAlignment="1">
      <alignment horizontal="right" vertical="center"/>
    </xf>
    <xf numFmtId="173" fontId="14" fillId="0" borderId="14" xfId="0" applyFont="1" applyBorder="1">
      <alignment vertical="top"/>
    </xf>
    <xf numFmtId="173" fontId="7" fillId="6" borderId="0" xfId="0" applyFont="1" applyFill="1" applyBorder="1" applyAlignment="1">
      <alignment vertical="center"/>
    </xf>
    <xf numFmtId="173" fontId="59" fillId="6" borderId="0" xfId="0" applyFont="1" applyFill="1" applyBorder="1" applyAlignment="1">
      <alignment horizontal="left" vertical="center"/>
    </xf>
    <xf numFmtId="173" fontId="67" fillId="6" borderId="0" xfId="0" applyFont="1" applyFill="1" applyBorder="1" applyAlignment="1">
      <alignment vertical="center"/>
    </xf>
    <xf numFmtId="173" fontId="7" fillId="6" borderId="0" xfId="0" applyFont="1" applyFill="1" applyBorder="1" applyAlignment="1">
      <alignment horizontal="right" vertical="center"/>
    </xf>
    <xf numFmtId="173" fontId="59" fillId="0" borderId="0" xfId="0" applyFont="1" applyFill="1" applyAlignment="1">
      <alignment horizontal="left" vertical="top"/>
    </xf>
    <xf numFmtId="173" fontId="34" fillId="0" borderId="0" xfId="0" applyFont="1" applyFill="1">
      <alignment vertical="top"/>
    </xf>
    <xf numFmtId="182" fontId="41" fillId="0" borderId="0" xfId="7" applyFont="1">
      <alignment vertical="top"/>
    </xf>
    <xf numFmtId="182" fontId="68" fillId="0" borderId="0" xfId="7" applyFont="1">
      <alignment vertical="top"/>
    </xf>
    <xf numFmtId="182" fontId="69" fillId="0" borderId="0" xfId="7" applyFont="1">
      <alignment vertical="top"/>
    </xf>
    <xf numFmtId="182" fontId="41" fillId="0" borderId="0" xfId="7" applyFont="1" applyBorder="1">
      <alignment vertical="top"/>
    </xf>
    <xf numFmtId="182" fontId="62" fillId="0" borderId="0" xfId="7" applyFont="1" applyFill="1">
      <alignment vertical="top"/>
    </xf>
    <xf numFmtId="182" fontId="59" fillId="0" borderId="0" xfId="7" applyFont="1" applyFill="1">
      <alignment vertical="top"/>
    </xf>
    <xf numFmtId="182" fontId="34" fillId="0" borderId="0" xfId="7" applyFont="1" applyFill="1">
      <alignment vertical="top"/>
    </xf>
    <xf numFmtId="182" fontId="6" fillId="0" borderId="0" xfId="7" applyFont="1" applyFill="1" applyBorder="1">
      <alignment vertical="top"/>
    </xf>
    <xf numFmtId="9" fontId="10" fillId="0" borderId="0" xfId="0" applyNumberFormat="1" applyFont="1" applyFill="1" applyAlignment="1">
      <alignment vertical="center"/>
    </xf>
    <xf numFmtId="173" fontId="14" fillId="0" borderId="9" xfId="0" applyFont="1" applyBorder="1" applyAlignment="1">
      <alignment horizontal="left" vertical="center"/>
    </xf>
    <xf numFmtId="173" fontId="14" fillId="0" borderId="9" xfId="0" applyFont="1" applyFill="1" applyBorder="1" applyAlignment="1">
      <alignment horizontal="center" vertical="center"/>
    </xf>
    <xf numFmtId="173" fontId="14" fillId="0" borderId="0" xfId="0" applyFont="1" applyFill="1" applyBorder="1" applyAlignment="1">
      <alignment horizontal="center" vertical="center"/>
    </xf>
    <xf numFmtId="174" fontId="14" fillId="0" borderId="0" xfId="1" applyFont="1" applyFill="1" applyBorder="1" applyAlignment="1">
      <alignment horizontal="center" vertical="center"/>
    </xf>
    <xf numFmtId="173" fontId="14" fillId="0" borderId="9" xfId="0" applyFont="1" applyBorder="1" applyAlignment="1">
      <alignment horizontal="center" vertical="center"/>
    </xf>
    <xf numFmtId="173" fontId="14" fillId="0" borderId="0" xfId="0" applyFont="1" applyBorder="1" applyAlignment="1">
      <alignment horizontal="center" vertical="center"/>
    </xf>
    <xf numFmtId="174" fontId="14" fillId="0" borderId="0" xfId="1" applyFont="1" applyBorder="1" applyAlignment="1">
      <alignment horizontal="center" vertical="center"/>
    </xf>
    <xf numFmtId="182" fontId="14" fillId="0" borderId="0" xfId="7" applyFont="1" applyBorder="1" applyAlignment="1">
      <alignment horizontal="center" vertical="center"/>
    </xf>
    <xf numFmtId="166" fontId="14" fillId="0" borderId="9" xfId="0" applyNumberFormat="1" applyFont="1" applyFill="1" applyBorder="1" applyAlignment="1">
      <alignment horizontal="center" vertical="center"/>
    </xf>
    <xf numFmtId="173" fontId="14" fillId="0" borderId="0" xfId="0" applyFont="1" applyAlignment="1">
      <alignment horizontal="center" vertical="center"/>
    </xf>
    <xf numFmtId="179" fontId="14" fillId="0" borderId="0" xfId="0" applyNumberFormat="1" applyFont="1" applyFill="1" applyBorder="1" applyAlignment="1">
      <alignment horizontal="center" vertical="center"/>
    </xf>
    <xf numFmtId="174" fontId="14" fillId="0" borderId="9" xfId="1" applyFont="1" applyFill="1" applyBorder="1" applyAlignment="1">
      <alignment horizontal="center" vertical="center"/>
    </xf>
    <xf numFmtId="173" fontId="14" fillId="0" borderId="10" xfId="0" applyFont="1" applyFill="1" applyBorder="1" applyAlignment="1">
      <alignment horizontal="center" vertical="center"/>
    </xf>
    <xf numFmtId="173" fontId="14" fillId="8" borderId="0" xfId="0" applyFont="1" applyFill="1" applyAlignment="1">
      <alignment horizontal="center" vertical="center"/>
    </xf>
    <xf numFmtId="173" fontId="14" fillId="7" borderId="0" xfId="0" applyFont="1" applyFill="1" applyAlignment="1">
      <alignment vertical="center"/>
    </xf>
    <xf numFmtId="173" fontId="14" fillId="0" borderId="0" xfId="0" applyFont="1" applyAlignment="1">
      <alignment horizontal="left" vertical="center"/>
    </xf>
    <xf numFmtId="173" fontId="14" fillId="0" borderId="0" xfId="0" applyFont="1" applyFill="1" applyAlignment="1">
      <alignment horizontal="left" vertical="center"/>
    </xf>
    <xf numFmtId="0" fontId="14" fillId="0" borderId="0" xfId="0" applyNumberFormat="1" applyFont="1" applyFill="1" applyBorder="1" applyAlignment="1">
      <alignment vertical="center"/>
    </xf>
    <xf numFmtId="0" fontId="10" fillId="0" borderId="0" xfId="0" applyNumberFormat="1" applyFont="1" applyBorder="1">
      <alignment vertical="top"/>
    </xf>
    <xf numFmtId="173" fontId="0" fillId="0" borderId="0" xfId="0" applyBorder="1">
      <alignment vertical="top"/>
    </xf>
    <xf numFmtId="173" fontId="14" fillId="0" borderId="9" xfId="0" applyFont="1" applyFill="1" applyBorder="1" applyAlignment="1">
      <alignment horizontal="left" vertical="center"/>
    </xf>
    <xf numFmtId="173" fontId="10" fillId="0" borderId="14" xfId="0" applyFont="1" applyBorder="1" applyAlignment="1">
      <alignment horizontal="left" vertical="center"/>
    </xf>
    <xf numFmtId="173" fontId="10" fillId="0" borderId="12" xfId="0" applyFont="1" applyBorder="1" applyAlignment="1">
      <alignment horizontal="left" vertical="center"/>
    </xf>
    <xf numFmtId="173" fontId="47" fillId="6" borderId="0" xfId="0" applyFont="1" applyFill="1" applyAlignment="1">
      <alignment horizontal="right" vertical="top"/>
    </xf>
    <xf numFmtId="173" fontId="29" fillId="0" borderId="0" xfId="0" applyFont="1">
      <alignment vertical="top"/>
    </xf>
    <xf numFmtId="173" fontId="71" fillId="0" borderId="0" xfId="0" applyFont="1" applyAlignment="1">
      <alignment horizontal="left" vertical="top"/>
    </xf>
    <xf numFmtId="173" fontId="14" fillId="22" borderId="0" xfId="0" applyFont="1" applyFill="1" applyBorder="1" applyAlignment="1">
      <alignment horizontal="right" vertical="center"/>
    </xf>
    <xf numFmtId="173" fontId="10" fillId="0" borderId="0" xfId="0" applyFont="1" applyAlignment="1">
      <alignment horizontal="right"/>
    </xf>
    <xf numFmtId="173" fontId="14" fillId="22" borderId="0" xfId="0" applyFont="1" applyFill="1" applyAlignment="1">
      <alignment horizontal="right" vertical="center"/>
    </xf>
    <xf numFmtId="173" fontId="24" fillId="5" borderId="0" xfId="0" applyFont="1" applyFill="1" applyAlignment="1">
      <alignment vertical="center"/>
    </xf>
    <xf numFmtId="187" fontId="42" fillId="0" borderId="0" xfId="7" applyNumberFormat="1" applyFont="1">
      <alignment vertical="top"/>
    </xf>
    <xf numFmtId="173" fontId="58" fillId="5" borderId="0" xfId="0" applyFont="1" applyFill="1">
      <alignment vertical="top"/>
    </xf>
    <xf numFmtId="173" fontId="42" fillId="0" borderId="0" xfId="0" applyFont="1" applyFill="1" applyAlignment="1">
      <alignment horizontal="left" vertical="center"/>
    </xf>
    <xf numFmtId="173" fontId="57" fillId="20" borderId="0" xfId="0" applyFont="1" applyFill="1" applyAlignment="1"/>
    <xf numFmtId="173" fontId="14" fillId="0" borderId="0" xfId="0" applyFont="1" applyFill="1" applyAlignment="1">
      <alignment horizontal="left" vertical="top"/>
    </xf>
    <xf numFmtId="49" fontId="0" fillId="0" borderId="0" xfId="0" applyNumberFormat="1">
      <alignment vertical="top"/>
    </xf>
    <xf numFmtId="173" fontId="10" fillId="0" borderId="0" xfId="0" applyFont="1" applyBorder="1" applyAlignment="1">
      <alignment vertical="top" wrapText="1"/>
    </xf>
    <xf numFmtId="172" fontId="9" fillId="0" borderId="0" xfId="0" applyNumberFormat="1" applyFont="1" applyFill="1" applyBorder="1" applyAlignment="1">
      <alignment horizontal="left" vertical="center"/>
    </xf>
    <xf numFmtId="49" fontId="11" fillId="0" borderId="0" xfId="0" applyNumberFormat="1" applyFont="1" applyFill="1" applyAlignment="1">
      <alignment horizontal="right" vertical="top"/>
    </xf>
    <xf numFmtId="172" fontId="37" fillId="0" borderId="0" xfId="0" applyNumberFormat="1" applyFont="1" applyFill="1" applyBorder="1" applyAlignment="1">
      <alignment horizontal="left" vertical="center"/>
    </xf>
    <xf numFmtId="187" fontId="16" fillId="0" borderId="0" xfId="7" applyNumberFormat="1" applyFont="1">
      <alignment vertical="top"/>
    </xf>
    <xf numFmtId="173" fontId="10" fillId="15" borderId="0" xfId="0" applyFont="1" applyFill="1" applyBorder="1" applyAlignment="1">
      <alignment vertical="top" wrapText="1"/>
    </xf>
    <xf numFmtId="49" fontId="10" fillId="22" borderId="0" xfId="0" applyNumberFormat="1" applyFont="1" applyFill="1" applyBorder="1" applyAlignment="1">
      <alignment vertical="center"/>
    </xf>
    <xf numFmtId="49" fontId="72" fillId="0" borderId="0" xfId="0" applyNumberFormat="1" applyFont="1">
      <alignment vertical="top"/>
    </xf>
    <xf numFmtId="173" fontId="72" fillId="0" borderId="0" xfId="0" applyFont="1">
      <alignment vertical="top"/>
    </xf>
    <xf numFmtId="173" fontId="9" fillId="0" borderId="0" xfId="0" applyFont="1" applyFill="1" applyBorder="1" applyAlignment="1">
      <alignment horizontal="left" vertical="center"/>
    </xf>
    <xf numFmtId="173" fontId="16" fillId="0" borderId="14" xfId="0" applyFont="1" applyFill="1" applyBorder="1">
      <alignment vertical="top"/>
    </xf>
    <xf numFmtId="166" fontId="14" fillId="0" borderId="3" xfId="0" applyNumberFormat="1" applyFont="1" applyFill="1" applyBorder="1" applyAlignment="1">
      <alignment horizontal="left" vertical="center"/>
    </xf>
    <xf numFmtId="166" fontId="14" fillId="0" borderId="3" xfId="0" applyNumberFormat="1" applyFont="1" applyFill="1" applyBorder="1" applyAlignment="1">
      <alignment horizontal="center" vertical="center"/>
    </xf>
    <xf numFmtId="49" fontId="1" fillId="0" borderId="0" xfId="0" applyNumberFormat="1" applyFont="1" applyFill="1" applyBorder="1">
      <alignment vertical="top"/>
    </xf>
    <xf numFmtId="173" fontId="7" fillId="6" borderId="0" xfId="0" applyFont="1" applyFill="1">
      <alignment vertical="top"/>
    </xf>
    <xf numFmtId="173" fontId="7" fillId="6" borderId="0" xfId="0" applyFont="1" applyFill="1" applyAlignment="1">
      <alignment horizontal="center" vertical="top"/>
    </xf>
    <xf numFmtId="173" fontId="41" fillId="20" borderId="0" xfId="0" applyFont="1" applyFill="1" applyAlignment="1"/>
    <xf numFmtId="173" fontId="74" fillId="0" borderId="0" xfId="0" applyFont="1">
      <alignment vertical="top"/>
    </xf>
    <xf numFmtId="173" fontId="1" fillId="0" borderId="0" xfId="0" applyFont="1" applyAlignment="1">
      <alignment horizontal="center" vertical="top"/>
    </xf>
    <xf numFmtId="14" fontId="21" fillId="0" borderId="0" xfId="0" applyNumberFormat="1" applyFont="1">
      <alignment vertical="top"/>
    </xf>
    <xf numFmtId="14" fontId="39" fillId="0" borderId="0" xfId="0" applyNumberFormat="1" applyFont="1">
      <alignment vertical="top"/>
    </xf>
    <xf numFmtId="14" fontId="12" fillId="0" borderId="0" xfId="0" applyNumberFormat="1" applyFont="1" applyAlignment="1">
      <alignment horizontal="right" vertical="top"/>
    </xf>
    <xf numFmtId="14" fontId="12" fillId="0" borderId="0" xfId="0" applyNumberFormat="1" applyFont="1">
      <alignment vertical="top"/>
    </xf>
    <xf numFmtId="14" fontId="1" fillId="0" borderId="0" xfId="0" applyNumberFormat="1" applyFont="1">
      <alignment vertical="top"/>
    </xf>
    <xf numFmtId="14" fontId="1" fillId="0" borderId="0" xfId="0" applyNumberFormat="1" applyFont="1" applyAlignment="1">
      <alignment horizontal="center" vertical="top"/>
    </xf>
    <xf numFmtId="14" fontId="41" fillId="20" borderId="0" xfId="0" applyNumberFormat="1" applyFont="1" applyFill="1" applyAlignment="1"/>
    <xf numFmtId="14" fontId="12" fillId="12" borderId="0" xfId="0" applyNumberFormat="1" applyFont="1" applyFill="1">
      <alignment vertical="top"/>
    </xf>
    <xf numFmtId="14" fontId="74" fillId="0" borderId="0" xfId="0" applyNumberFormat="1" applyFont="1">
      <alignment vertical="top"/>
    </xf>
    <xf numFmtId="181" fontId="12" fillId="0" borderId="0" xfId="0" applyNumberFormat="1" applyFont="1">
      <alignment vertical="top"/>
    </xf>
    <xf numFmtId="181" fontId="12" fillId="12" borderId="0" xfId="0" applyNumberFormat="1" applyFont="1" applyFill="1">
      <alignment vertical="top"/>
    </xf>
    <xf numFmtId="173" fontId="12" fillId="12" borderId="0" xfId="0" applyFont="1" applyFill="1">
      <alignment vertical="top"/>
    </xf>
    <xf numFmtId="173" fontId="21" fillId="20" borderId="0" xfId="0" applyFont="1" applyFill="1">
      <alignment vertical="top"/>
    </xf>
    <xf numFmtId="173" fontId="39" fillId="20" borderId="0" xfId="0" applyFont="1" applyFill="1">
      <alignment vertical="top"/>
    </xf>
    <xf numFmtId="177" fontId="12" fillId="20" borderId="0" xfId="0" applyNumberFormat="1" applyFont="1" applyFill="1" applyAlignment="1">
      <alignment horizontal="right" vertical="top"/>
    </xf>
    <xf numFmtId="173" fontId="58" fillId="20" borderId="0" xfId="0" applyFont="1" applyFill="1" applyAlignment="1"/>
    <xf numFmtId="173" fontId="1" fillId="20" borderId="0" xfId="0" applyFont="1" applyFill="1">
      <alignment vertical="top"/>
    </xf>
    <xf numFmtId="173" fontId="1" fillId="20" borderId="0" xfId="0" applyFont="1" applyFill="1" applyAlignment="1">
      <alignment horizontal="center" vertical="top"/>
    </xf>
    <xf numFmtId="173" fontId="58" fillId="0" borderId="0" xfId="0" applyFont="1">
      <alignment vertical="top"/>
    </xf>
    <xf numFmtId="173" fontId="12" fillId="0" borderId="0" xfId="0" applyFont="1" applyAlignment="1">
      <alignment horizontal="center" vertical="top"/>
    </xf>
    <xf numFmtId="173" fontId="12" fillId="5" borderId="0" xfId="0" applyFont="1" applyFill="1" applyAlignment="1">
      <alignment vertical="top" wrapText="1"/>
    </xf>
    <xf numFmtId="173" fontId="17" fillId="6" borderId="0" xfId="0" applyFont="1" applyFill="1" applyAlignment="1">
      <alignment horizontal="left" vertical="top"/>
    </xf>
    <xf numFmtId="188" fontId="10" fillId="22" borderId="0" xfId="1" applyNumberFormat="1" applyFont="1" applyFill="1">
      <alignment vertical="top"/>
    </xf>
    <xf numFmtId="188" fontId="10" fillId="16" borderId="0" xfId="1" applyNumberFormat="1" applyFont="1" applyFill="1">
      <alignment vertical="top"/>
    </xf>
    <xf numFmtId="173" fontId="53" fillId="0" borderId="0" xfId="0" applyFont="1" applyAlignment="1">
      <alignment vertical="center"/>
    </xf>
    <xf numFmtId="173" fontId="53" fillId="0" borderId="0" xfId="0" applyFont="1" applyAlignment="1">
      <alignment horizontal="right" vertical="center"/>
    </xf>
    <xf numFmtId="178" fontId="27" fillId="0" borderId="0" xfId="1" applyNumberFormat="1" applyFont="1" applyFill="1">
      <alignment vertical="top"/>
    </xf>
    <xf numFmtId="174" fontId="27" fillId="0" borderId="0" xfId="1" applyFont="1" applyFill="1">
      <alignment vertical="top"/>
    </xf>
    <xf numFmtId="174" fontId="31" fillId="0" borderId="0" xfId="1" applyFont="1" applyFill="1" applyAlignment="1">
      <alignment horizontal="left" vertical="top"/>
    </xf>
    <xf numFmtId="174" fontId="35" fillId="0" borderId="0" xfId="1" applyFont="1" applyFill="1" applyAlignment="1">
      <alignment horizontal="left" vertical="top"/>
    </xf>
    <xf numFmtId="174" fontId="31" fillId="0" borderId="0" xfId="1" applyFont="1" applyFill="1" applyBorder="1" applyAlignment="1">
      <alignment horizontal="right" vertical="top"/>
    </xf>
    <xf numFmtId="174" fontId="27" fillId="0" borderId="0" xfId="1" applyFont="1">
      <alignment vertical="top"/>
    </xf>
    <xf numFmtId="173" fontId="75" fillId="0" borderId="0" xfId="0" applyFont="1">
      <alignment vertical="top"/>
    </xf>
    <xf numFmtId="166" fontId="4" fillId="0" borderId="6" xfId="2" applyNumberFormat="1" applyBorder="1" applyAlignment="1" applyProtection="1">
      <alignment vertical="center"/>
    </xf>
    <xf numFmtId="166" fontId="76" fillId="0" borderId="6" xfId="2" applyNumberFormat="1" applyFont="1" applyBorder="1" applyAlignment="1" applyProtection="1">
      <alignment vertical="center"/>
    </xf>
    <xf numFmtId="1" fontId="50" fillId="22" borderId="0" xfId="0" applyNumberFormat="1" applyFont="1" applyFill="1" applyBorder="1" applyAlignment="1">
      <alignment horizontal="left" vertical="top" wrapText="1"/>
    </xf>
    <xf numFmtId="1" fontId="66" fillId="22" borderId="0" xfId="0" applyNumberFormat="1" applyFont="1" applyFill="1" applyBorder="1" applyAlignment="1">
      <alignment horizontal="left" vertical="top" wrapText="1"/>
    </xf>
    <xf numFmtId="1" fontId="14" fillId="22" borderId="0" xfId="0" applyNumberFormat="1" applyFont="1" applyFill="1" applyBorder="1" applyAlignment="1">
      <alignment horizontal="left" vertical="top" wrapText="1"/>
    </xf>
    <xf numFmtId="10" fontId="14" fillId="22" borderId="0" xfId="0" applyNumberFormat="1" applyFont="1" applyFill="1" applyBorder="1" applyAlignment="1">
      <alignment horizontal="right" vertical="center"/>
    </xf>
    <xf numFmtId="168" fontId="14" fillId="22" borderId="0" xfId="0" applyNumberFormat="1" applyFont="1" applyFill="1" applyBorder="1" applyAlignment="1">
      <alignment horizontal="right" vertical="center"/>
    </xf>
    <xf numFmtId="174" fontId="14" fillId="22" borderId="9" xfId="1" applyFont="1" applyFill="1" applyBorder="1">
      <alignment vertical="top"/>
    </xf>
    <xf numFmtId="10" fontId="14" fillId="22" borderId="9" xfId="0" applyNumberFormat="1" applyFont="1" applyFill="1" applyBorder="1" applyAlignment="1">
      <alignment horizontal="right" vertical="center"/>
    </xf>
    <xf numFmtId="173" fontId="77" fillId="0" borderId="0" xfId="2" applyNumberFormat="1" applyFont="1" applyProtection="1">
      <alignment vertical="top"/>
    </xf>
    <xf numFmtId="173" fontId="16" fillId="6" borderId="0" xfId="0" applyFont="1" applyFill="1">
      <alignment vertical="top"/>
    </xf>
    <xf numFmtId="173" fontId="20" fillId="6" borderId="0" xfId="2" applyNumberFormat="1" applyFont="1" applyFill="1" applyProtection="1">
      <alignment vertical="top"/>
    </xf>
    <xf numFmtId="173" fontId="17" fillId="6" borderId="0" xfId="0" applyFont="1" applyFill="1" applyAlignment="1">
      <alignment vertical="top" wrapText="1"/>
    </xf>
    <xf numFmtId="173" fontId="17" fillId="6" borderId="0" xfId="0" applyFont="1" applyFill="1" applyAlignment="1">
      <alignment horizontal="center" vertical="top" wrapText="1"/>
    </xf>
    <xf numFmtId="166" fontId="77" fillId="0" borderId="0" xfId="2" applyNumberFormat="1" applyFont="1" applyBorder="1" applyAlignment="1" applyProtection="1">
      <alignment vertical="center"/>
    </xf>
    <xf numFmtId="166" fontId="77" fillId="0" borderId="0" xfId="2" applyNumberFormat="1" applyFont="1" applyFill="1" applyBorder="1" applyAlignment="1" applyProtection="1">
      <alignment vertical="center"/>
    </xf>
    <xf numFmtId="173" fontId="12" fillId="21" borderId="0" xfId="0" applyFont="1" applyFill="1">
      <alignment vertical="top"/>
    </xf>
    <xf numFmtId="173" fontId="1" fillId="18" borderId="0" xfId="0" applyFont="1" applyFill="1">
      <alignment vertical="top"/>
    </xf>
    <xf numFmtId="173" fontId="1" fillId="0" borderId="0" xfId="0" applyFont="1" applyBorder="1">
      <alignment vertical="top"/>
    </xf>
    <xf numFmtId="173" fontId="1" fillId="0" borderId="0" xfId="0" applyFont="1" applyFill="1">
      <alignment vertical="top"/>
    </xf>
    <xf numFmtId="173" fontId="58" fillId="0" borderId="0" xfId="0" applyFont="1" applyFill="1">
      <alignment vertical="top"/>
    </xf>
    <xf numFmtId="173" fontId="1" fillId="22" borderId="0" xfId="0" applyFont="1" applyFill="1">
      <alignment vertical="top"/>
    </xf>
    <xf numFmtId="173" fontId="12" fillId="0" borderId="15" xfId="0" applyFont="1" applyFill="1" applyBorder="1" applyAlignment="1">
      <alignment horizontal="left" vertical="top"/>
    </xf>
    <xf numFmtId="9" fontId="14" fillId="22" borderId="0" xfId="0" applyNumberFormat="1" applyFont="1" applyFill="1" applyBorder="1" applyAlignment="1">
      <alignment horizontal="left" vertical="center"/>
    </xf>
    <xf numFmtId="182" fontId="14" fillId="22" borderId="0" xfId="7" applyFont="1" applyFill="1" applyBorder="1" applyAlignment="1">
      <alignment horizontal="left" vertical="top"/>
    </xf>
    <xf numFmtId="173" fontId="14" fillId="22" borderId="0" xfId="0" applyFont="1" applyFill="1" applyBorder="1" applyAlignment="1">
      <alignment horizontal="left" vertical="top"/>
    </xf>
    <xf numFmtId="173" fontId="10" fillId="5" borderId="16" xfId="0" applyFont="1" applyFill="1" applyBorder="1" applyAlignment="1">
      <alignment horizontal="left" vertical="top" wrapText="1"/>
    </xf>
    <xf numFmtId="173" fontId="25" fillId="0" borderId="0" xfId="0" applyFont="1" applyFill="1" applyAlignment="1">
      <alignment horizontal="left" vertical="center"/>
    </xf>
    <xf numFmtId="173" fontId="4" fillId="0" borderId="6" xfId="0" applyFont="1" applyBorder="1" applyProtection="1">
      <alignment vertical="top"/>
    </xf>
    <xf numFmtId="49" fontId="10" fillId="5" borderId="0" xfId="0" quotePrefix="1" applyNumberFormat="1" applyFont="1" applyFill="1" applyBorder="1" applyAlignment="1">
      <alignment vertical="center"/>
    </xf>
    <xf numFmtId="2" fontId="14" fillId="0" borderId="0" xfId="0" applyNumberFormat="1" applyFont="1" applyFill="1" applyBorder="1" applyAlignment="1">
      <alignment vertical="center"/>
    </xf>
    <xf numFmtId="2" fontId="70" fillId="0" borderId="0" xfId="0" applyNumberFormat="1" applyFont="1" applyBorder="1">
      <alignment vertical="top"/>
    </xf>
    <xf numFmtId="2" fontId="10" fillId="22" borderId="0" xfId="0" applyNumberFormat="1" applyFont="1" applyFill="1" applyBorder="1" applyAlignment="1">
      <alignment vertical="center" wrapText="1"/>
    </xf>
    <xf numFmtId="2" fontId="0" fillId="22" borderId="0" xfId="0" applyNumberFormat="1" applyFill="1" applyBorder="1">
      <alignment vertical="top"/>
    </xf>
    <xf numFmtId="2" fontId="10" fillId="22" borderId="0" xfId="0" applyNumberFormat="1" applyFont="1" applyFill="1" applyBorder="1">
      <alignment vertical="top"/>
    </xf>
    <xf numFmtId="2" fontId="10" fillId="22" borderId="0" xfId="0" applyNumberFormat="1" applyFont="1" applyFill="1" applyBorder="1" applyAlignment="1">
      <alignment vertical="top" wrapText="1"/>
    </xf>
    <xf numFmtId="2" fontId="10" fillId="22" borderId="0" xfId="0" applyNumberFormat="1" applyFont="1" applyFill="1" applyBorder="1" applyAlignment="1">
      <alignment horizontal="left" vertical="center" wrapText="1"/>
    </xf>
    <xf numFmtId="2" fontId="14" fillId="22" borderId="0" xfId="0" applyNumberFormat="1" applyFont="1" applyFill="1" applyBorder="1" applyAlignment="1">
      <alignment vertical="center" wrapText="1"/>
    </xf>
    <xf numFmtId="2" fontId="10" fillId="0" borderId="0" xfId="0" applyNumberFormat="1" applyFont="1" applyBorder="1">
      <alignment vertical="top"/>
    </xf>
    <xf numFmtId="2" fontId="24" fillId="0" borderId="0" xfId="0" applyNumberFormat="1" applyFont="1" applyFill="1" applyBorder="1" applyAlignment="1">
      <alignment vertical="center"/>
    </xf>
    <xf numFmtId="2" fontId="10" fillId="0" borderId="0" xfId="0" applyNumberFormat="1" applyFont="1" applyBorder="1" applyAlignment="1">
      <alignment vertical="top" wrapText="1"/>
    </xf>
    <xf numFmtId="2" fontId="10" fillId="0" borderId="0" xfId="0" applyNumberFormat="1" applyFont="1" applyFill="1" applyBorder="1" applyAlignment="1">
      <alignment vertical="top" wrapText="1"/>
    </xf>
    <xf numFmtId="173" fontId="0" fillId="0" borderId="0" xfId="0" applyFill="1" applyBorder="1">
      <alignment vertical="top"/>
    </xf>
    <xf numFmtId="2" fontId="14" fillId="0" borderId="0" xfId="0" applyNumberFormat="1" applyFont="1" applyFill="1" applyBorder="1" applyAlignment="1">
      <alignment vertical="center" wrapText="1"/>
    </xf>
    <xf numFmtId="2" fontId="70" fillId="0" borderId="0" xfId="0" applyNumberFormat="1" applyFont="1" applyBorder="1" applyAlignment="1">
      <alignment vertical="top" wrapText="1"/>
    </xf>
    <xf numFmtId="2" fontId="14" fillId="22" borderId="0" xfId="0" applyNumberFormat="1" applyFont="1" applyFill="1" applyAlignment="1">
      <alignment vertical="center" wrapText="1"/>
    </xf>
    <xf numFmtId="2" fontId="12" fillId="0" borderId="0" xfId="0" applyNumberFormat="1" applyFont="1">
      <alignment vertical="top"/>
    </xf>
    <xf numFmtId="2" fontId="78" fillId="22" borderId="0" xfId="0" applyNumberFormat="1" applyFont="1" applyFill="1" applyBorder="1" applyAlignment="1">
      <alignment vertical="center" wrapText="1"/>
    </xf>
    <xf numFmtId="2" fontId="14" fillId="0" borderId="0" xfId="0" applyNumberFormat="1" applyFont="1" applyFill="1" applyBorder="1" applyAlignment="1">
      <alignment vertical="top" wrapText="1"/>
    </xf>
    <xf numFmtId="2" fontId="14" fillId="22" borderId="0" xfId="0" applyNumberFormat="1" applyFont="1" applyFill="1" applyBorder="1" applyAlignment="1">
      <alignment vertical="top" wrapText="1"/>
    </xf>
    <xf numFmtId="174" fontId="9" fillId="0" borderId="0" xfId="1" applyFont="1" applyAlignment="1">
      <alignment horizontal="left" vertical="center"/>
    </xf>
    <xf numFmtId="173" fontId="30" fillId="15" borderId="0" xfId="0" applyFont="1" applyFill="1" applyAlignment="1">
      <alignment vertical="center"/>
    </xf>
    <xf numFmtId="173" fontId="16" fillId="15" borderId="0" xfId="0" applyFont="1" applyFill="1" applyAlignment="1">
      <alignment horizontal="left" vertical="top"/>
    </xf>
    <xf numFmtId="173" fontId="15" fillId="15" borderId="0" xfId="0" applyFont="1" applyFill="1" applyAlignment="1">
      <alignment horizontal="left" vertical="top"/>
    </xf>
    <xf numFmtId="173" fontId="10" fillId="15" borderId="0" xfId="0" applyFont="1" applyFill="1" applyAlignment="1">
      <alignment horizontal="right" vertical="top"/>
    </xf>
    <xf numFmtId="2" fontId="14" fillId="0" borderId="0" xfId="0" applyNumberFormat="1" applyFont="1" applyFill="1" applyBorder="1">
      <alignment vertical="top"/>
    </xf>
    <xf numFmtId="174" fontId="16" fillId="0" borderId="0" xfId="13" applyFont="1" applyFill="1" applyAlignment="1">
      <alignment horizontal="left" vertical="center"/>
    </xf>
    <xf numFmtId="174" fontId="10" fillId="0" borderId="0" xfId="13" applyFont="1">
      <alignment vertical="top"/>
    </xf>
    <xf numFmtId="182" fontId="42" fillId="0" borderId="0" xfId="7" applyFont="1" applyFill="1" applyBorder="1">
      <alignment vertical="top"/>
    </xf>
    <xf numFmtId="174" fontId="16" fillId="0" borderId="0" xfId="13" applyFont="1" applyAlignment="1">
      <alignment horizontal="left" vertical="center"/>
    </xf>
    <xf numFmtId="173" fontId="9" fillId="0" borderId="14" xfId="0" applyFont="1" applyFill="1" applyBorder="1" applyAlignment="1">
      <alignment horizontal="left" vertical="top"/>
    </xf>
    <xf numFmtId="173" fontId="31" fillId="0" borderId="0" xfId="0" applyFont="1">
      <alignment vertical="top"/>
    </xf>
    <xf numFmtId="173" fontId="35" fillId="0" borderId="0" xfId="0" applyFont="1">
      <alignment vertical="top"/>
    </xf>
    <xf numFmtId="173" fontId="1" fillId="0" borderId="0" xfId="0" applyFont="1" applyFill="1" applyAlignment="1">
      <alignment wrapText="1"/>
    </xf>
    <xf numFmtId="173" fontId="1" fillId="0" borderId="0" xfId="0" applyFont="1" applyFill="1" applyAlignment="1">
      <alignment horizontal="left" wrapText="1"/>
    </xf>
    <xf numFmtId="173" fontId="1" fillId="0" borderId="7" xfId="0" applyFont="1" applyBorder="1">
      <alignment vertical="top"/>
    </xf>
    <xf numFmtId="173" fontId="1" fillId="0" borderId="13" xfId="0" applyFont="1" applyBorder="1">
      <alignment vertical="top"/>
    </xf>
    <xf numFmtId="49" fontId="1" fillId="0" borderId="0" xfId="0" applyNumberFormat="1" applyFont="1" applyFill="1">
      <alignment vertical="top"/>
    </xf>
    <xf numFmtId="166" fontId="1" fillId="0" borderId="0" xfId="0" applyNumberFormat="1" applyFont="1" applyBorder="1" applyAlignment="1">
      <alignment vertical="center"/>
    </xf>
    <xf numFmtId="173" fontId="1" fillId="0" borderId="0" xfId="0" applyFont="1" applyBorder="1" applyAlignment="1"/>
    <xf numFmtId="173" fontId="1" fillId="0" borderId="0" xfId="0" applyFont="1" applyFill="1" applyBorder="1" applyAlignment="1"/>
    <xf numFmtId="173" fontId="1" fillId="0" borderId="0" xfId="0" quotePrefix="1" applyFont="1">
      <alignment vertical="top"/>
    </xf>
    <xf numFmtId="173" fontId="1" fillId="22" borderId="0" xfId="0" applyFont="1" applyFill="1" applyAlignment="1">
      <alignment horizontal="right" vertical="top"/>
    </xf>
    <xf numFmtId="173" fontId="1" fillId="7" borderId="0" xfId="0" applyFont="1" applyFill="1">
      <alignment vertical="top"/>
    </xf>
    <xf numFmtId="174" fontId="1" fillId="0" borderId="0" xfId="1" applyFont="1">
      <alignment vertical="top"/>
    </xf>
    <xf numFmtId="173" fontId="1" fillId="7" borderId="0" xfId="0" applyFont="1" applyFill="1" applyAlignment="1">
      <alignment horizontal="right" vertical="top"/>
    </xf>
    <xf numFmtId="0" fontId="1" fillId="0" borderId="0" xfId="0" applyNumberFormat="1" applyFont="1">
      <alignment vertical="top"/>
    </xf>
    <xf numFmtId="173" fontId="1" fillId="5" borderId="0" xfId="0" applyFont="1" applyFill="1">
      <alignment vertical="top"/>
    </xf>
    <xf numFmtId="176" fontId="1" fillId="0" borderId="0" xfId="0" applyNumberFormat="1" applyFont="1">
      <alignment vertical="top"/>
    </xf>
    <xf numFmtId="174" fontId="1" fillId="0" borderId="0" xfId="1" applyFont="1" applyFill="1">
      <alignment vertical="top"/>
    </xf>
    <xf numFmtId="174" fontId="1" fillId="22" borderId="0" xfId="1" applyFont="1" applyFill="1">
      <alignment vertical="top"/>
    </xf>
    <xf numFmtId="173" fontId="9" fillId="0" borderId="0" xfId="0" applyFont="1" applyFill="1" applyAlignment="1">
      <alignment horizontal="center" wrapText="1"/>
    </xf>
    <xf numFmtId="172" fontId="14" fillId="0" borderId="0" xfId="0" applyNumberFormat="1" applyFont="1" applyFill="1" applyBorder="1" applyAlignment="1">
      <alignment horizontal="left" vertical="center" wrapText="1"/>
    </xf>
    <xf numFmtId="172" fontId="9" fillId="0" borderId="0" xfId="0" applyNumberFormat="1" applyFont="1" applyFill="1" applyBorder="1" applyAlignment="1">
      <alignment horizontal="center" vertical="center" wrapText="1"/>
    </xf>
    <xf numFmtId="49" fontId="11" fillId="0" borderId="0" xfId="0" applyNumberFormat="1" applyFont="1" applyFill="1" applyAlignment="1">
      <alignment horizontal="center" wrapText="1"/>
    </xf>
    <xf numFmtId="173" fontId="42" fillId="26" borderId="0" xfId="0" applyFont="1" applyFill="1" applyBorder="1" applyAlignment="1">
      <alignment horizontal="left" vertical="top"/>
    </xf>
    <xf numFmtId="173" fontId="10" fillId="0" borderId="0" xfId="0" applyFont="1" applyAlignment="1">
      <alignment horizontal="center" vertical="top" wrapText="1"/>
    </xf>
    <xf numFmtId="173" fontId="10" fillId="26" borderId="0" xfId="0" applyFont="1" applyFill="1" applyBorder="1" applyAlignment="1">
      <alignment horizontal="left" vertical="top" wrapText="1"/>
    </xf>
    <xf numFmtId="49" fontId="42" fillId="26" borderId="0" xfId="0" applyNumberFormat="1" applyFont="1" applyFill="1" applyBorder="1" applyAlignment="1">
      <alignment horizontal="left" vertical="top" wrapText="1"/>
    </xf>
    <xf numFmtId="173" fontId="14" fillId="0" borderId="0" xfId="0" applyFont="1" applyFill="1" applyAlignment="1">
      <alignment horizontal="center" vertical="top" wrapText="1"/>
    </xf>
    <xf numFmtId="173" fontId="25" fillId="6" borderId="0" xfId="0" applyFont="1" applyFill="1" applyAlignment="1">
      <alignment horizontal="center" vertical="top"/>
    </xf>
  </cellXfs>
  <cellStyles count="20">
    <cellStyle name="Comma 2" xfId="12" xr:uid="{736E8021-C8AB-4F70-AC36-F5144F7B4709}"/>
    <cellStyle name="Comma 2 2" xfId="17" xr:uid="{80970B1A-6F6E-40D5-A75E-DE601634C34C}"/>
    <cellStyle name="DateLong" xfId="5" xr:uid="{8CB8BF83-124E-4AAD-84B8-D3ECEFDC2B96}"/>
    <cellStyle name="DateLong 2" xfId="16" xr:uid="{A72F09CD-70FA-4331-B907-7367A5289CAB}"/>
    <cellStyle name="DateLong 3" xfId="10" xr:uid="{8AA42348-F679-46C6-8258-75CD85777633}"/>
    <cellStyle name="DateShort" xfId="6" xr:uid="{CB1F10B0-A897-4495-A703-BA180E48F208}"/>
    <cellStyle name="DateShort 2" xfId="11" xr:uid="{B61407D6-73B6-41DC-8317-25F082153F3C}"/>
    <cellStyle name="Factor" xfId="4" xr:uid="{497DF889-EF15-4CBE-97C9-55119F2188C5}"/>
    <cellStyle name="Hyperlink" xfId="2" builtinId="8"/>
    <cellStyle name="Normal" xfId="0" builtinId="0" customBuiltin="1"/>
    <cellStyle name="Normal 2" xfId="3" xr:uid="{3DF045CB-1D05-45A5-B337-01453ACEF470}"/>
    <cellStyle name="Normal 2 2" xfId="15" xr:uid="{9BDE3829-F60A-4A9C-B19C-A714323CA58D}"/>
    <cellStyle name="Normal 2 3" xfId="9" xr:uid="{A071A7DF-A9D4-496E-A99B-CDFE5561C24E}"/>
    <cellStyle name="Percent" xfId="1" builtinId="5" customBuiltin="1"/>
    <cellStyle name="Percent 2" xfId="13" xr:uid="{F150E245-F8C8-47F1-855C-058314937457}"/>
    <cellStyle name="Percent 2 2" xfId="18" xr:uid="{8B04B8D6-8991-4FF9-965E-34D9B5A1B406}"/>
    <cellStyle name="Percent 3" xfId="14" xr:uid="{E8D7C520-5EC9-481A-911E-549662D08680}"/>
    <cellStyle name="Percent 4" xfId="8" xr:uid="{22DD6FD5-D4A7-4A06-8D61-AD8F680D872A}"/>
    <cellStyle name="Year" xfId="7" xr:uid="{8E8E29F8-C7C1-41E6-B4D1-46BBD33C4970}"/>
    <cellStyle name="Year 2" xfId="19" xr:uid="{FB972EF2-F3F6-420E-9E36-654D15856C3D}"/>
  </cellStyles>
  <dxfs count="330">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indexed="10"/>
        </patternFill>
      </fill>
    </dxf>
    <dxf>
      <fill>
        <patternFill>
          <bgColor indexed="10"/>
        </patternFill>
      </fill>
    </dxf>
    <dxf>
      <fill>
        <patternFill>
          <bgColor rgb="FFFF0000"/>
        </patternFill>
      </fill>
    </dxf>
    <dxf>
      <font>
        <color auto="1"/>
      </font>
      <fill>
        <patternFill>
          <bgColor rgb="FF00FF00"/>
        </patternFill>
      </fill>
    </dxf>
    <dxf>
      <font>
        <color rgb="FFFF0000"/>
      </font>
      <fill>
        <patternFill>
          <bgColor rgb="FFFF0000"/>
        </patternFill>
      </fill>
    </dxf>
    <dxf>
      <font>
        <color rgb="FFFF000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lor rgb="FF00FF00"/>
      </font>
      <fill>
        <patternFill>
          <bgColor rgb="FF00FF00"/>
        </patternFill>
      </fill>
    </dxf>
    <dxf>
      <font>
        <color rgb="FFFF0000"/>
      </font>
      <fill>
        <patternFill>
          <bgColor rgb="FFFF0000"/>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lor rgb="FF00FF00"/>
      </font>
      <fill>
        <patternFill>
          <bgColor rgb="FF00FF00"/>
        </patternFill>
      </fill>
    </dxf>
    <dxf>
      <font>
        <color rgb="FFFF0000"/>
      </font>
      <fill>
        <patternFill>
          <bgColor rgb="FFFF0000"/>
        </patternFill>
      </fill>
    </dxf>
    <dxf>
      <fill>
        <patternFill>
          <bgColor rgb="FFFFC000"/>
        </patternFill>
      </fill>
    </dxf>
    <dxf>
      <fill>
        <patternFill>
          <bgColor rgb="FFFFC000"/>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9" defaultPivotStyle="PivotStyleLight16"/>
  <colors>
    <mruColors>
      <color rgb="FFA6A6A6"/>
      <color rgb="FF0000FF"/>
      <color rgb="FF00FF00"/>
      <color rgb="FFFFFFCC"/>
      <color rgb="FF00B050"/>
      <color rgb="FF2C4D75"/>
      <color rgb="FF4BACC6"/>
      <color rgb="FFB7DEE8"/>
      <color rgb="FFB7E8E8"/>
      <color rgb="FF4A82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Charts!$A$4</c:f>
          <c:strCache>
            <c:ptCount val="1"/>
            <c:pt idx="0">
              <c:v> Government revenues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2918192693824593"/>
          <c:y val="7.1363273692901061E-2"/>
          <c:w val="0.85677990464563192"/>
          <c:h val="0.61724959336068919"/>
        </c:manualLayout>
      </c:layout>
      <c:barChart>
        <c:barDir val="col"/>
        <c:grouping val="stacked"/>
        <c:varyColors val="0"/>
        <c:ser>
          <c:idx val="1"/>
          <c:order val="0"/>
          <c:tx>
            <c:strRef>
              <c:f>Charts!$E$26</c:f>
              <c:strCache>
                <c:ptCount val="1"/>
                <c:pt idx="0">
                  <c:v> Bonuses </c:v>
                </c:pt>
              </c:strCache>
            </c:strRef>
          </c:tx>
          <c:spPr>
            <a:solidFill>
              <a:srgbClr val="9BBB59"/>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Charts!$K$26:$AX$26</c:f>
              <c:numCache>
                <c:formatCode>#,##0_);\(#,##0\);"-  ";" "@" "</c:formatCode>
                <c:ptCount val="40"/>
                <c:pt idx="0">
                  <c:v>10</c:v>
                </c:pt>
                <c:pt idx="1">
                  <c:v>0</c:v>
                </c:pt>
                <c:pt idx="2">
                  <c:v>0</c:v>
                </c:pt>
                <c:pt idx="3">
                  <c:v>0</c:v>
                </c:pt>
                <c:pt idx="4">
                  <c:v>46.192271301325711</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1-8D15-4325-8B5E-03AD8D16BE5C}"/>
            </c:ext>
          </c:extLst>
        </c:ser>
        <c:ser>
          <c:idx val="0"/>
          <c:order val="1"/>
          <c:tx>
            <c:strRef>
              <c:f>Charts!$E$27</c:f>
              <c:strCache>
                <c:ptCount val="1"/>
                <c:pt idx="0">
                  <c:v> Royalty </c:v>
                </c:pt>
              </c:strCache>
            </c:strRef>
          </c:tx>
          <c:spPr>
            <a:solidFill>
              <a:srgbClr val="0070C0"/>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Charts!$K$27:$AX$27</c:f>
              <c:numCache>
                <c:formatCode>#,##0_);\(#,##0\);"-  ";" "@" "</c:formatCode>
                <c:ptCount val="40"/>
                <c:pt idx="0">
                  <c:v>0</c:v>
                </c:pt>
                <c:pt idx="1">
                  <c:v>0</c:v>
                </c:pt>
                <c:pt idx="2">
                  <c:v>0</c:v>
                </c:pt>
                <c:pt idx="3">
                  <c:v>0</c:v>
                </c:pt>
                <c:pt idx="4">
                  <c:v>38.33167163286209</c:v>
                </c:pt>
                <c:pt idx="5">
                  <c:v>301.125</c:v>
                </c:pt>
                <c:pt idx="6">
                  <c:v>602.25000000000011</c:v>
                </c:pt>
                <c:pt idx="7">
                  <c:v>602.25000000000011</c:v>
                </c:pt>
                <c:pt idx="8">
                  <c:v>602.25000000000011</c:v>
                </c:pt>
                <c:pt idx="9">
                  <c:v>602.25</c:v>
                </c:pt>
                <c:pt idx="10">
                  <c:v>602.25</c:v>
                </c:pt>
                <c:pt idx="11">
                  <c:v>602.25</c:v>
                </c:pt>
                <c:pt idx="12">
                  <c:v>602.25000000000011</c:v>
                </c:pt>
                <c:pt idx="13">
                  <c:v>602.25</c:v>
                </c:pt>
                <c:pt idx="14">
                  <c:v>602.25</c:v>
                </c:pt>
                <c:pt idx="15">
                  <c:v>602.25</c:v>
                </c:pt>
                <c:pt idx="16">
                  <c:v>487.8225000000001</c:v>
                </c:pt>
                <c:pt idx="17">
                  <c:v>395.13622500000014</c:v>
                </c:pt>
                <c:pt idx="18">
                  <c:v>320.06034225000013</c:v>
                </c:pt>
                <c:pt idx="19">
                  <c:v>259.24887722250014</c:v>
                </c:pt>
                <c:pt idx="20">
                  <c:v>209.99159055022511</c:v>
                </c:pt>
                <c:pt idx="21">
                  <c:v>170.09318834568236</c:v>
                </c:pt>
                <c:pt idx="22">
                  <c:v>137.77548256000273</c:v>
                </c:pt>
                <c:pt idx="23">
                  <c:v>111.5981408736022</c:v>
                </c:pt>
                <c:pt idx="24">
                  <c:v>90.394494107617803</c:v>
                </c:pt>
                <c:pt idx="25">
                  <c:v>73.219540227170413</c:v>
                </c:pt>
                <c:pt idx="26">
                  <c:v>59.307827584008052</c:v>
                </c:pt>
                <c:pt idx="27">
                  <c:v>48.039340343046504</c:v>
                </c:pt>
                <c:pt idx="28">
                  <c:v>38.911865677867674</c:v>
                </c:pt>
                <c:pt idx="29">
                  <c:v>31.518611199072819</c:v>
                </c:pt>
                <c:pt idx="30">
                  <c:v>25.530075071248987</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8D15-4325-8B5E-03AD8D16BE5C}"/>
            </c:ext>
          </c:extLst>
        </c:ser>
        <c:ser>
          <c:idx val="8"/>
          <c:order val="2"/>
          <c:tx>
            <c:strRef>
              <c:f>Charts!$E$28</c:f>
              <c:strCache>
                <c:ptCount val="1"/>
                <c:pt idx="0">
                  <c:v> Carbon tax </c:v>
                </c:pt>
              </c:strCache>
            </c:strRef>
          </c:tx>
          <c:spPr>
            <a:solidFill>
              <a:sysClr val="windowText" lastClr="000000"/>
            </a:solidFill>
            <a:ln>
              <a:noFill/>
            </a:ln>
            <a:effectLst/>
          </c:spPr>
          <c:invertIfNegative val="0"/>
          <c:val>
            <c:numRef>
              <c:f>Charts!$K$28:$AX$28</c:f>
              <c:numCache>
                <c:formatCode>#,##0_);\(#,##0\);"-  ";" "@" "</c:formatCode>
                <c:ptCount val="40"/>
                <c:pt idx="0">
                  <c:v>0</c:v>
                </c:pt>
                <c:pt idx="1">
                  <c:v>0</c:v>
                </c:pt>
                <c:pt idx="2">
                  <c:v>0</c:v>
                </c:pt>
                <c:pt idx="3">
                  <c:v>0</c:v>
                </c:pt>
                <c:pt idx="4">
                  <c:v>4.0586633464553898</c:v>
                </c:pt>
                <c:pt idx="5">
                  <c:v>31.258771912320125</c:v>
                </c:pt>
                <c:pt idx="6">
                  <c:v>61.291709632000241</c:v>
                </c:pt>
                <c:pt idx="7">
                  <c:v>60.089911403921803</c:v>
                </c:pt>
                <c:pt idx="8">
                  <c:v>58.911677846982158</c:v>
                </c:pt>
                <c:pt idx="9">
                  <c:v>57.756546908806037</c:v>
                </c:pt>
                <c:pt idx="10">
                  <c:v>56.624065596868661</c:v>
                </c:pt>
                <c:pt idx="11">
                  <c:v>55.513789800851626</c:v>
                </c:pt>
                <c:pt idx="12">
                  <c:v>54.42528411848199</c:v>
                </c:pt>
                <c:pt idx="13">
                  <c:v>53.358121684786269</c:v>
                </c:pt>
                <c:pt idx="14">
                  <c:v>52.311884004692416</c:v>
                </c:pt>
                <c:pt idx="15">
                  <c:v>51.286160788914131</c:v>
                </c:pt>
                <c:pt idx="16">
                  <c:v>40.727245332372995</c:v>
                </c:pt>
                <c:pt idx="17">
                  <c:v>32.342224234531486</c:v>
                </c:pt>
                <c:pt idx="18">
                  <c:v>25.683531009775006</c:v>
                </c:pt>
                <c:pt idx="19">
                  <c:v>20.395745213644869</c:v>
                </c:pt>
                <c:pt idx="20">
                  <c:v>16.196621199070925</c:v>
                </c:pt>
                <c:pt idx="21">
                  <c:v>12.862022716909262</c:v>
                </c:pt>
                <c:pt idx="22">
                  <c:v>10.213959216369121</c:v>
                </c:pt>
                <c:pt idx="23">
                  <c:v>8.1110852600578323</c:v>
                </c:pt>
                <c:pt idx="24">
                  <c:v>6.4411559418106314</c:v>
                </c:pt>
                <c:pt idx="25">
                  <c:v>5.1150356008496187</c:v>
                </c:pt>
                <c:pt idx="26">
                  <c:v>4.0619400359688154</c:v>
                </c:pt>
                <c:pt idx="27">
                  <c:v>3.2256582638575884</c:v>
                </c:pt>
                <c:pt idx="28">
                  <c:v>2.5615521507104373</c:v>
                </c:pt>
                <c:pt idx="29">
                  <c:v>2.0341737667406417</c:v>
                </c:pt>
                <c:pt idx="30">
                  <c:v>1.6153732853528631</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1-D7F7-4F28-A413-7818306549EE}"/>
            </c:ext>
          </c:extLst>
        </c:ser>
        <c:ser>
          <c:idx val="2"/>
          <c:order val="3"/>
          <c:tx>
            <c:strRef>
              <c:f>Charts!$E$29</c:f>
              <c:strCache>
                <c:ptCount val="1"/>
                <c:pt idx="0">
                  <c:v> PSC: Government profit oil </c:v>
                </c:pt>
              </c:strCache>
            </c:strRef>
          </c:tx>
          <c:spPr>
            <a:solidFill>
              <a:srgbClr val="9BBB59"/>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Charts!$K$29:$AX$29</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8D15-4325-8B5E-03AD8D16BE5C}"/>
            </c:ext>
          </c:extLst>
        </c:ser>
        <c:ser>
          <c:idx val="3"/>
          <c:order val="4"/>
          <c:tx>
            <c:strRef>
              <c:f>Charts!$E$30</c:f>
              <c:strCache>
                <c:ptCount val="1"/>
                <c:pt idx="0">
                  <c:v> CIT paid: IOC </c:v>
                </c:pt>
              </c:strCache>
            </c:strRef>
          </c:tx>
          <c:spPr>
            <a:solidFill>
              <a:srgbClr val="FFFF00"/>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Charts!$K$30:$AX$30</c:f>
              <c:numCache>
                <c:formatCode>#,##0_);\(#,##0\);"-  ";" "@" "</c:formatCode>
                <c:ptCount val="40"/>
                <c:pt idx="0">
                  <c:v>0</c:v>
                </c:pt>
                <c:pt idx="1">
                  <c:v>0</c:v>
                </c:pt>
                <c:pt idx="2">
                  <c:v>0</c:v>
                </c:pt>
                <c:pt idx="3">
                  <c:v>0</c:v>
                </c:pt>
                <c:pt idx="4">
                  <c:v>0</c:v>
                </c:pt>
                <c:pt idx="5">
                  <c:v>0</c:v>
                </c:pt>
                <c:pt idx="6">
                  <c:v>0</c:v>
                </c:pt>
                <c:pt idx="7">
                  <c:v>114.51538729264855</c:v>
                </c:pt>
                <c:pt idx="8">
                  <c:v>195.80641321162815</c:v>
                </c:pt>
                <c:pt idx="9">
                  <c:v>334.07535839910236</c:v>
                </c:pt>
                <c:pt idx="10">
                  <c:v>436.43591744721061</c:v>
                </c:pt>
                <c:pt idx="11">
                  <c:v>485.9783111308987</c:v>
                </c:pt>
                <c:pt idx="12">
                  <c:v>487.41911950989362</c:v>
                </c:pt>
                <c:pt idx="13">
                  <c:v>492.67398502319793</c:v>
                </c:pt>
                <c:pt idx="14">
                  <c:v>497.74084453740647</c:v>
                </c:pt>
                <c:pt idx="15">
                  <c:v>502.62505051172508</c:v>
                </c:pt>
                <c:pt idx="16">
                  <c:v>381.84794303618787</c:v>
                </c:pt>
                <c:pt idx="17">
                  <c:v>294.64205087474636</c:v>
                </c:pt>
                <c:pt idx="18">
                  <c:v>257.19691779881822</c:v>
                </c:pt>
                <c:pt idx="19">
                  <c:v>195.8700506195035</c:v>
                </c:pt>
                <c:pt idx="20">
                  <c:v>149.92999096531136</c:v>
                </c:pt>
                <c:pt idx="21">
                  <c:v>122.30172953659661</c:v>
                </c:pt>
                <c:pt idx="22">
                  <c:v>90.584636739724587</c:v>
                </c:pt>
                <c:pt idx="23">
                  <c:v>63.899210820426987</c:v>
                </c:pt>
                <c:pt idx="24">
                  <c:v>52.794648644967751</c:v>
                </c:pt>
                <c:pt idx="25">
                  <c:v>45.894663007408411</c:v>
                </c:pt>
                <c:pt idx="26">
                  <c:v>32.221725567562302</c:v>
                </c:pt>
                <c:pt idx="27">
                  <c:v>21.444310089493293</c:v>
                </c:pt>
                <c:pt idx="28">
                  <c:v>16.694390280483116</c:v>
                </c:pt>
                <c:pt idx="29">
                  <c:v>8.6904281661861731</c:v>
                </c:pt>
                <c:pt idx="30">
                  <c:v>3.6268229696185572</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3-8D15-4325-8B5E-03AD8D16BE5C}"/>
            </c:ext>
          </c:extLst>
        </c:ser>
        <c:ser>
          <c:idx val="7"/>
          <c:order val="5"/>
          <c:tx>
            <c:strRef>
              <c:f>Charts!$E$31</c:f>
              <c:strCache>
                <c:ptCount val="1"/>
                <c:pt idx="0">
                  <c:v> Resource rent tax: IOC </c:v>
                </c:pt>
              </c:strCache>
            </c:strRef>
          </c:tx>
          <c:spPr>
            <a:solidFill>
              <a:srgbClr val="4BACC6"/>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Charts!$K$31:$AX$31</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4-8D15-4325-8B5E-03AD8D16BE5C}"/>
            </c:ext>
          </c:extLst>
        </c:ser>
        <c:ser>
          <c:idx val="4"/>
          <c:order val="6"/>
          <c:tx>
            <c:strRef>
              <c:f>Charts!$E$32</c:f>
              <c:strCache>
                <c:ptCount val="1"/>
                <c:pt idx="0">
                  <c:v> Dividend withholding tax </c:v>
                </c:pt>
              </c:strCache>
            </c:strRef>
          </c:tx>
          <c:spPr>
            <a:solidFill>
              <a:schemeClr val="accent6"/>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Charts!$K$32:$AX$32</c:f>
              <c:numCache>
                <c:formatCode>#,##0_);\(#,##0\);"-  ";" "@" "</c:formatCode>
                <c:ptCount val="40"/>
                <c:pt idx="0">
                  <c:v>0</c:v>
                </c:pt>
                <c:pt idx="1">
                  <c:v>0</c:v>
                </c:pt>
                <c:pt idx="2">
                  <c:v>0</c:v>
                </c:pt>
                <c:pt idx="3">
                  <c:v>0</c:v>
                </c:pt>
                <c:pt idx="4">
                  <c:v>0</c:v>
                </c:pt>
                <c:pt idx="5">
                  <c:v>36.32412280876801</c:v>
                </c:pt>
                <c:pt idx="6">
                  <c:v>45.350771818096845</c:v>
                </c:pt>
                <c:pt idx="7">
                  <c:v>79.556346738411946</c:v>
                </c:pt>
                <c:pt idx="8">
                  <c:v>89.674864815300822</c:v>
                </c:pt>
                <c:pt idx="9">
                  <c:v>78.024716227284031</c:v>
                </c:pt>
                <c:pt idx="10">
                  <c:v>69.896446779512601</c:v>
                </c:pt>
                <c:pt idx="11">
                  <c:v>66.982901799484608</c:v>
                </c:pt>
                <c:pt idx="12">
                  <c:v>64.793340493642333</c:v>
                </c:pt>
                <c:pt idx="13">
                  <c:v>66.258621891407984</c:v>
                </c:pt>
                <c:pt idx="14">
                  <c:v>67.679392246156468</c:v>
                </c:pt>
                <c:pt idx="15">
                  <c:v>69.056833735892425</c:v>
                </c:pt>
                <c:pt idx="16">
                  <c:v>70.145532787132055</c:v>
                </c:pt>
                <c:pt idx="17">
                  <c:v>69.950152814292935</c:v>
                </c:pt>
                <c:pt idx="18">
                  <c:v>59.074488044169605</c:v>
                </c:pt>
                <c:pt idx="19">
                  <c:v>31.04053758591634</c:v>
                </c:pt>
                <c:pt idx="20">
                  <c:v>21.876777785338973</c:v>
                </c:pt>
                <c:pt idx="21">
                  <c:v>28.292211425214134</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5-8D15-4325-8B5E-03AD8D16BE5C}"/>
            </c:ext>
          </c:extLst>
        </c:ser>
        <c:ser>
          <c:idx val="5"/>
          <c:order val="7"/>
          <c:tx>
            <c:strRef>
              <c:f>Charts!$E$33</c:f>
              <c:strCache>
                <c:ptCount val="1"/>
                <c:pt idx="0">
                  <c:v> Interest withholding tax </c:v>
                </c:pt>
              </c:strCache>
            </c:strRef>
          </c:tx>
          <c:spPr>
            <a:solidFill>
              <a:srgbClr val="2C4D75"/>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Charts!$K$33:$AX$33</c:f>
              <c:numCache>
                <c:formatCode>#,##0_);\(#,##0\);"-  ";" "@" "</c:formatCode>
                <c:ptCount val="40"/>
                <c:pt idx="0">
                  <c:v>0</c:v>
                </c:pt>
                <c:pt idx="1">
                  <c:v>0</c:v>
                </c:pt>
                <c:pt idx="2">
                  <c:v>0</c:v>
                </c:pt>
                <c:pt idx="3">
                  <c:v>0</c:v>
                </c:pt>
                <c:pt idx="4">
                  <c:v>0</c:v>
                </c:pt>
                <c:pt idx="5">
                  <c:v>0</c:v>
                </c:pt>
                <c:pt idx="6">
                  <c:v>17.777717591829806</c:v>
                </c:pt>
                <c:pt idx="7">
                  <c:v>15.68622140455571</c:v>
                </c:pt>
                <c:pt idx="8">
                  <c:v>13.669909720745714</c:v>
                </c:pt>
                <c:pt idx="9">
                  <c:v>11.726638240835785</c:v>
                </c:pt>
                <c:pt idx="10">
                  <c:v>9.8543178494418342</c:v>
                </c:pt>
                <c:pt idx="11">
                  <c:v>8.0509132756877744</c:v>
                </c:pt>
                <c:pt idx="12">
                  <c:v>6.3144417848531562</c:v>
                </c:pt>
                <c:pt idx="13">
                  <c:v>4.6429719006273205</c:v>
                </c:pt>
                <c:pt idx="14">
                  <c:v>3.0346221572727585</c:v>
                </c:pt>
                <c:pt idx="15">
                  <c:v>1.4875598810160582</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6-8D15-4325-8B5E-03AD8D16BE5C}"/>
            </c:ext>
          </c:extLst>
        </c:ser>
        <c:ser>
          <c:idx val="9"/>
          <c:order val="8"/>
          <c:tx>
            <c:strRef>
              <c:f>Charts!$E$34</c:f>
              <c:strCache>
                <c:ptCount val="1"/>
                <c:pt idx="0">
                  <c:v> VAT cashflow: government </c:v>
                </c:pt>
              </c:strCache>
            </c:strRef>
          </c:tx>
          <c:spPr>
            <a:solidFill>
              <a:schemeClr val="accent4">
                <a:lumMod val="60000"/>
              </a:schemeClr>
            </a:solidFill>
            <a:ln>
              <a:noFill/>
            </a:ln>
            <a:effectLst/>
          </c:spPr>
          <c:invertIfNegative val="0"/>
          <c:val>
            <c:numRef>
              <c:f>Charts!$K$34:$AX$34</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868A-43BC-98E1-6172640443D1}"/>
            </c:ext>
          </c:extLst>
        </c:ser>
        <c:ser>
          <c:idx val="6"/>
          <c:order val="9"/>
          <c:tx>
            <c:strRef>
              <c:f>Charts!$E$35</c:f>
              <c:strCache>
                <c:ptCount val="1"/>
                <c:pt idx="0">
                  <c:v> SOC net cash flow before tax, after carried interest, including share of lender cashflows </c:v>
                </c:pt>
              </c:strCache>
            </c:strRef>
          </c:tx>
          <c:spPr>
            <a:solidFill>
              <a:srgbClr val="8064A2">
                <a:lumMod val="75000"/>
              </a:srgbClr>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Charts!$K$35:$AX$35</c:f>
              <c:numCache>
                <c:formatCode>#,##0_);\(#,##0\);"-  ";" "@" "</c:formatCode>
                <c:ptCount val="40"/>
                <c:pt idx="0">
                  <c:v>0</c:v>
                </c:pt>
                <c:pt idx="1">
                  <c:v>-7</c:v>
                </c:pt>
                <c:pt idx="2">
                  <c:v>-42</c:v>
                </c:pt>
                <c:pt idx="3">
                  <c:v>-168</c:v>
                </c:pt>
                <c:pt idx="4">
                  <c:v>-168</c:v>
                </c:pt>
                <c:pt idx="5">
                  <c:v>-294</c:v>
                </c:pt>
                <c:pt idx="6">
                  <c:v>107.35265407110511</c:v>
                </c:pt>
                <c:pt idx="7">
                  <c:v>324.64477343830453</c:v>
                </c:pt>
                <c:pt idx="8">
                  <c:v>365.28368248645455</c:v>
                </c:pt>
                <c:pt idx="9">
                  <c:v>365.90336297007161</c:v>
                </c:pt>
                <c:pt idx="10">
                  <c:v>366.50432331073785</c:v>
                </c:pt>
                <c:pt idx="11">
                  <c:v>367.08705938469217</c:v>
                </c:pt>
                <c:pt idx="12">
                  <c:v>357.59979613511689</c:v>
                </c:pt>
                <c:pt idx="13">
                  <c:v>358.34462571015644</c:v>
                </c:pt>
                <c:pt idx="14">
                  <c:v>359.06878153941</c:v>
                </c:pt>
                <c:pt idx="15">
                  <c:v>359.7727879952327</c:v>
                </c:pt>
                <c:pt idx="16">
                  <c:v>270.82581772687712</c:v>
                </c:pt>
                <c:pt idx="17">
                  <c:v>248.53589475441893</c:v>
                </c:pt>
                <c:pt idx="18">
                  <c:v>211.98544956012856</c:v>
                </c:pt>
                <c:pt idx="19">
                  <c:v>126.56885661966672</c:v>
                </c:pt>
                <c:pt idx="20">
                  <c:v>92.174442204675259</c:v>
                </c:pt>
                <c:pt idx="21">
                  <c:v>102.89086574523206</c:v>
                </c:pt>
                <c:pt idx="22">
                  <c:v>79.931240883226394</c:v>
                </c:pt>
                <c:pt idx="23">
                  <c:v>60.57163552775063</c:v>
                </c:pt>
                <c:pt idx="24">
                  <c:v>45.101226726046271</c:v>
                </c:pt>
                <c:pt idx="25">
                  <c:v>32.781902148148902</c:v>
                </c:pt>
                <c:pt idx="26">
                  <c:v>23.015518262544532</c:v>
                </c:pt>
                <c:pt idx="27">
                  <c:v>15.317364349638096</c:v>
                </c:pt>
                <c:pt idx="28">
                  <c:v>11.924564486059397</c:v>
                </c:pt>
                <c:pt idx="29">
                  <c:v>6.2074486901330133</c:v>
                </c:pt>
                <c:pt idx="30">
                  <c:v>2.5905878354412502</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7-8D15-4325-8B5E-03AD8D16BE5C}"/>
            </c:ext>
          </c:extLst>
        </c:ser>
        <c:dLbls>
          <c:showLegendKey val="0"/>
          <c:showVal val="0"/>
          <c:showCatName val="0"/>
          <c:showSerName val="0"/>
          <c:showPercent val="0"/>
          <c:showBubbleSize val="0"/>
        </c:dLbls>
        <c:gapWidth val="18"/>
        <c:overlap val="100"/>
        <c:axId val="246073984"/>
        <c:axId val="246084352"/>
      </c:barChart>
      <c:catAx>
        <c:axId val="246073984"/>
        <c:scaling>
          <c:orientation val="minMax"/>
        </c:scaling>
        <c:delete val="0"/>
        <c:axPos val="b"/>
        <c:title>
          <c:tx>
            <c:strRef>
              <c:f>Charts!$F$7</c:f>
              <c:strCache>
                <c:ptCount val="1"/>
                <c:pt idx="0">
                  <c:v> Year </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6084352"/>
        <c:crosses val="autoZero"/>
        <c:auto val="1"/>
        <c:lblAlgn val="ctr"/>
        <c:lblOffset val="100"/>
        <c:noMultiLvlLbl val="0"/>
      </c:catAx>
      <c:valAx>
        <c:axId val="246084352"/>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Charts!$F$8</c:f>
              <c:strCache>
                <c:ptCount val="1"/>
                <c:pt idx="0">
                  <c:v> US$ mn 2021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6073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Charts!$F$76</c:f>
          <c:strCache>
            <c:ptCount val="1"/>
            <c:pt idx="0">
              <c:v>Project revenues and costs</c:v>
            </c:pt>
          </c:strCache>
        </c:strRef>
      </c:tx>
      <c:overlay val="1"/>
      <c:spPr>
        <a:noFill/>
        <a:ln>
          <a:noFill/>
        </a:ln>
        <a:effectLst/>
      </c:spPr>
      <c:txPr>
        <a:bodyPr rot="0" spcFirstLastPara="1" vertOverflow="ellipsis" vert="horz" wrap="square" anchor="ctr" anchorCtr="1"/>
        <a:lstStyle/>
        <a:p>
          <a:pPr>
            <a:defRPr sz="96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7502681491688055"/>
          <c:y val="7.4181826351172986E-2"/>
          <c:w val="0.79043947788594382"/>
          <c:h val="0.63520216968986687"/>
        </c:manualLayout>
      </c:layout>
      <c:areaChart>
        <c:grouping val="standard"/>
        <c:varyColors val="0"/>
        <c:ser>
          <c:idx val="5"/>
          <c:order val="5"/>
          <c:tx>
            <c:strRef>
              <c:f>Charts!$E$83</c:f>
              <c:strCache>
                <c:ptCount val="1"/>
                <c:pt idx="0">
                  <c:v> Oil revenues net, after ELT </c:v>
                </c:pt>
              </c:strCache>
            </c:strRef>
          </c:tx>
          <c:spPr>
            <a:solidFill>
              <a:srgbClr val="00B050">
                <a:alpha val="25000"/>
              </a:srgbClr>
            </a:solidFill>
            <a:ln>
              <a:noFill/>
            </a:ln>
            <a:effectLst/>
          </c:spPr>
          <c:val>
            <c:numRef>
              <c:f>Charts!$K$83:$XFD$83</c:f>
              <c:numCache>
                <c:formatCode>#,##0_);\(#,##0\);"-  ";" "@" "</c:formatCode>
                <c:ptCount val="40"/>
                <c:pt idx="0">
                  <c:v>0</c:v>
                </c:pt>
                <c:pt idx="1">
                  <c:v>0</c:v>
                </c:pt>
                <c:pt idx="2">
                  <c:v>0</c:v>
                </c:pt>
                <c:pt idx="3">
                  <c:v>0</c:v>
                </c:pt>
                <c:pt idx="4">
                  <c:v>191.65835816431044</c:v>
                </c:pt>
                <c:pt idx="5">
                  <c:v>1505.625</c:v>
                </c:pt>
                <c:pt idx="6">
                  <c:v>3011.25</c:v>
                </c:pt>
                <c:pt idx="7">
                  <c:v>3011.25</c:v>
                </c:pt>
                <c:pt idx="8">
                  <c:v>3011.25</c:v>
                </c:pt>
                <c:pt idx="9">
                  <c:v>3011.25</c:v>
                </c:pt>
                <c:pt idx="10">
                  <c:v>3011.25</c:v>
                </c:pt>
                <c:pt idx="11">
                  <c:v>3011.25</c:v>
                </c:pt>
                <c:pt idx="12">
                  <c:v>3011.25</c:v>
                </c:pt>
                <c:pt idx="13">
                  <c:v>3011.25</c:v>
                </c:pt>
                <c:pt idx="14">
                  <c:v>3011.25</c:v>
                </c:pt>
                <c:pt idx="15">
                  <c:v>3011.25</c:v>
                </c:pt>
                <c:pt idx="16">
                  <c:v>2439.1125000000006</c:v>
                </c:pt>
                <c:pt idx="17">
                  <c:v>1975.6811250000005</c:v>
                </c:pt>
                <c:pt idx="18">
                  <c:v>1600.3017112500004</c:v>
                </c:pt>
                <c:pt idx="19">
                  <c:v>1296.2443861125007</c:v>
                </c:pt>
                <c:pt idx="20">
                  <c:v>1049.9579527511255</c:v>
                </c:pt>
                <c:pt idx="21">
                  <c:v>850.46594172841174</c:v>
                </c:pt>
                <c:pt idx="22">
                  <c:v>688.87741280001364</c:v>
                </c:pt>
                <c:pt idx="23">
                  <c:v>557.99070436801105</c:v>
                </c:pt>
                <c:pt idx="24">
                  <c:v>451.972470538089</c:v>
                </c:pt>
                <c:pt idx="25">
                  <c:v>366.09770113585205</c:v>
                </c:pt>
                <c:pt idx="26">
                  <c:v>296.53913792004022</c:v>
                </c:pt>
                <c:pt idx="27">
                  <c:v>240.19670171523254</c:v>
                </c:pt>
                <c:pt idx="28">
                  <c:v>194.55932838933836</c:v>
                </c:pt>
                <c:pt idx="29">
                  <c:v>157.59305599536407</c:v>
                </c:pt>
                <c:pt idx="30">
                  <c:v>127.65037535624494</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847F-41CB-A816-9797A8A1A097}"/>
            </c:ext>
          </c:extLst>
        </c:ser>
        <c:dLbls>
          <c:showLegendKey val="0"/>
          <c:showVal val="0"/>
          <c:showCatName val="0"/>
          <c:showSerName val="0"/>
          <c:showPercent val="0"/>
          <c:showBubbleSize val="0"/>
        </c:dLbls>
        <c:axId val="247242112"/>
        <c:axId val="247338112"/>
      </c:areaChart>
      <c:barChart>
        <c:barDir val="col"/>
        <c:grouping val="stacked"/>
        <c:varyColors val="0"/>
        <c:ser>
          <c:idx val="0"/>
          <c:order val="0"/>
          <c:tx>
            <c:strRef>
              <c:f>Charts!$E$84</c:f>
              <c:strCache>
                <c:ptCount val="1"/>
                <c:pt idx="0">
                  <c:v> Exploration costs, after ELT </c:v>
                </c:pt>
              </c:strCache>
            </c:strRef>
          </c:tx>
          <c:spPr>
            <a:solidFill>
              <a:schemeClr val="accent1"/>
            </a:solidFill>
            <a:ln>
              <a:noFill/>
            </a:ln>
            <a:effectLst/>
          </c:spPr>
          <c:invertIfNegative val="0"/>
          <c:val>
            <c:numRef>
              <c:f>Charts!$K$84:$AX$84</c:f>
              <c:numCache>
                <c:formatCode>#,##0_);\(#,##0\);"-  ";" "@" "</c:formatCode>
                <c:ptCount val="40"/>
                <c:pt idx="0">
                  <c:v>420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1-847F-41CB-A816-9797A8A1A097}"/>
            </c:ext>
          </c:extLst>
        </c:ser>
        <c:ser>
          <c:idx val="1"/>
          <c:order val="1"/>
          <c:tx>
            <c:strRef>
              <c:f>Charts!$E$85</c:f>
              <c:strCache>
                <c:ptCount val="1"/>
                <c:pt idx="0">
                  <c:v> Development costs, after ELT </c:v>
                </c:pt>
              </c:strCache>
            </c:strRef>
          </c:tx>
          <c:spPr>
            <a:solidFill>
              <a:schemeClr val="accent2"/>
            </a:solidFill>
            <a:ln>
              <a:noFill/>
            </a:ln>
            <a:effectLst/>
          </c:spPr>
          <c:invertIfNegative val="0"/>
          <c:val>
            <c:numRef>
              <c:f>Charts!$K$85:$AX$85</c:f>
              <c:numCache>
                <c:formatCode>#,##0_);\(#,##0\);"-  ";" "@" "</c:formatCode>
                <c:ptCount val="40"/>
                <c:pt idx="0">
                  <c:v>0</c:v>
                </c:pt>
                <c:pt idx="1">
                  <c:v>50</c:v>
                </c:pt>
                <c:pt idx="2">
                  <c:v>300</c:v>
                </c:pt>
                <c:pt idx="3">
                  <c:v>1200</c:v>
                </c:pt>
                <c:pt idx="4">
                  <c:v>1200</c:v>
                </c:pt>
                <c:pt idx="5">
                  <c:v>2100</c:v>
                </c:pt>
                <c:pt idx="6">
                  <c:v>1100</c:v>
                </c:pt>
                <c:pt idx="7">
                  <c:v>450</c:v>
                </c:pt>
                <c:pt idx="8">
                  <c:v>250</c:v>
                </c:pt>
                <c:pt idx="9">
                  <c:v>250</c:v>
                </c:pt>
                <c:pt idx="10">
                  <c:v>250</c:v>
                </c:pt>
                <c:pt idx="11">
                  <c:v>250</c:v>
                </c:pt>
                <c:pt idx="12">
                  <c:v>250</c:v>
                </c:pt>
                <c:pt idx="13">
                  <c:v>250</c:v>
                </c:pt>
                <c:pt idx="14">
                  <c:v>250</c:v>
                </c:pt>
                <c:pt idx="15">
                  <c:v>250</c:v>
                </c:pt>
                <c:pt idx="16">
                  <c:v>250</c:v>
                </c:pt>
                <c:pt idx="17">
                  <c:v>0</c:v>
                </c:pt>
                <c:pt idx="18">
                  <c:v>0</c:v>
                </c:pt>
                <c:pt idx="19">
                  <c:v>200</c:v>
                </c:pt>
                <c:pt idx="20">
                  <c:v>200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847F-41CB-A816-9797A8A1A097}"/>
            </c:ext>
          </c:extLst>
        </c:ser>
        <c:ser>
          <c:idx val="2"/>
          <c:order val="2"/>
          <c:tx>
            <c:strRef>
              <c:f>Charts!$E$86</c:f>
              <c:strCache>
                <c:ptCount val="1"/>
                <c:pt idx="0">
                  <c:v> Replacement capital costs, after ELT </c:v>
                </c:pt>
              </c:strCache>
            </c:strRef>
          </c:tx>
          <c:spPr>
            <a:solidFill>
              <a:schemeClr val="accent3"/>
            </a:solidFill>
            <a:ln>
              <a:noFill/>
            </a:ln>
            <a:effectLst/>
          </c:spPr>
          <c:invertIfNegative val="0"/>
          <c:val>
            <c:numRef>
              <c:f>Charts!$K$86:$AX$86</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3-847F-41CB-A816-9797A8A1A097}"/>
            </c:ext>
          </c:extLst>
        </c:ser>
        <c:ser>
          <c:idx val="3"/>
          <c:order val="3"/>
          <c:tx>
            <c:strRef>
              <c:f>Charts!$E$87</c:f>
              <c:strCache>
                <c:ptCount val="1"/>
                <c:pt idx="0">
                  <c:v> Operating costs, after ELT </c:v>
                </c:pt>
              </c:strCache>
            </c:strRef>
          </c:tx>
          <c:spPr>
            <a:solidFill>
              <a:schemeClr val="accent4"/>
            </a:solidFill>
            <a:ln>
              <a:noFill/>
            </a:ln>
            <a:effectLst/>
          </c:spPr>
          <c:invertIfNegative val="0"/>
          <c:val>
            <c:numRef>
              <c:f>Charts!$K$87:$AX$87</c:f>
              <c:numCache>
                <c:formatCode>#,##0_);\(#,##0\);"-  ";" "@" "</c:formatCode>
                <c:ptCount val="40"/>
                <c:pt idx="0">
                  <c:v>0</c:v>
                </c:pt>
                <c:pt idx="1">
                  <c:v>0</c:v>
                </c:pt>
                <c:pt idx="2">
                  <c:v>0</c:v>
                </c:pt>
                <c:pt idx="3">
                  <c:v>0</c:v>
                </c:pt>
                <c:pt idx="4">
                  <c:v>50</c:v>
                </c:pt>
                <c:pt idx="5">
                  <c:v>180</c:v>
                </c:pt>
                <c:pt idx="6">
                  <c:v>260</c:v>
                </c:pt>
                <c:pt idx="7">
                  <c:v>260</c:v>
                </c:pt>
                <c:pt idx="8">
                  <c:v>260</c:v>
                </c:pt>
                <c:pt idx="9">
                  <c:v>260</c:v>
                </c:pt>
                <c:pt idx="10">
                  <c:v>260</c:v>
                </c:pt>
                <c:pt idx="11">
                  <c:v>260</c:v>
                </c:pt>
                <c:pt idx="12">
                  <c:v>260</c:v>
                </c:pt>
                <c:pt idx="13">
                  <c:v>260</c:v>
                </c:pt>
                <c:pt idx="14">
                  <c:v>260</c:v>
                </c:pt>
                <c:pt idx="15">
                  <c:v>260</c:v>
                </c:pt>
                <c:pt idx="16">
                  <c:v>260</c:v>
                </c:pt>
                <c:pt idx="17">
                  <c:v>260</c:v>
                </c:pt>
                <c:pt idx="18">
                  <c:v>150</c:v>
                </c:pt>
                <c:pt idx="19">
                  <c:v>140</c:v>
                </c:pt>
                <c:pt idx="20">
                  <c:v>120</c:v>
                </c:pt>
                <c:pt idx="21">
                  <c:v>111</c:v>
                </c:pt>
                <c:pt idx="22">
                  <c:v>100</c:v>
                </c:pt>
                <c:pt idx="23">
                  <c:v>95</c:v>
                </c:pt>
                <c:pt idx="24">
                  <c:v>90</c:v>
                </c:pt>
                <c:pt idx="25">
                  <c:v>85</c:v>
                </c:pt>
                <c:pt idx="26">
                  <c:v>80</c:v>
                </c:pt>
                <c:pt idx="27">
                  <c:v>75</c:v>
                </c:pt>
                <c:pt idx="28">
                  <c:v>70</c:v>
                </c:pt>
                <c:pt idx="29">
                  <c:v>70</c:v>
                </c:pt>
                <c:pt idx="30">
                  <c:v>65</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4-847F-41CB-A816-9797A8A1A097}"/>
            </c:ext>
          </c:extLst>
        </c:ser>
        <c:ser>
          <c:idx val="4"/>
          <c:order val="4"/>
          <c:tx>
            <c:strRef>
              <c:f>Charts!$E$88</c:f>
              <c:strCache>
                <c:ptCount val="1"/>
                <c:pt idx="0">
                  <c:v> Decommissioning costs, after ELT </c:v>
                </c:pt>
              </c:strCache>
            </c:strRef>
          </c:tx>
          <c:spPr>
            <a:solidFill>
              <a:schemeClr val="accent5"/>
            </a:solidFill>
            <a:ln>
              <a:noFill/>
            </a:ln>
            <a:effectLst/>
          </c:spPr>
          <c:invertIfNegative val="0"/>
          <c:val>
            <c:numRef>
              <c:f>Charts!$K$88:$AX$88</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250</c:v>
                </c:pt>
                <c:pt idx="28">
                  <c:v>0</c:v>
                </c:pt>
                <c:pt idx="29">
                  <c:v>0</c:v>
                </c:pt>
                <c:pt idx="30">
                  <c:v>0</c:v>
                </c:pt>
                <c:pt idx="31">
                  <c:v>250</c:v>
                </c:pt>
                <c:pt idx="32">
                  <c:v>250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5-847F-41CB-A816-9797A8A1A097}"/>
            </c:ext>
          </c:extLst>
        </c:ser>
        <c:dLbls>
          <c:showLegendKey val="0"/>
          <c:showVal val="0"/>
          <c:showCatName val="0"/>
          <c:showSerName val="0"/>
          <c:showPercent val="0"/>
          <c:showBubbleSize val="0"/>
        </c:dLbls>
        <c:gapWidth val="17"/>
        <c:overlap val="100"/>
        <c:axId val="247242112"/>
        <c:axId val="247338112"/>
      </c:barChart>
      <c:lineChart>
        <c:grouping val="standard"/>
        <c:varyColors val="0"/>
        <c:ser>
          <c:idx val="6"/>
          <c:order val="6"/>
          <c:tx>
            <c:strRef>
              <c:f>Charts!$E$90</c:f>
              <c:strCache>
                <c:ptCount val="1"/>
                <c:pt idx="0">
                  <c:v> Project cashflows: real after ELT </c:v>
                </c:pt>
              </c:strCache>
            </c:strRef>
          </c:tx>
          <c:spPr>
            <a:ln w="28575" cap="rnd">
              <a:solidFill>
                <a:schemeClr val="accent1">
                  <a:lumMod val="60000"/>
                </a:schemeClr>
              </a:solidFill>
              <a:round/>
            </a:ln>
            <a:effectLst/>
          </c:spPr>
          <c:marker>
            <c:symbol val="none"/>
          </c:marker>
          <c:val>
            <c:numRef>
              <c:f>Charts!$K$90:$AX$90</c:f>
              <c:numCache>
                <c:formatCode>#,##0_);\(#,##0\);"-  ";" "@" "</c:formatCode>
                <c:ptCount val="40"/>
                <c:pt idx="0">
                  <c:v>-420</c:v>
                </c:pt>
                <c:pt idx="1">
                  <c:v>-50</c:v>
                </c:pt>
                <c:pt idx="2">
                  <c:v>-300</c:v>
                </c:pt>
                <c:pt idx="3">
                  <c:v>-1200</c:v>
                </c:pt>
                <c:pt idx="4">
                  <c:v>-1058.3416418356896</c:v>
                </c:pt>
                <c:pt idx="5">
                  <c:v>-774.375</c:v>
                </c:pt>
                <c:pt idx="6">
                  <c:v>1651.25</c:v>
                </c:pt>
                <c:pt idx="7">
                  <c:v>2301.25</c:v>
                </c:pt>
                <c:pt idx="8">
                  <c:v>2501.25</c:v>
                </c:pt>
                <c:pt idx="9">
                  <c:v>2501.25</c:v>
                </c:pt>
                <c:pt idx="10">
                  <c:v>2501.25</c:v>
                </c:pt>
                <c:pt idx="11">
                  <c:v>2501.25</c:v>
                </c:pt>
                <c:pt idx="12">
                  <c:v>2501.25</c:v>
                </c:pt>
                <c:pt idx="13">
                  <c:v>2501.25</c:v>
                </c:pt>
                <c:pt idx="14">
                  <c:v>2501.25</c:v>
                </c:pt>
                <c:pt idx="15">
                  <c:v>2501.25</c:v>
                </c:pt>
                <c:pt idx="16">
                  <c:v>1929.1125000000006</c:v>
                </c:pt>
                <c:pt idx="17">
                  <c:v>1715.6811250000005</c:v>
                </c:pt>
                <c:pt idx="18">
                  <c:v>1450.3017112500004</c:v>
                </c:pt>
                <c:pt idx="19">
                  <c:v>956.24438611250071</c:v>
                </c:pt>
                <c:pt idx="20">
                  <c:v>729.9579527511255</c:v>
                </c:pt>
                <c:pt idx="21">
                  <c:v>739.46594172841174</c:v>
                </c:pt>
                <c:pt idx="22">
                  <c:v>588.87741280001364</c:v>
                </c:pt>
                <c:pt idx="23">
                  <c:v>462.99070436801105</c:v>
                </c:pt>
                <c:pt idx="24">
                  <c:v>361.972470538089</c:v>
                </c:pt>
                <c:pt idx="25">
                  <c:v>281.09770113585205</c:v>
                </c:pt>
                <c:pt idx="26">
                  <c:v>216.53913792004022</c:v>
                </c:pt>
                <c:pt idx="27">
                  <c:v>-84.803298284767465</c:v>
                </c:pt>
                <c:pt idx="28">
                  <c:v>124.55932838933836</c:v>
                </c:pt>
                <c:pt idx="29">
                  <c:v>87.593055995364068</c:v>
                </c:pt>
                <c:pt idx="30">
                  <c:v>62.650375356244936</c:v>
                </c:pt>
                <c:pt idx="31">
                  <c:v>-250</c:v>
                </c:pt>
                <c:pt idx="32">
                  <c:v>-250</c:v>
                </c:pt>
                <c:pt idx="33">
                  <c:v>0</c:v>
                </c:pt>
                <c:pt idx="34">
                  <c:v>0</c:v>
                </c:pt>
                <c:pt idx="35">
                  <c:v>0</c:v>
                </c:pt>
                <c:pt idx="36">
                  <c:v>0</c:v>
                </c:pt>
                <c:pt idx="37">
                  <c:v>0</c:v>
                </c:pt>
                <c:pt idx="38">
                  <c:v>0</c:v>
                </c:pt>
                <c:pt idx="39">
                  <c:v>0</c:v>
                </c:pt>
              </c:numCache>
            </c:numRef>
          </c:val>
          <c:smooth val="0"/>
          <c:extLst>
            <c:ext xmlns:c16="http://schemas.microsoft.com/office/drawing/2014/chart" uri="{C3380CC4-5D6E-409C-BE32-E72D297353CC}">
              <c16:uniqueId val="{00000006-847F-41CB-A816-9797A8A1A097}"/>
            </c:ext>
          </c:extLst>
        </c:ser>
        <c:dLbls>
          <c:showLegendKey val="0"/>
          <c:showVal val="0"/>
          <c:showCatName val="0"/>
          <c:showSerName val="0"/>
          <c:showPercent val="0"/>
          <c:showBubbleSize val="0"/>
        </c:dLbls>
        <c:marker val="1"/>
        <c:smooth val="0"/>
        <c:axId val="247242112"/>
        <c:axId val="247338112"/>
      </c:lineChart>
      <c:catAx>
        <c:axId val="2472421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247338112"/>
        <c:crosses val="autoZero"/>
        <c:auto val="1"/>
        <c:lblAlgn val="ctr"/>
        <c:lblOffset val="100"/>
        <c:noMultiLvlLbl val="0"/>
      </c:catAx>
      <c:valAx>
        <c:axId val="247338112"/>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Charts!$F$78</c:f>
              <c:strCache>
                <c:ptCount val="1"/>
                <c:pt idx="0">
                  <c:v> US$ mn 2021 </c:v>
                </c:pt>
              </c:strCache>
            </c:strRef>
          </c:tx>
          <c:overlay val="0"/>
          <c:spPr>
            <a:noFill/>
            <a:ln>
              <a:noFill/>
            </a:ln>
            <a:effectLst/>
          </c:spPr>
          <c:txPr>
            <a:bodyPr rot="-54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247242112"/>
        <c:crosses val="autoZero"/>
        <c:crossBetween val="between"/>
      </c:valAx>
      <c:spPr>
        <a:noFill/>
        <a:ln>
          <a:noFill/>
        </a:ln>
        <a:effectLst/>
      </c:spPr>
    </c:plotArea>
    <c:legend>
      <c:legendPos val="b"/>
      <c:layout>
        <c:manualLayout>
          <c:xMode val="edge"/>
          <c:yMode val="edge"/>
          <c:x val="0.18578763673506418"/>
          <c:y val="0.77211703894246342"/>
          <c:w val="0.76028045226549279"/>
          <c:h val="0.2041067346629298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Charts!$F$117</c:f>
          <c:strCache>
            <c:ptCount val="1"/>
            <c:pt idx="0">
              <c:v>Production rate versus unit operating costs</c:v>
            </c:pt>
          </c:strCache>
        </c:strRef>
      </c:tx>
      <c:overlay val="0"/>
      <c:spPr>
        <a:noFill/>
        <a:ln>
          <a:noFill/>
        </a:ln>
        <a:effectLst/>
      </c:spPr>
      <c:txPr>
        <a:bodyPr rot="0" spcFirstLastPara="1" vertOverflow="ellipsis" vert="horz" wrap="square" anchor="ctr" anchorCtr="1"/>
        <a:lstStyle/>
        <a:p>
          <a:pPr>
            <a:defRPr sz="96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2827605989737365"/>
          <c:y val="0.14996357095195892"/>
          <c:w val="0.74344788020525265"/>
          <c:h val="0.59960375817678457"/>
        </c:manualLayout>
      </c:layout>
      <c:areaChart>
        <c:grouping val="standard"/>
        <c:varyColors val="0"/>
        <c:ser>
          <c:idx val="1"/>
          <c:order val="1"/>
          <c:tx>
            <c:strRef>
              <c:f>Charts!$E$124</c:f>
              <c:strCache>
                <c:ptCount val="1"/>
                <c:pt idx="0">
                  <c:v> Oil production RATE after ELT </c:v>
                </c:pt>
              </c:strCache>
            </c:strRef>
          </c:tx>
          <c:spPr>
            <a:solidFill>
              <a:srgbClr val="00B050">
                <a:alpha val="34000"/>
              </a:srgbClr>
            </a:solidFill>
            <a:ln>
              <a:noFill/>
            </a:ln>
            <a:effectLst/>
          </c:spPr>
          <c:val>
            <c:numRef>
              <c:f>Charts!$K$124:$AX$124</c:f>
              <c:numCache>
                <c:formatCode>#,##0_);\(#,##0\);"-  ";" "@" "</c:formatCode>
                <c:ptCount val="40"/>
                <c:pt idx="0">
                  <c:v>0</c:v>
                </c:pt>
                <c:pt idx="1">
                  <c:v>0</c:v>
                </c:pt>
                <c:pt idx="2">
                  <c:v>0</c:v>
                </c:pt>
                <c:pt idx="3">
                  <c:v>0</c:v>
                </c:pt>
                <c:pt idx="4">
                  <c:v>9.5471162223815913</c:v>
                </c:pt>
                <c:pt idx="5">
                  <c:v>75</c:v>
                </c:pt>
                <c:pt idx="6">
                  <c:v>150</c:v>
                </c:pt>
                <c:pt idx="7">
                  <c:v>150</c:v>
                </c:pt>
                <c:pt idx="8">
                  <c:v>150</c:v>
                </c:pt>
                <c:pt idx="9">
                  <c:v>150</c:v>
                </c:pt>
                <c:pt idx="10">
                  <c:v>150</c:v>
                </c:pt>
                <c:pt idx="11">
                  <c:v>150</c:v>
                </c:pt>
                <c:pt idx="12">
                  <c:v>150</c:v>
                </c:pt>
                <c:pt idx="13">
                  <c:v>150</c:v>
                </c:pt>
                <c:pt idx="14">
                  <c:v>150</c:v>
                </c:pt>
                <c:pt idx="15">
                  <c:v>150</c:v>
                </c:pt>
                <c:pt idx="16">
                  <c:v>121.50000000000001</c:v>
                </c:pt>
                <c:pt idx="17">
                  <c:v>98.41500000000002</c:v>
                </c:pt>
                <c:pt idx="18">
                  <c:v>79.716150000000027</c:v>
                </c:pt>
                <c:pt idx="19">
                  <c:v>64.570081500000029</c:v>
                </c:pt>
                <c:pt idx="20">
                  <c:v>52.301766015000027</c:v>
                </c:pt>
                <c:pt idx="21">
                  <c:v>42.364430472150026</c:v>
                </c:pt>
                <c:pt idx="22">
                  <c:v>34.315188682441523</c:v>
                </c:pt>
                <c:pt idx="23">
                  <c:v>27.795302832777637</c:v>
                </c:pt>
                <c:pt idx="24">
                  <c:v>22.514195294549886</c:v>
                </c:pt>
                <c:pt idx="25">
                  <c:v>18.236498188585408</c:v>
                </c:pt>
                <c:pt idx="26">
                  <c:v>14.771563532754181</c:v>
                </c:pt>
                <c:pt idx="27">
                  <c:v>11.964966461530887</c:v>
                </c:pt>
                <c:pt idx="28">
                  <c:v>9.6916228338400181</c:v>
                </c:pt>
                <c:pt idx="29">
                  <c:v>7.8502144954104152</c:v>
                </c:pt>
                <c:pt idx="30">
                  <c:v>6.3586737412824368</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F342-4E8E-B672-669566831CC7}"/>
            </c:ext>
          </c:extLst>
        </c:ser>
        <c:dLbls>
          <c:showLegendKey val="0"/>
          <c:showVal val="0"/>
          <c:showCatName val="0"/>
          <c:showSerName val="0"/>
          <c:showPercent val="0"/>
          <c:showBubbleSize val="0"/>
        </c:dLbls>
        <c:axId val="160283264"/>
        <c:axId val="160281344"/>
      </c:areaChart>
      <c:lineChart>
        <c:grouping val="standard"/>
        <c:varyColors val="0"/>
        <c:ser>
          <c:idx val="0"/>
          <c:order val="0"/>
          <c:tx>
            <c:strRef>
              <c:f>Charts!$E$128</c:f>
              <c:strCache>
                <c:ptCount val="1"/>
                <c:pt idx="0">
                  <c:v> Operating unit costs </c:v>
                </c:pt>
              </c:strCache>
            </c:strRef>
          </c:tx>
          <c:spPr>
            <a:ln w="28575" cap="rnd">
              <a:solidFill>
                <a:schemeClr val="accent1"/>
              </a:solidFill>
              <a:round/>
            </a:ln>
            <a:effectLst/>
          </c:spPr>
          <c:marker>
            <c:symbol val="none"/>
          </c:marker>
          <c:val>
            <c:numRef>
              <c:f>Charts!$K$128:$AX$128</c:f>
              <c:numCache>
                <c:formatCode>#,##0_);\(#,##0\);"-  ";" "@" "</c:formatCode>
                <c:ptCount val="40"/>
                <c:pt idx="0">
                  <c:v>0</c:v>
                </c:pt>
                <c:pt idx="1">
                  <c:v>0</c:v>
                </c:pt>
                <c:pt idx="2">
                  <c:v>0</c:v>
                </c:pt>
                <c:pt idx="3">
                  <c:v>0</c:v>
                </c:pt>
                <c:pt idx="4">
                  <c:v>14.348448073641537</c:v>
                </c:pt>
                <c:pt idx="5">
                  <c:v>6.5753424657534243</c:v>
                </c:pt>
                <c:pt idx="6">
                  <c:v>4.7488584474885842</c:v>
                </c:pt>
                <c:pt idx="7">
                  <c:v>4.7488584474885842</c:v>
                </c:pt>
                <c:pt idx="8">
                  <c:v>4.7488584474885842</c:v>
                </c:pt>
                <c:pt idx="9">
                  <c:v>4.7488584474885842</c:v>
                </c:pt>
                <c:pt idx="10">
                  <c:v>4.7488584474885842</c:v>
                </c:pt>
                <c:pt idx="11">
                  <c:v>4.7488584474885842</c:v>
                </c:pt>
                <c:pt idx="12">
                  <c:v>4.7488584474885842</c:v>
                </c:pt>
                <c:pt idx="13">
                  <c:v>4.7488584474885842</c:v>
                </c:pt>
                <c:pt idx="14">
                  <c:v>4.7488584474885842</c:v>
                </c:pt>
                <c:pt idx="15">
                  <c:v>4.7488584474885842</c:v>
                </c:pt>
                <c:pt idx="16">
                  <c:v>5.8627882067760284</c:v>
                </c:pt>
                <c:pt idx="17">
                  <c:v>7.2380101318222581</c:v>
                </c:pt>
                <c:pt idx="18">
                  <c:v>5.1552778716682743</c:v>
                </c:pt>
                <c:pt idx="19">
                  <c:v>5.9402378768194097</c:v>
                </c:pt>
                <c:pt idx="20">
                  <c:v>6.2859660072163068</c:v>
                </c:pt>
                <c:pt idx="21">
                  <c:v>7.1784179712038059</c:v>
                </c:pt>
                <c:pt idx="22">
                  <c:v>7.9840039719762039</c:v>
                </c:pt>
                <c:pt idx="23">
                  <c:v>9.3639552757745594</c:v>
                </c:pt>
                <c:pt idx="24">
                  <c:v>10.951994474590128</c:v>
                </c:pt>
                <c:pt idx="25">
                  <c:v>12.769815231003582</c:v>
                </c:pt>
                <c:pt idx="26">
                  <c:v>14.837839048370171</c:v>
                </c:pt>
                <c:pt idx="27">
                  <c:v>17.173424824502515</c:v>
                </c:pt>
                <c:pt idx="28">
                  <c:v>19.788308439755983</c:v>
                </c:pt>
                <c:pt idx="29">
                  <c:v>24.430010419451829</c:v>
                </c:pt>
                <c:pt idx="30">
                  <c:v>28.006184784204031</c:v>
                </c:pt>
                <c:pt idx="31">
                  <c:v>0</c:v>
                </c:pt>
                <c:pt idx="32">
                  <c:v>0</c:v>
                </c:pt>
                <c:pt idx="33">
                  <c:v>0</c:v>
                </c:pt>
                <c:pt idx="34">
                  <c:v>0</c:v>
                </c:pt>
                <c:pt idx="35">
                  <c:v>0</c:v>
                </c:pt>
                <c:pt idx="36">
                  <c:v>0</c:v>
                </c:pt>
                <c:pt idx="37">
                  <c:v>0</c:v>
                </c:pt>
                <c:pt idx="38">
                  <c:v>0</c:v>
                </c:pt>
                <c:pt idx="39">
                  <c:v>0</c:v>
                </c:pt>
              </c:numCache>
            </c:numRef>
          </c:val>
          <c:smooth val="0"/>
          <c:extLst>
            <c:ext xmlns:c16="http://schemas.microsoft.com/office/drawing/2014/chart" uri="{C3380CC4-5D6E-409C-BE32-E72D297353CC}">
              <c16:uniqueId val="{00000001-F342-4E8E-B672-669566831CC7}"/>
            </c:ext>
          </c:extLst>
        </c:ser>
        <c:dLbls>
          <c:showLegendKey val="0"/>
          <c:showVal val="0"/>
          <c:showCatName val="0"/>
          <c:showSerName val="0"/>
          <c:showPercent val="0"/>
          <c:showBubbleSize val="0"/>
        </c:dLbls>
        <c:marker val="1"/>
        <c:smooth val="0"/>
        <c:axId val="158262016"/>
        <c:axId val="158263936"/>
      </c:lineChart>
      <c:catAx>
        <c:axId val="158262016"/>
        <c:scaling>
          <c:orientation val="minMax"/>
        </c:scaling>
        <c:delete val="0"/>
        <c:axPos val="b"/>
        <c:title>
          <c:tx>
            <c:strRef>
              <c:f>Charts!$F$118</c:f>
              <c:strCache>
                <c:ptCount val="1"/>
                <c:pt idx="0">
                  <c:v> Year </c:v>
                </c:pt>
              </c:strCache>
            </c:strRef>
          </c:tx>
          <c:overlay val="0"/>
          <c:spPr>
            <a:noFill/>
            <a:ln>
              <a:noFill/>
            </a:ln>
            <a:effectLst/>
          </c:spPr>
          <c:txPr>
            <a:bodyPr rot="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158263936"/>
        <c:crosses val="autoZero"/>
        <c:auto val="1"/>
        <c:lblAlgn val="ctr"/>
        <c:lblOffset val="100"/>
        <c:noMultiLvlLbl val="0"/>
      </c:catAx>
      <c:valAx>
        <c:axId val="158263936"/>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Charts!$F$119</c:f>
              <c:strCache>
                <c:ptCount val="1"/>
                <c:pt idx="0">
                  <c:v> US$ 2021 / bbl </c:v>
                </c:pt>
              </c:strCache>
            </c:strRef>
          </c:tx>
          <c:overlay val="0"/>
          <c:spPr>
            <a:noFill/>
            <a:ln>
              <a:noFill/>
            </a:ln>
            <a:effectLst/>
          </c:spPr>
          <c:txPr>
            <a:bodyPr rot="-54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158262016"/>
        <c:crosses val="autoZero"/>
        <c:crossBetween val="between"/>
      </c:valAx>
      <c:valAx>
        <c:axId val="160281344"/>
        <c:scaling>
          <c:orientation val="minMax"/>
        </c:scaling>
        <c:delete val="0"/>
        <c:axPos val="r"/>
        <c:title>
          <c:tx>
            <c:strRef>
              <c:f>Charts!$G$124</c:f>
              <c:strCache>
                <c:ptCount val="1"/>
                <c:pt idx="0">
                  <c:v> KBOPD </c:v>
                </c:pt>
              </c:strCache>
            </c:strRef>
          </c:tx>
          <c:overlay val="0"/>
          <c:spPr>
            <a:noFill/>
            <a:ln>
              <a:noFill/>
            </a:ln>
            <a:effectLst/>
          </c:spPr>
          <c:txPr>
            <a:bodyPr rot="-54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title>
        <c:numFmt formatCode="#,##0_);\(#,##0\);&quot;-  &quot;;&quot; &quot;@&quot; &quot;"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160283264"/>
        <c:crosses val="max"/>
        <c:crossBetween val="between"/>
      </c:valAx>
      <c:catAx>
        <c:axId val="160283264"/>
        <c:scaling>
          <c:orientation val="minMax"/>
        </c:scaling>
        <c:delete val="1"/>
        <c:axPos val="b"/>
        <c:majorTickMark val="out"/>
        <c:minorTickMark val="none"/>
        <c:tickLblPos val="nextTo"/>
        <c:crossAx val="160281344"/>
        <c:crosses val="autoZero"/>
        <c:auto val="1"/>
        <c:lblAlgn val="ctr"/>
        <c:lblOffset val="100"/>
        <c:noMultiLvlLbl val="0"/>
      </c:catAx>
      <c:spPr>
        <a:noFill/>
        <a:ln>
          <a:noFill/>
        </a:ln>
        <a:effectLst/>
      </c:spPr>
    </c:plotArea>
    <c:legend>
      <c:legendPos val="b"/>
      <c:layout>
        <c:manualLayout>
          <c:xMode val="edge"/>
          <c:yMode val="edge"/>
          <c:x val="4.9999885050864994E-2"/>
          <c:y val="0.86457916563935322"/>
          <c:w val="0.94087591240875912"/>
          <c:h val="9.7920815905913339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Dashboard!$B$96</c:f>
          <c:strCache>
            <c:ptCount val="1"/>
            <c:pt idx="0">
              <c:v> Government revenue profiles under alternative regimes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strRef>
              <c:f>Dashboard!$R$100</c:f>
              <c:strCache>
                <c:ptCount val="1"/>
                <c:pt idx="0">
                  <c:v> Royalty + CIT </c:v>
                </c:pt>
              </c:strCache>
              <c:extLst xmlns:c15="http://schemas.microsoft.com/office/drawing/2012/chart"/>
            </c:strRef>
          </c:tx>
          <c:spPr>
            <a:ln w="28575" cap="rnd">
              <a:solidFill>
                <a:schemeClr val="accent1"/>
              </a:solidFill>
              <a:round/>
            </a:ln>
            <a:effectLst/>
          </c:spPr>
          <c:marker>
            <c:symbol val="none"/>
          </c:marker>
          <c:cat>
            <c:numRef>
              <c:f>Dashboard!$T$95:$BG$95</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extLst xmlns:c15="http://schemas.microsoft.com/office/drawing/2012/chart"/>
            </c:numRef>
          </c:cat>
          <c:val>
            <c:numRef>
              <c:f>(Dashboard!$R$100,Dashboard!$T$100:$BG$100)</c:f>
              <c:numCache>
                <c:formatCode>#,##0_);\(#,##0\);"-  ";" "@" "</c:formatCode>
                <c:ptCount val="41"/>
                <c:pt idx="0">
                  <c:v>0</c:v>
                </c:pt>
                <c:pt idx="1">
                  <c:v>10</c:v>
                </c:pt>
                <c:pt idx="2">
                  <c:v>-7</c:v>
                </c:pt>
                <c:pt idx="3">
                  <c:v>-42</c:v>
                </c:pt>
                <c:pt idx="4">
                  <c:v>-168</c:v>
                </c:pt>
                <c:pt idx="5">
                  <c:v>-79.417393719356809</c:v>
                </c:pt>
                <c:pt idx="6">
                  <c:v>74.70789472108811</c:v>
                </c:pt>
                <c:pt idx="7">
                  <c:v>834.02285311303217</c:v>
                </c:pt>
                <c:pt idx="8">
                  <c:v>1196.7426402778426</c:v>
                </c:pt>
                <c:pt idx="9">
                  <c:v>1325.5965480811115</c:v>
                </c:pt>
                <c:pt idx="10">
                  <c:v>1449.7366227461</c:v>
                </c:pt>
                <c:pt idx="11">
                  <c:v>1541.5650709837716</c:v>
                </c:pt>
                <c:pt idx="12">
                  <c:v>1585.8629753916148</c:v>
                </c:pt>
                <c:pt idx="13">
                  <c:v>1572.8019820419881</c:v>
                </c:pt>
                <c:pt idx="14">
                  <c:v>1577.5283262101759</c:v>
                </c:pt>
                <c:pt idx="15">
                  <c:v>1582.0855244849381</c:v>
                </c:pt>
                <c:pt idx="16">
                  <c:v>1586.4783929127805</c:v>
                </c:pt>
                <c:pt idx="17">
                  <c:v>1251.3690388825701</c:v>
                </c:pt>
                <c:pt idx="18">
                  <c:v>1040.60654767799</c:v>
                </c:pt>
                <c:pt idx="19">
                  <c:v>874.00072866289145</c:v>
                </c:pt>
                <c:pt idx="20">
                  <c:v>633.12406726123163</c:v>
                </c:pt>
                <c:pt idx="21">
                  <c:v>490.16942270462158</c:v>
                </c:pt>
                <c:pt idx="22">
                  <c:v>436.44001776963444</c:v>
                </c:pt>
                <c:pt idx="23">
                  <c:v>318.50531939932284</c:v>
                </c:pt>
                <c:pt idx="24">
                  <c:v>244.18007248183767</c:v>
                </c:pt>
                <c:pt idx="25">
                  <c:v>194.73152542044244</c:v>
                </c:pt>
                <c:pt idx="26">
                  <c:v>157.01114098357735</c:v>
                </c:pt>
                <c:pt idx="27">
                  <c:v>118.6070114500837</c:v>
                </c:pt>
                <c:pt idx="28">
                  <c:v>88.026673046035484</c:v>
                </c:pt>
                <c:pt idx="29">
                  <c:v>70.092372595120622</c:v>
                </c:pt>
                <c:pt idx="30">
                  <c:v>48.450661822132645</c:v>
                </c:pt>
                <c:pt idx="31">
                  <c:v>33.36285916166166</c:v>
                </c:pt>
                <c:pt idx="32">
                  <c:v>0</c:v>
                </c:pt>
                <c:pt idx="33">
                  <c:v>0</c:v>
                </c:pt>
                <c:pt idx="34">
                  <c:v>0</c:v>
                </c:pt>
                <c:pt idx="35">
                  <c:v>0</c:v>
                </c:pt>
                <c:pt idx="36">
                  <c:v>0</c:v>
                </c:pt>
                <c:pt idx="37">
                  <c:v>0</c:v>
                </c:pt>
                <c:pt idx="38">
                  <c:v>0</c:v>
                </c:pt>
                <c:pt idx="39">
                  <c:v>0</c:v>
                </c:pt>
                <c:pt idx="40">
                  <c:v>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EDBB-42A7-842F-CC2B78612BFD}"/>
            </c:ext>
          </c:extLst>
        </c:ser>
        <c:ser>
          <c:idx val="1"/>
          <c:order val="1"/>
          <c:tx>
            <c:strRef>
              <c:f>Dashboard!$R$101</c:f>
              <c:strCache>
                <c:ptCount val="1"/>
                <c:pt idx="0">
                  <c:v> RRT </c:v>
                </c:pt>
              </c:strCache>
            </c:strRef>
          </c:tx>
          <c:spPr>
            <a:ln w="28575" cap="rnd">
              <a:solidFill>
                <a:schemeClr val="accent2"/>
              </a:solidFill>
              <a:round/>
            </a:ln>
            <a:effectLst/>
          </c:spPr>
          <c:marker>
            <c:symbol val="none"/>
          </c:marker>
          <c:cat>
            <c:numRef>
              <c:f>Dashboard!$T$95:$BG$95</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(Dashboard!$R$101,Dashboard!$T$101:$BG$101)</c:f>
              <c:numCache>
                <c:formatCode>#,##0_);\(#,##0\);"-  ";" "@" "</c:formatCode>
                <c:ptCount val="41"/>
                <c:pt idx="0">
                  <c:v>0</c:v>
                </c:pt>
                <c:pt idx="1">
                  <c:v>10</c:v>
                </c:pt>
                <c:pt idx="2">
                  <c:v>-3.5</c:v>
                </c:pt>
                <c:pt idx="3">
                  <c:v>-21</c:v>
                </c:pt>
                <c:pt idx="4">
                  <c:v>-84</c:v>
                </c:pt>
                <c:pt idx="5">
                  <c:v>-24.166147444003379</c:v>
                </c:pt>
                <c:pt idx="6">
                  <c:v>18.448519721088104</c:v>
                </c:pt>
                <c:pt idx="7">
                  <c:v>544.37684700292334</c:v>
                </c:pt>
                <c:pt idx="8">
                  <c:v>857.66979260894391</c:v>
                </c:pt>
                <c:pt idx="9">
                  <c:v>894.21105503742535</c:v>
                </c:pt>
                <c:pt idx="10">
                  <c:v>1525.6580390759959</c:v>
                </c:pt>
                <c:pt idx="11">
                  <c:v>1718.7205852521681</c:v>
                </c:pt>
                <c:pt idx="12">
                  <c:v>1742.446395761852</c:v>
                </c:pt>
                <c:pt idx="13">
                  <c:v>1715.340869020424</c:v>
                </c:pt>
                <c:pt idx="14">
                  <c:v>1718.4707264742258</c:v>
                </c:pt>
                <c:pt idx="15">
                  <c:v>1721.4986564488995</c:v>
                </c:pt>
                <c:pt idx="16">
                  <c:v>1724.4274527719795</c:v>
                </c:pt>
                <c:pt idx="17">
                  <c:v>1347.5829456784847</c:v>
                </c:pt>
                <c:pt idx="18">
                  <c:v>1164.7657582572201</c:v>
                </c:pt>
                <c:pt idx="19">
                  <c:v>981.38101909513489</c:v>
                </c:pt>
                <c:pt idx="20">
                  <c:v>663.41467801885301</c:v>
                </c:pt>
                <c:pt idx="21">
                  <c:v>504.19224210020627</c:v>
                </c:pt>
                <c:pt idx="22">
                  <c:v>477.36090648610701</c:v>
                </c:pt>
                <c:pt idx="23">
                  <c:v>362.05363060427032</c:v>
                </c:pt>
                <c:pt idx="24">
                  <c:v>277.54044186325092</c:v>
                </c:pt>
                <c:pt idx="25">
                  <c:v>215.22499738996993</c:v>
                </c:pt>
                <c:pt idx="26">
                  <c:v>166.42151308056066</c:v>
                </c:pt>
                <c:pt idx="27">
                  <c:v>123.16035184944701</c:v>
                </c:pt>
                <c:pt idx="28">
                  <c:v>88.830263047697358</c:v>
                </c:pt>
                <c:pt idx="29">
                  <c:v>70.324711193741322</c:v>
                </c:pt>
                <c:pt idx="30">
                  <c:v>45.644724475463995</c:v>
                </c:pt>
                <c:pt idx="31">
                  <c:v>28.975565849765935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1-EDBB-42A7-842F-CC2B78612BFD}"/>
            </c:ext>
          </c:extLst>
        </c:ser>
        <c:ser>
          <c:idx val="2"/>
          <c:order val="2"/>
          <c:tx>
            <c:strRef>
              <c:f>Dashboard!$R$102</c:f>
              <c:strCache>
                <c:ptCount val="1"/>
                <c:pt idx="0">
                  <c:v> Royalty + CIT, no debt </c:v>
                </c:pt>
              </c:strCache>
            </c:strRef>
          </c:tx>
          <c:spPr>
            <a:ln w="28575" cap="rnd">
              <a:solidFill>
                <a:schemeClr val="accent3"/>
              </a:solidFill>
              <a:round/>
            </a:ln>
            <a:effectLst/>
          </c:spPr>
          <c:marker>
            <c:symbol val="none"/>
          </c:marker>
          <c:cat>
            <c:numRef>
              <c:f>Dashboard!$T$95:$BG$95</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(Dashboard!$R$102,Dashboard!$T$102:$BG$102)</c:f>
              <c:numCache>
                <c:formatCode>#,##0_);\(#,##0\);"-  ";" "@" "</c:formatCode>
                <c:ptCount val="41"/>
                <c:pt idx="0">
                  <c:v>0</c:v>
                </c:pt>
                <c:pt idx="1">
                  <c:v>10</c:v>
                </c:pt>
                <c:pt idx="2">
                  <c:v>0</c:v>
                </c:pt>
                <c:pt idx="3">
                  <c:v>0</c:v>
                </c:pt>
                <c:pt idx="4">
                  <c:v>0</c:v>
                </c:pt>
                <c:pt idx="5">
                  <c:v>78.99968837242767</c:v>
                </c:pt>
                <c:pt idx="6">
                  <c:v>257.10252191232007</c:v>
                </c:pt>
                <c:pt idx="7">
                  <c:v>754.51149354203176</c:v>
                </c:pt>
                <c:pt idx="8">
                  <c:v>994.36451583706514</c:v>
                </c:pt>
                <c:pt idx="9">
                  <c:v>1140.3718269009894</c:v>
                </c:pt>
                <c:pt idx="10">
                  <c:v>1487.9048005470243</c:v>
                </c:pt>
                <c:pt idx="11">
                  <c:v>1586.9822777246973</c:v>
                </c:pt>
                <c:pt idx="12">
                  <c:v>1631.9469646252326</c:v>
                </c:pt>
                <c:pt idx="13">
                  <c:v>1613.5710148151006</c:v>
                </c:pt>
                <c:pt idx="14">
                  <c:v>1613.6697734802767</c:v>
                </c:pt>
                <c:pt idx="15">
                  <c:v>1613.7665957010379</c:v>
                </c:pt>
                <c:pt idx="16">
                  <c:v>1613.8615194468821</c:v>
                </c:pt>
                <c:pt idx="17">
                  <c:v>1241.4869616671804</c:v>
                </c:pt>
                <c:pt idx="18">
                  <c:v>965.33176941723207</c:v>
                </c:pt>
                <c:pt idx="19">
                  <c:v>813.26141637712442</c:v>
                </c:pt>
                <c:pt idx="20">
                  <c:v>598.95510021140149</c:v>
                </c:pt>
                <c:pt idx="21">
                  <c:v>464.51222419115726</c:v>
                </c:pt>
                <c:pt idx="22">
                  <c:v>405.20829939102362</c:v>
                </c:pt>
                <c:pt idx="23">
                  <c:v>314.91292388351172</c:v>
                </c:pt>
                <c:pt idx="24">
                  <c:v>239.91675426563779</c:v>
                </c:pt>
                <c:pt idx="25">
                  <c:v>191.42627879109514</c:v>
                </c:pt>
                <c:pt idx="26">
                  <c:v>154.78117658594664</c:v>
                </c:pt>
                <c:pt idx="27">
                  <c:v>116.09317579251162</c:v>
                </c:pt>
                <c:pt idx="28">
                  <c:v>85.325425074797508</c:v>
                </c:pt>
                <c:pt idx="29">
                  <c:v>67.807861610988354</c:v>
                </c:pt>
                <c:pt idx="30">
                  <c:v>45.909918216270484</c:v>
                </c:pt>
                <c:pt idx="31">
                  <c:v>30.81736772020064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2-EDBB-42A7-842F-CC2B78612BFD}"/>
            </c:ext>
          </c:extLst>
        </c:ser>
        <c:ser>
          <c:idx val="3"/>
          <c:order val="3"/>
          <c:tx>
            <c:strRef>
              <c:f>Dashboard!$R$103</c:f>
              <c:strCache>
                <c:ptCount val="1"/>
                <c:pt idx="0">
                  <c:v> DROP PSC </c:v>
                </c:pt>
              </c:strCache>
            </c:strRef>
          </c:tx>
          <c:spPr>
            <a:ln w="28575" cap="rnd">
              <a:solidFill>
                <a:schemeClr val="accent4"/>
              </a:solidFill>
              <a:round/>
            </a:ln>
            <a:effectLst/>
          </c:spPr>
          <c:marker>
            <c:symbol val="none"/>
          </c:marker>
          <c:cat>
            <c:numRef>
              <c:f>Dashboard!$T$95:$BG$95</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(Dashboard!$R$103,Dashboard!$T$103:$BG$103)</c:f>
              <c:numCache>
                <c:formatCode>#,##0_);\(#,##0\);"-  ";" "@" "</c:formatCode>
                <c:ptCount val="41"/>
                <c:pt idx="0">
                  <c:v>0</c:v>
                </c:pt>
                <c:pt idx="1">
                  <c:v>10</c:v>
                </c:pt>
                <c:pt idx="2">
                  <c:v>-3.5</c:v>
                </c:pt>
                <c:pt idx="3">
                  <c:v>-21</c:v>
                </c:pt>
                <c:pt idx="4">
                  <c:v>-84</c:v>
                </c:pt>
                <c:pt idx="5">
                  <c:v>-11.363369118627432</c:v>
                </c:pt>
                <c:pt idx="6">
                  <c:v>128.91321472108808</c:v>
                </c:pt>
                <c:pt idx="7">
                  <c:v>664.0467991236801</c:v>
                </c:pt>
                <c:pt idx="8">
                  <c:v>1021.9879235089438</c:v>
                </c:pt>
                <c:pt idx="9">
                  <c:v>1058.5291859374254</c:v>
                </c:pt>
                <c:pt idx="10">
                  <c:v>1497.092102467768</c:v>
                </c:pt>
                <c:pt idx="11">
                  <c:v>1603.4162045277815</c:v>
                </c:pt>
                <c:pt idx="12">
                  <c:v>1646.3120231099829</c:v>
                </c:pt>
                <c:pt idx="13">
                  <c:v>1627.6555151955292</c:v>
                </c:pt>
                <c:pt idx="14">
                  <c:v>1632.5083768098525</c:v>
                </c:pt>
                <c:pt idx="15">
                  <c:v>1637.1923429564536</c:v>
                </c:pt>
                <c:pt idx="16">
                  <c:v>1641.7121712193748</c:v>
                </c:pt>
                <c:pt idx="17">
                  <c:v>1256.752112713848</c:v>
                </c:pt>
                <c:pt idx="18">
                  <c:v>1043.7508971200991</c:v>
                </c:pt>
                <c:pt idx="19">
                  <c:v>865.25703569000325</c:v>
                </c:pt>
                <c:pt idx="20">
                  <c:v>601.93552810100243</c:v>
                </c:pt>
                <c:pt idx="21">
                  <c:v>459.53433459326044</c:v>
                </c:pt>
                <c:pt idx="22">
                  <c:v>417.34206754329239</c:v>
                </c:pt>
                <c:pt idx="23">
                  <c:v>312.2006300572242</c:v>
                </c:pt>
                <c:pt idx="24">
                  <c:v>222.55914225068472</c:v>
                </c:pt>
                <c:pt idx="25">
                  <c:v>173.3419437469978</c:v>
                </c:pt>
                <c:pt idx="26">
                  <c:v>137.4921041907329</c:v>
                </c:pt>
                <c:pt idx="27">
                  <c:v>102.51356584968323</c:v>
                </c:pt>
                <c:pt idx="28">
                  <c:v>74.724965674269257</c:v>
                </c:pt>
                <c:pt idx="29">
                  <c:v>59.279389573018179</c:v>
                </c:pt>
                <c:pt idx="30">
                  <c:v>39.416029690743656</c:v>
                </c:pt>
                <c:pt idx="31">
                  <c:v>25.849811486951605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3-EDBB-42A7-842F-CC2B78612BFD}"/>
            </c:ext>
          </c:extLst>
        </c:ser>
        <c:ser>
          <c:idx val="4"/>
          <c:order val="4"/>
          <c:tx>
            <c:strRef>
              <c:f>Dashboard!$R$104</c:f>
              <c:strCache>
                <c:ptCount val="1"/>
                <c:pt idx="0">
                  <c:v> R-factor PSC </c:v>
                </c:pt>
              </c:strCache>
            </c:strRef>
          </c:tx>
          <c:spPr>
            <a:ln w="28575" cap="rnd">
              <a:solidFill>
                <a:schemeClr val="accent5"/>
              </a:solidFill>
              <a:round/>
            </a:ln>
            <a:effectLst/>
          </c:spPr>
          <c:marker>
            <c:symbol val="none"/>
          </c:marker>
          <c:cat>
            <c:numRef>
              <c:f>Dashboard!$T$95:$BG$95</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(Dashboard!$R$104,Dashboard!$T$104:$BG$104)</c:f>
              <c:numCache>
                <c:formatCode>#,##0_);\(#,##0\);"-  ";" "@" "</c:formatCode>
                <c:ptCount val="41"/>
                <c:pt idx="0">
                  <c:v>0</c:v>
                </c:pt>
                <c:pt idx="1">
                  <c:v>10</c:v>
                </c:pt>
                <c:pt idx="2">
                  <c:v>-3.5</c:v>
                </c:pt>
                <c:pt idx="3">
                  <c:v>-21</c:v>
                </c:pt>
                <c:pt idx="4">
                  <c:v>-84</c:v>
                </c:pt>
                <c:pt idx="5">
                  <c:v>-11.363369118627432</c:v>
                </c:pt>
                <c:pt idx="6">
                  <c:v>108.96669472108806</c:v>
                </c:pt>
                <c:pt idx="7">
                  <c:v>621.08551501779766</c:v>
                </c:pt>
                <c:pt idx="8">
                  <c:v>971.72269310894376</c:v>
                </c:pt>
                <c:pt idx="9">
                  <c:v>1008.2639555374253</c:v>
                </c:pt>
                <c:pt idx="10">
                  <c:v>1425.0918164313887</c:v>
                </c:pt>
                <c:pt idx="11">
                  <c:v>1528.4454482393871</c:v>
                </c:pt>
                <c:pt idx="12">
                  <c:v>1571.303495239008</c:v>
                </c:pt>
                <c:pt idx="13">
                  <c:v>1676.5459616169321</c:v>
                </c:pt>
                <c:pt idx="14">
                  <c:v>1681.4453779680905</c:v>
                </c:pt>
                <c:pt idx="15">
                  <c:v>1686.1749860135494</c:v>
                </c:pt>
                <c:pt idx="16">
                  <c:v>1690.7395612361356</c:v>
                </c:pt>
                <c:pt idx="17">
                  <c:v>1418.1407264000175</c:v>
                </c:pt>
                <c:pt idx="18">
                  <c:v>1204.3817166308449</c:v>
                </c:pt>
                <c:pt idx="19">
                  <c:v>1016.3873431092004</c:v>
                </c:pt>
                <c:pt idx="20">
                  <c:v>705.1853789695848</c:v>
                </c:pt>
                <c:pt idx="21">
                  <c:v>538.8094477040238</c:v>
                </c:pt>
                <c:pt idx="22">
                  <c:v>483.43152736371138</c:v>
                </c:pt>
                <c:pt idx="23">
                  <c:v>375.15667154710331</c:v>
                </c:pt>
                <c:pt idx="24">
                  <c:v>285.92041737690062</c:v>
                </c:pt>
                <c:pt idx="25">
                  <c:v>224.24526159871073</c:v>
                </c:pt>
                <c:pt idx="26">
                  <c:v>176.77409758249476</c:v>
                </c:pt>
                <c:pt idx="27">
                  <c:v>140.48046239119134</c:v>
                </c:pt>
                <c:pt idx="28">
                  <c:v>101.2883930146819</c:v>
                </c:pt>
                <c:pt idx="29">
                  <c:v>80.187814915946603</c:v>
                </c:pt>
                <c:pt idx="30">
                  <c:v>52.003029053611058</c:v>
                </c:pt>
                <c:pt idx="31">
                  <c:v>32.974099510380427</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4-EDBB-42A7-842F-CC2B78612BFD}"/>
            </c:ext>
          </c:extLst>
        </c:ser>
        <c:dLbls>
          <c:showLegendKey val="0"/>
          <c:showVal val="0"/>
          <c:showCatName val="0"/>
          <c:showSerName val="0"/>
          <c:showPercent val="0"/>
          <c:showBubbleSize val="0"/>
        </c:dLbls>
        <c:smooth val="0"/>
        <c:axId val="160320128"/>
        <c:axId val="160326400"/>
        <c:extLst/>
      </c:lineChart>
      <c:catAx>
        <c:axId val="160320128"/>
        <c:scaling>
          <c:orientation val="minMax"/>
        </c:scaling>
        <c:delete val="0"/>
        <c:axPos val="b"/>
        <c:title>
          <c:tx>
            <c:strRef>
              <c:f>Dashboard!$B$97</c:f>
              <c:strCache>
                <c:ptCount val="1"/>
                <c:pt idx="0">
                  <c:v> Year </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0326400"/>
        <c:crosses val="autoZero"/>
        <c:auto val="1"/>
        <c:lblAlgn val="ctr"/>
        <c:lblOffset val="100"/>
        <c:tickLblSkip val="2"/>
        <c:noMultiLvlLbl val="0"/>
      </c:catAx>
      <c:valAx>
        <c:axId val="160326400"/>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Dashboard!$B$99</c:f>
              <c:strCache>
                <c:ptCount val="1"/>
                <c:pt idx="0">
                  <c:v> US$ mn 2021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0320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Dashboard!$B$65</c:f>
          <c:strCache>
            <c:ptCount val="1"/>
            <c:pt idx="0">
              <c:v> Government revenues under alternative regimes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6840892574342689"/>
          <c:y val="8.4721238328806875E-2"/>
          <c:w val="0.67633279143720093"/>
          <c:h val="0.620969485379405"/>
        </c:manualLayout>
      </c:layout>
      <c:barChart>
        <c:barDir val="col"/>
        <c:grouping val="stacked"/>
        <c:varyColors val="0"/>
        <c:ser>
          <c:idx val="1"/>
          <c:order val="0"/>
          <c:tx>
            <c:strRef>
              <c:f>Dashboard!$R$66</c:f>
              <c:strCache>
                <c:ptCount val="1"/>
                <c:pt idx="0">
                  <c:v> Bonuses </c:v>
                </c:pt>
              </c:strCache>
            </c:strRef>
          </c:tx>
          <c:spPr>
            <a:solidFill>
              <a:srgbClr val="A6A6A6"/>
            </a:solidFill>
            <a:ln>
              <a:noFill/>
            </a:ln>
            <a:effectLst/>
          </c:spPr>
          <c:invertIfNegative val="0"/>
          <c:cat>
            <c:strRef>
              <c:f>Dashboard!$U$63:$Y$63</c:f>
              <c:strCache>
                <c:ptCount val="5"/>
                <c:pt idx="0">
                  <c:v> Royalty + CIT </c:v>
                </c:pt>
                <c:pt idx="1">
                  <c:v> RRT </c:v>
                </c:pt>
                <c:pt idx="2">
                  <c:v> Royalty + CIT, no debt </c:v>
                </c:pt>
                <c:pt idx="3">
                  <c:v> DROP PSC </c:v>
                </c:pt>
                <c:pt idx="4">
                  <c:v> R-factor PSC </c:v>
                </c:pt>
              </c:strCache>
            </c:strRef>
          </c:cat>
          <c:val>
            <c:numRef>
              <c:f>Dashboard!$U$66:$Y$66</c:f>
              <c:numCache>
                <c:formatCode>#,##0_);\(#,##0\);"-  ";" "@" "</c:formatCode>
                <c:ptCount val="5"/>
                <c:pt idx="0">
                  <c:v>56.192271301325711</c:v>
                </c:pt>
                <c:pt idx="1">
                  <c:v>56.192271301325711</c:v>
                </c:pt>
                <c:pt idx="2">
                  <c:v>56.192271301325711</c:v>
                </c:pt>
                <c:pt idx="3">
                  <c:v>56.192271301325711</c:v>
                </c:pt>
                <c:pt idx="4">
                  <c:v>56.192271301325711</c:v>
                </c:pt>
              </c:numCache>
            </c:numRef>
          </c:val>
          <c:extLst>
            <c:ext xmlns:c16="http://schemas.microsoft.com/office/drawing/2014/chart" uri="{C3380CC4-5D6E-409C-BE32-E72D297353CC}">
              <c16:uniqueId val="{00000001-7EFE-4657-9012-7C0608ABAC2E}"/>
            </c:ext>
          </c:extLst>
        </c:ser>
        <c:ser>
          <c:idx val="0"/>
          <c:order val="1"/>
          <c:tx>
            <c:strRef>
              <c:f>Dashboard!$R$67</c:f>
              <c:strCache>
                <c:ptCount val="1"/>
                <c:pt idx="0">
                  <c:v> Royalty </c:v>
                </c:pt>
              </c:strCache>
            </c:strRef>
          </c:tx>
          <c:spPr>
            <a:solidFill>
              <a:srgbClr val="0070C0"/>
            </a:solidFill>
            <a:ln>
              <a:noFill/>
            </a:ln>
            <a:effectLst/>
          </c:spPr>
          <c:invertIfNegative val="0"/>
          <c:cat>
            <c:strRef>
              <c:f>Dashboard!$U$63:$Y$63</c:f>
              <c:strCache>
                <c:ptCount val="5"/>
                <c:pt idx="0">
                  <c:v> Royalty + CIT </c:v>
                </c:pt>
                <c:pt idx="1">
                  <c:v> RRT </c:v>
                </c:pt>
                <c:pt idx="2">
                  <c:v> Royalty + CIT, no debt </c:v>
                </c:pt>
                <c:pt idx="3">
                  <c:v> DROP PSC </c:v>
                </c:pt>
                <c:pt idx="4">
                  <c:v> R-factor PSC </c:v>
                </c:pt>
              </c:strCache>
            </c:strRef>
          </c:cat>
          <c:val>
            <c:numRef>
              <c:f>Dashboard!$U$67:$Y$67</c:f>
              <c:numCache>
                <c:formatCode>#,##0_);\(#,##0\);"-  ";" "@" "</c:formatCode>
                <c:ptCount val="5"/>
                <c:pt idx="0">
                  <c:v>8820.6047726449069</c:v>
                </c:pt>
                <c:pt idx="1">
                  <c:v>2205.1511931612267</c:v>
                </c:pt>
                <c:pt idx="2">
                  <c:v>6615.4535794836784</c:v>
                </c:pt>
                <c:pt idx="3">
                  <c:v>3528.2419090579633</c:v>
                </c:pt>
                <c:pt idx="4">
                  <c:v>3528.2419090579633</c:v>
                </c:pt>
              </c:numCache>
            </c:numRef>
          </c:val>
          <c:extLst>
            <c:ext xmlns:c16="http://schemas.microsoft.com/office/drawing/2014/chart" uri="{C3380CC4-5D6E-409C-BE32-E72D297353CC}">
              <c16:uniqueId val="{00000000-7EFE-4657-9012-7C0608ABAC2E}"/>
            </c:ext>
          </c:extLst>
        </c:ser>
        <c:ser>
          <c:idx val="8"/>
          <c:order val="2"/>
          <c:tx>
            <c:strRef>
              <c:f>Dashboard!$R$68</c:f>
              <c:strCache>
                <c:ptCount val="1"/>
                <c:pt idx="0">
                  <c:v> Carbon tax </c:v>
                </c:pt>
              </c:strCache>
            </c:strRef>
          </c:tx>
          <c:spPr>
            <a:solidFill>
              <a:schemeClr val="tx1"/>
            </a:solidFill>
            <a:ln w="25400">
              <a:noFill/>
            </a:ln>
            <a:effectLst/>
          </c:spPr>
          <c:invertIfNegative val="0"/>
          <c:val>
            <c:numRef>
              <c:f>Dashboard!$U$68:$Y$68</c:f>
              <c:numCache>
                <c:formatCode>#,##0_);\(#,##0\);"-  ";" "@" "</c:formatCode>
                <c:ptCount val="5"/>
                <c:pt idx="0">
                  <c:v>788.47391027310312</c:v>
                </c:pt>
                <c:pt idx="1">
                  <c:v>788.47391027310312</c:v>
                </c:pt>
                <c:pt idx="2">
                  <c:v>788.47391027310312</c:v>
                </c:pt>
                <c:pt idx="3">
                  <c:v>788.47391027310312</c:v>
                </c:pt>
                <c:pt idx="4">
                  <c:v>788.47391027310312</c:v>
                </c:pt>
              </c:numCache>
            </c:numRef>
          </c:val>
          <c:extLst>
            <c:ext xmlns:c16="http://schemas.microsoft.com/office/drawing/2014/chart" uri="{C3380CC4-5D6E-409C-BE32-E72D297353CC}">
              <c16:uniqueId val="{00000000-D308-4428-8727-74F366A2CB19}"/>
            </c:ext>
          </c:extLst>
        </c:ser>
        <c:ser>
          <c:idx val="2"/>
          <c:order val="3"/>
          <c:tx>
            <c:strRef>
              <c:f>Dashboard!$R$69</c:f>
              <c:strCache>
                <c:ptCount val="1"/>
                <c:pt idx="0">
                  <c:v> PSC: Government profit oil </c:v>
                </c:pt>
              </c:strCache>
            </c:strRef>
          </c:tx>
          <c:spPr>
            <a:solidFill>
              <a:schemeClr val="accent3"/>
            </a:solidFill>
            <a:ln>
              <a:noFill/>
            </a:ln>
            <a:effectLst/>
          </c:spPr>
          <c:invertIfNegative val="0"/>
          <c:cat>
            <c:strRef>
              <c:f>Dashboard!$U$63:$Y$63</c:f>
              <c:strCache>
                <c:ptCount val="5"/>
                <c:pt idx="0">
                  <c:v> Royalty + CIT </c:v>
                </c:pt>
                <c:pt idx="1">
                  <c:v> RRT </c:v>
                </c:pt>
                <c:pt idx="2">
                  <c:v> Royalty + CIT, no debt </c:v>
                </c:pt>
                <c:pt idx="3">
                  <c:v> DROP PSC </c:v>
                </c:pt>
                <c:pt idx="4">
                  <c:v> R-factor PSC </c:v>
                </c:pt>
              </c:strCache>
            </c:strRef>
          </c:cat>
          <c:val>
            <c:numRef>
              <c:f>Dashboard!$U$69:$Y$69</c:f>
              <c:numCache>
                <c:formatCode>#,##0_);\(#,##0\);"-  ";" "@" "</c:formatCode>
                <c:ptCount val="5"/>
                <c:pt idx="0">
                  <c:v>0</c:v>
                </c:pt>
                <c:pt idx="1">
                  <c:v>0</c:v>
                </c:pt>
                <c:pt idx="2">
                  <c:v>0</c:v>
                </c:pt>
                <c:pt idx="3">
                  <c:v>8401.912674710964</c:v>
                </c:pt>
                <c:pt idx="4">
                  <c:v>9911.695323405771</c:v>
                </c:pt>
              </c:numCache>
            </c:numRef>
          </c:val>
          <c:extLst>
            <c:ext xmlns:c16="http://schemas.microsoft.com/office/drawing/2014/chart" uri="{C3380CC4-5D6E-409C-BE32-E72D297353CC}">
              <c16:uniqueId val="{00000002-7EFE-4657-9012-7C0608ABAC2E}"/>
            </c:ext>
          </c:extLst>
        </c:ser>
        <c:ser>
          <c:idx val="3"/>
          <c:order val="4"/>
          <c:tx>
            <c:strRef>
              <c:f>Dashboard!$R$70</c:f>
              <c:strCache>
                <c:ptCount val="1"/>
                <c:pt idx="0">
                  <c:v> CIT paid: IOC </c:v>
                </c:pt>
              </c:strCache>
            </c:strRef>
          </c:tx>
          <c:spPr>
            <a:solidFill>
              <a:srgbClr val="FFFF00"/>
            </a:solidFill>
            <a:ln>
              <a:noFill/>
            </a:ln>
            <a:effectLst/>
          </c:spPr>
          <c:invertIfNegative val="0"/>
          <c:cat>
            <c:strRef>
              <c:f>Dashboard!$U$63:$Y$63</c:f>
              <c:strCache>
                <c:ptCount val="5"/>
                <c:pt idx="0">
                  <c:v> Royalty + CIT </c:v>
                </c:pt>
                <c:pt idx="1">
                  <c:v> RRT </c:v>
                </c:pt>
                <c:pt idx="2">
                  <c:v> Royalty + CIT, no debt </c:v>
                </c:pt>
                <c:pt idx="3">
                  <c:v> DROP PSC </c:v>
                </c:pt>
                <c:pt idx="4">
                  <c:v> R-factor PSC </c:v>
                </c:pt>
              </c:strCache>
            </c:strRef>
          </c:cat>
          <c:val>
            <c:numRef>
              <c:f>Dashboard!$U$70:$Y$70</c:f>
              <c:numCache>
                <c:formatCode>#,##0_);\(#,##0\);"-  ";" "@" "</c:formatCode>
                <c:ptCount val="5"/>
                <c:pt idx="0">
                  <c:v>5284.9099061807456</c:v>
                </c:pt>
                <c:pt idx="1">
                  <c:v>6888.9400205614647</c:v>
                </c:pt>
                <c:pt idx="2">
                  <c:v>7165.5517468611515</c:v>
                </c:pt>
                <c:pt idx="3">
                  <c:v>4264.201640143091</c:v>
                </c:pt>
                <c:pt idx="4">
                  <c:v>3856.4104001719643</c:v>
                </c:pt>
              </c:numCache>
            </c:numRef>
          </c:val>
          <c:extLst>
            <c:ext xmlns:c16="http://schemas.microsoft.com/office/drawing/2014/chart" uri="{C3380CC4-5D6E-409C-BE32-E72D297353CC}">
              <c16:uniqueId val="{00000003-7EFE-4657-9012-7C0608ABAC2E}"/>
            </c:ext>
          </c:extLst>
        </c:ser>
        <c:ser>
          <c:idx val="4"/>
          <c:order val="5"/>
          <c:tx>
            <c:strRef>
              <c:f>Dashboard!$R$72</c:f>
              <c:strCache>
                <c:ptCount val="1"/>
                <c:pt idx="0">
                  <c:v> Dividend withholding tax </c:v>
                </c:pt>
              </c:strCache>
            </c:strRef>
          </c:tx>
          <c:spPr>
            <a:solidFill>
              <a:schemeClr val="accent6"/>
            </a:solidFill>
            <a:ln>
              <a:noFill/>
            </a:ln>
            <a:effectLst/>
          </c:spPr>
          <c:invertIfNegative val="0"/>
          <c:cat>
            <c:strRef>
              <c:f>Dashboard!$U$63:$Y$63</c:f>
              <c:strCache>
                <c:ptCount val="5"/>
                <c:pt idx="0">
                  <c:v> Royalty + CIT </c:v>
                </c:pt>
                <c:pt idx="1">
                  <c:v> RRT </c:v>
                </c:pt>
                <c:pt idx="2">
                  <c:v> Royalty + CIT, no debt </c:v>
                </c:pt>
                <c:pt idx="3">
                  <c:v> DROP PSC </c:v>
                </c:pt>
                <c:pt idx="4">
                  <c:v> R-factor PSC </c:v>
                </c:pt>
              </c:strCache>
            </c:strRef>
          </c:cat>
          <c:val>
            <c:numRef>
              <c:f>Dashboard!$U$72:$Y$72</c:f>
              <c:numCache>
                <c:formatCode>#,##0_);\(#,##0\);"-  ";" "@" "</c:formatCode>
                <c:ptCount val="5"/>
                <c:pt idx="0">
                  <c:v>1013.9780597960219</c:v>
                </c:pt>
                <c:pt idx="1">
                  <c:v>945.8390138842251</c:v>
                </c:pt>
                <c:pt idx="2">
                  <c:v>1143.8458072681472</c:v>
                </c:pt>
                <c:pt idx="3">
                  <c:v>1029.2063050062354</c:v>
                </c:pt>
                <c:pt idx="4">
                  <c:v>931.96445088461428</c:v>
                </c:pt>
              </c:numCache>
            </c:numRef>
          </c:val>
          <c:extLst>
            <c:ext xmlns:c16="http://schemas.microsoft.com/office/drawing/2014/chart" uri="{C3380CC4-5D6E-409C-BE32-E72D297353CC}">
              <c16:uniqueId val="{00000004-7EFE-4657-9012-7C0608ABAC2E}"/>
            </c:ext>
          </c:extLst>
        </c:ser>
        <c:ser>
          <c:idx val="5"/>
          <c:order val="6"/>
          <c:tx>
            <c:strRef>
              <c:f>Dashboard!$R$73</c:f>
              <c:strCache>
                <c:ptCount val="1"/>
                <c:pt idx="0">
                  <c:v> Interest withholding tax </c:v>
                </c:pt>
              </c:strCache>
            </c:strRef>
          </c:tx>
          <c:spPr>
            <a:solidFill>
              <a:schemeClr val="tx2"/>
            </a:solidFill>
            <a:ln>
              <a:noFill/>
            </a:ln>
            <a:effectLst/>
          </c:spPr>
          <c:invertIfNegative val="0"/>
          <c:cat>
            <c:strRef>
              <c:f>Dashboard!$U$63:$Y$63</c:f>
              <c:strCache>
                <c:ptCount val="5"/>
                <c:pt idx="0">
                  <c:v> Royalty + CIT </c:v>
                </c:pt>
                <c:pt idx="1">
                  <c:v> RRT </c:v>
                </c:pt>
                <c:pt idx="2">
                  <c:v> Royalty + CIT, no debt </c:v>
                </c:pt>
                <c:pt idx="3">
                  <c:v> DROP PSC </c:v>
                </c:pt>
                <c:pt idx="4">
                  <c:v> R-factor PSC </c:v>
                </c:pt>
              </c:strCache>
            </c:strRef>
          </c:cat>
          <c:val>
            <c:numRef>
              <c:f>Dashboard!$U$73:$Y$73</c:f>
              <c:numCache>
                <c:formatCode>#,##0_);\(#,##0\);"-  ";" "@" "</c:formatCode>
                <c:ptCount val="5"/>
                <c:pt idx="0">
                  <c:v>92.245313806865923</c:v>
                </c:pt>
                <c:pt idx="1">
                  <c:v>92.245313806865923</c:v>
                </c:pt>
                <c:pt idx="2">
                  <c:v>0</c:v>
                </c:pt>
                <c:pt idx="3">
                  <c:v>92.245313806865923</c:v>
                </c:pt>
                <c:pt idx="4">
                  <c:v>92.245313806865923</c:v>
                </c:pt>
              </c:numCache>
            </c:numRef>
          </c:val>
          <c:extLst>
            <c:ext xmlns:c16="http://schemas.microsoft.com/office/drawing/2014/chart" uri="{C3380CC4-5D6E-409C-BE32-E72D297353CC}">
              <c16:uniqueId val="{00000005-7EFE-4657-9012-7C0608ABAC2E}"/>
            </c:ext>
          </c:extLst>
        </c:ser>
        <c:ser>
          <c:idx val="7"/>
          <c:order val="7"/>
          <c:tx>
            <c:strRef>
              <c:f>Dashboard!$R$76</c:f>
              <c:strCache>
                <c:ptCount val="1"/>
                <c:pt idx="0">
                  <c:v> SOC net cash flow before tax, after carried interest, including share of lender cashflows </c:v>
                </c:pt>
              </c:strCache>
            </c:strRef>
          </c:tx>
          <c:spPr>
            <a:solidFill>
              <a:schemeClr val="accent3">
                <a:lumMod val="50000"/>
              </a:schemeClr>
            </a:solidFill>
            <a:ln>
              <a:noFill/>
            </a:ln>
            <a:effectLst/>
          </c:spPr>
          <c:invertIfNegative val="0"/>
          <c:cat>
            <c:strRef>
              <c:f>Dashboard!$U$63:$Y$63</c:f>
              <c:strCache>
                <c:ptCount val="5"/>
                <c:pt idx="0">
                  <c:v> Royalty + CIT </c:v>
                </c:pt>
                <c:pt idx="1">
                  <c:v> RRT </c:v>
                </c:pt>
                <c:pt idx="2">
                  <c:v> Royalty + CIT, no debt </c:v>
                </c:pt>
                <c:pt idx="3">
                  <c:v> DROP PSC </c:v>
                </c:pt>
                <c:pt idx="4">
                  <c:v> R-factor PSC </c:v>
                </c:pt>
              </c:strCache>
            </c:strRef>
          </c:cat>
          <c:val>
            <c:numRef>
              <c:f>Dashboard!$U$76:$Y$76</c:f>
              <c:numCache>
                <c:formatCode>#,##0_);\(#,##0\);"-  ";" "@" "</c:formatCode>
                <c:ptCount val="5"/>
                <c:pt idx="0">
                  <c:v>3982.9846625612686</c:v>
                </c:pt>
                <c:pt idx="1">
                  <c:v>2653.9496946000945</c:v>
                </c:pt>
                <c:pt idx="2">
                  <c:v>4363.2823309137557</c:v>
                </c:pt>
                <c:pt idx="3">
                  <c:v>1680.9780244415153</c:v>
                </c:pt>
                <c:pt idx="4">
                  <c:v>1530.0649442779172</c:v>
                </c:pt>
              </c:numCache>
            </c:numRef>
          </c:val>
          <c:extLst>
            <c:ext xmlns:c16="http://schemas.microsoft.com/office/drawing/2014/chart" uri="{C3380CC4-5D6E-409C-BE32-E72D297353CC}">
              <c16:uniqueId val="{00000007-7EFE-4657-9012-7C0608ABAC2E}"/>
            </c:ext>
          </c:extLst>
        </c:ser>
        <c:ser>
          <c:idx val="6"/>
          <c:order val="9"/>
          <c:tx>
            <c:strRef>
              <c:f>Dashboard!$R$71</c:f>
              <c:strCache>
                <c:ptCount val="1"/>
                <c:pt idx="0">
                  <c:v> Resource rent tax: IOC </c:v>
                </c:pt>
              </c:strCache>
            </c:strRef>
          </c:tx>
          <c:spPr>
            <a:solidFill>
              <a:schemeClr val="accent5"/>
            </a:solidFill>
            <a:ln w="25400">
              <a:noFill/>
            </a:ln>
            <a:effectLst/>
          </c:spPr>
          <c:invertIfNegative val="0"/>
          <c:val>
            <c:numRef>
              <c:f>Dashboard!$U$71:$Y$71</c:f>
              <c:numCache>
                <c:formatCode>#,##0_);\(#,##0\);"-  ";" "@" "</c:formatCode>
                <c:ptCount val="5"/>
                <c:pt idx="0">
                  <c:v>0</c:v>
                </c:pt>
                <c:pt idx="1">
                  <c:v>6944.6851231337878</c:v>
                </c:pt>
                <c:pt idx="2">
                  <c:v>0</c:v>
                </c:pt>
                <c:pt idx="3">
                  <c:v>0</c:v>
                </c:pt>
                <c:pt idx="4">
                  <c:v>0</c:v>
                </c:pt>
              </c:numCache>
            </c:numRef>
          </c:val>
          <c:extLst>
            <c:ext xmlns:c16="http://schemas.microsoft.com/office/drawing/2014/chart" uri="{C3380CC4-5D6E-409C-BE32-E72D297353CC}">
              <c16:uniqueId val="{00000001-125D-4AD2-8EDF-B97FF6D11DD1}"/>
            </c:ext>
          </c:extLst>
        </c:ser>
        <c:ser>
          <c:idx val="10"/>
          <c:order val="10"/>
          <c:tx>
            <c:strRef>
              <c:f>Dashboard!$R$74</c:f>
              <c:strCache>
                <c:ptCount val="1"/>
                <c:pt idx="0">
                  <c:v> VAT cashflow: government </c:v>
                </c:pt>
              </c:strCache>
            </c:strRef>
          </c:tx>
          <c:spPr>
            <a:solidFill>
              <a:schemeClr val="accent5">
                <a:lumMod val="60000"/>
              </a:schemeClr>
            </a:solidFill>
            <a:ln w="25400">
              <a:noFill/>
            </a:ln>
            <a:effectLst/>
          </c:spPr>
          <c:invertIfNegative val="0"/>
          <c:val>
            <c:numRef>
              <c:f>Dashboard!$U$74:$Y$74</c:f>
              <c:numCache>
                <c:formatCode>#,##0_);\(#,##0\);"-  ";" "@" "</c:formatCode>
                <c:ptCount val="5"/>
                <c:pt idx="0">
                  <c:v>0</c:v>
                </c:pt>
                <c:pt idx="1">
                  <c:v>0</c:v>
                </c:pt>
                <c:pt idx="2">
                  <c:v>0</c:v>
                </c:pt>
                <c:pt idx="3">
                  <c:v>0</c:v>
                </c:pt>
                <c:pt idx="4">
                  <c:v>0</c:v>
                </c:pt>
              </c:numCache>
            </c:numRef>
          </c:val>
          <c:extLst>
            <c:ext xmlns:c16="http://schemas.microsoft.com/office/drawing/2014/chart" uri="{C3380CC4-5D6E-409C-BE32-E72D297353CC}">
              <c16:uniqueId val="{00000001-CAF2-4812-90AE-A5CCC2EE08C6}"/>
            </c:ext>
          </c:extLst>
        </c:ser>
        <c:dLbls>
          <c:showLegendKey val="0"/>
          <c:showVal val="0"/>
          <c:showCatName val="0"/>
          <c:showSerName val="0"/>
          <c:showPercent val="0"/>
          <c:showBubbleSize val="0"/>
        </c:dLbls>
        <c:gapWidth val="150"/>
        <c:overlap val="100"/>
        <c:axId val="231850368"/>
        <c:axId val="231852288"/>
      </c:barChart>
      <c:lineChart>
        <c:grouping val="standard"/>
        <c:varyColors val="0"/>
        <c:ser>
          <c:idx val="9"/>
          <c:order val="8"/>
          <c:tx>
            <c:strRef>
              <c:f>Dashboard!$R$87</c:f>
              <c:strCache>
                <c:ptCount val="1"/>
                <c:pt idx="0">
                  <c:v> AETR: full-cycle, undiscounted </c:v>
                </c:pt>
              </c:strCache>
            </c:strRef>
          </c:tx>
          <c:spPr>
            <a:ln w="28575" cap="rnd">
              <a:noFill/>
              <a:round/>
            </a:ln>
            <a:effectLst/>
          </c:spPr>
          <c:marker>
            <c:symbol val="triangle"/>
            <c:size val="7"/>
            <c:spPr>
              <a:solidFill>
                <a:schemeClr val="tx1"/>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Dashboard!$U$88:$Y$88</c:f>
              <c:numCache>
                <c:formatCode>0%_);\-0%_);"-  ";" "@" "</c:formatCode>
                <c:ptCount val="5"/>
                <c:pt idx="0">
                  <c:v>0.75354643833109825</c:v>
                </c:pt>
                <c:pt idx="1">
                  <c:v>0.75238157836019426</c:v>
                </c:pt>
                <c:pt idx="2">
                  <c:v>0.77307881146810598</c:v>
                </c:pt>
                <c:pt idx="3">
                  <c:v>0.74780993593373579</c:v>
                </c:pt>
                <c:pt idx="4">
                  <c:v>0.75791344700717955</c:v>
                </c:pt>
              </c:numCache>
            </c:numRef>
          </c:val>
          <c:smooth val="0"/>
          <c:extLst>
            <c:ext xmlns:c16="http://schemas.microsoft.com/office/drawing/2014/chart" uri="{C3380CC4-5D6E-409C-BE32-E72D297353CC}">
              <c16:uniqueId val="{00000000-EA56-4AEF-9B78-88C0487E61DA}"/>
            </c:ext>
          </c:extLst>
        </c:ser>
        <c:dLbls>
          <c:showLegendKey val="0"/>
          <c:showVal val="0"/>
          <c:showCatName val="0"/>
          <c:showSerName val="0"/>
          <c:showPercent val="0"/>
          <c:showBubbleSize val="0"/>
        </c:dLbls>
        <c:marker val="1"/>
        <c:smooth val="0"/>
        <c:axId val="231860480"/>
        <c:axId val="231858560"/>
      </c:lineChart>
      <c:catAx>
        <c:axId val="231850368"/>
        <c:scaling>
          <c:orientation val="minMax"/>
        </c:scaling>
        <c:delete val="0"/>
        <c:axPos val="b"/>
        <c:title>
          <c:tx>
            <c:strRef>
              <c:f>Dashboard!$B$68</c:f>
              <c:strCache>
                <c:ptCount val="1"/>
                <c:pt idx="0">
                  <c:v> Fiscal regimes </c:v>
                </c:pt>
              </c:strCache>
            </c:strRef>
          </c:tx>
          <c:layout>
            <c:manualLayout>
              <c:xMode val="edge"/>
              <c:yMode val="edge"/>
              <c:x val="0.43894204656466551"/>
              <c:y val="0.8246271815425069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31852288"/>
        <c:crosses val="autoZero"/>
        <c:auto val="1"/>
        <c:lblAlgn val="ctr"/>
        <c:lblOffset val="100"/>
        <c:noMultiLvlLbl val="0"/>
      </c:catAx>
      <c:valAx>
        <c:axId val="231852288"/>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Dashboard!$B$66</c:f>
              <c:strCache>
                <c:ptCount val="1"/>
                <c:pt idx="0">
                  <c:v> US$ mn 2021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31850368"/>
        <c:crosses val="autoZero"/>
        <c:crossBetween val="between"/>
      </c:valAx>
      <c:valAx>
        <c:axId val="231858560"/>
        <c:scaling>
          <c:orientation val="minMax"/>
          <c:min val="0"/>
        </c:scaling>
        <c:delete val="0"/>
        <c:axPos val="r"/>
        <c:title>
          <c:tx>
            <c:strRef>
              <c:f>Dashboard!$B$67</c:f>
              <c:strCache>
                <c:ptCount val="1"/>
                <c:pt idx="0">
                  <c:v> AETR: full-cycle, NPV8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_);\-0%_);&quot;-  &quot;;&quot; &quot;@&quot; &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31860480"/>
        <c:crosses val="max"/>
        <c:crossBetween val="between"/>
      </c:valAx>
      <c:catAx>
        <c:axId val="231860480"/>
        <c:scaling>
          <c:orientation val="minMax"/>
        </c:scaling>
        <c:delete val="1"/>
        <c:axPos val="b"/>
        <c:majorTickMark val="out"/>
        <c:minorTickMark val="none"/>
        <c:tickLblPos val="nextTo"/>
        <c:crossAx val="231858560"/>
        <c:crosses val="autoZero"/>
        <c:auto val="1"/>
        <c:lblAlgn val="ctr"/>
        <c:lblOffset val="100"/>
        <c:noMultiLvlLbl val="0"/>
      </c:catAx>
      <c:spPr>
        <a:noFill/>
        <a:ln>
          <a:noFill/>
        </a:ln>
        <a:effectLst/>
      </c:spPr>
    </c:plotArea>
    <c:legend>
      <c:legendPos val="b"/>
      <c:layout>
        <c:manualLayout>
          <c:xMode val="edge"/>
          <c:yMode val="edge"/>
          <c:x val="1.1504835762826232E-2"/>
          <c:y val="0.85954611192399855"/>
          <c:w val="0.95731027652344736"/>
          <c:h val="0.14045388807600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Dashboard!$B$72</c:f>
          <c:strCache>
            <c:ptCount val="1"/>
            <c:pt idx="0">
              <c:v> Investor NPV and IRR under alternative regimes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strRef>
              <c:f>Dashboard!$R$84</c:f>
              <c:strCache>
                <c:ptCount val="1"/>
                <c:pt idx="0">
                  <c:v> IOC + Lender: NPV8 </c:v>
                </c:pt>
              </c:strCache>
            </c:strRef>
          </c:tx>
          <c:spPr>
            <a:solidFill>
              <a:schemeClr val="accent1">
                <a:lumMod val="60000"/>
                <a:lumOff val="40000"/>
              </a:schemeClr>
            </a:solidFill>
            <a:ln>
              <a:solidFill>
                <a:schemeClr val="accent1">
                  <a:lumMod val="40000"/>
                  <a:lumOff val="60000"/>
                </a:schemeClr>
              </a:solid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Dashboard!$U$63:$Y$63</c:f>
              <c:strCache>
                <c:ptCount val="5"/>
                <c:pt idx="0">
                  <c:v> Royalty + CIT </c:v>
                </c:pt>
                <c:pt idx="1">
                  <c:v> RRT </c:v>
                </c:pt>
                <c:pt idx="2">
                  <c:v> Royalty + CIT, no debt </c:v>
                </c:pt>
                <c:pt idx="3">
                  <c:v> DROP PSC </c:v>
                </c:pt>
                <c:pt idx="4">
                  <c:v> R-factor PSC </c:v>
                </c:pt>
              </c:strCache>
            </c:strRef>
          </c:cat>
          <c:val>
            <c:numRef>
              <c:f>Dashboard!$U$84:$Y$84</c:f>
              <c:numCache>
                <c:formatCode>#,##0_);\(#,##0\);"-  ";" "@" "</c:formatCode>
                <c:ptCount val="5"/>
                <c:pt idx="0">
                  <c:v>3014.0396556033056</c:v>
                </c:pt>
                <c:pt idx="1">
                  <c:v>3026.6123175660646</c:v>
                </c:pt>
                <c:pt idx="2">
                  <c:v>2803.221247454635</c:v>
                </c:pt>
                <c:pt idx="3">
                  <c:v>3075.9553427177211</c:v>
                </c:pt>
                <c:pt idx="4">
                  <c:v>2966.9053001921579</c:v>
                </c:pt>
              </c:numCache>
            </c:numRef>
          </c:val>
          <c:extLst>
            <c:ext xmlns:c16="http://schemas.microsoft.com/office/drawing/2014/chart" uri="{C3380CC4-5D6E-409C-BE32-E72D297353CC}">
              <c16:uniqueId val="{00000000-2071-46FD-B968-CC4B6FF7BC64}"/>
            </c:ext>
          </c:extLst>
        </c:ser>
        <c:dLbls>
          <c:showLegendKey val="0"/>
          <c:showVal val="0"/>
          <c:showCatName val="0"/>
          <c:showSerName val="0"/>
          <c:showPercent val="0"/>
          <c:showBubbleSize val="0"/>
        </c:dLbls>
        <c:gapWidth val="72"/>
        <c:overlap val="100"/>
        <c:axId val="244950144"/>
        <c:axId val="244952064"/>
      </c:barChart>
      <c:lineChart>
        <c:grouping val="standard"/>
        <c:varyColors val="0"/>
        <c:ser>
          <c:idx val="1"/>
          <c:order val="1"/>
          <c:tx>
            <c:strRef>
              <c:f>Dashboard!$R$79</c:f>
              <c:strCache>
                <c:ptCount val="1"/>
                <c:pt idx="0">
                  <c:v> IRR: Project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Dashboard!$U$79:$Y$79</c:f>
              <c:numCache>
                <c:formatCode>0%_);\-0%_);"-  ";" "@" "</c:formatCode>
                <c:ptCount val="5"/>
                <c:pt idx="0">
                  <c:v>0.39148985987226625</c:v>
                </c:pt>
                <c:pt idx="1">
                  <c:v>0.39148985987226625</c:v>
                </c:pt>
                <c:pt idx="2">
                  <c:v>0.39148985987226625</c:v>
                </c:pt>
                <c:pt idx="3">
                  <c:v>0.39148985987226625</c:v>
                </c:pt>
                <c:pt idx="4">
                  <c:v>0.39148985987226625</c:v>
                </c:pt>
              </c:numCache>
            </c:numRef>
          </c:val>
          <c:smooth val="0"/>
          <c:extLst>
            <c:ext xmlns:c16="http://schemas.microsoft.com/office/drawing/2014/chart" uri="{C3380CC4-5D6E-409C-BE32-E72D297353CC}">
              <c16:uniqueId val="{00000000-4003-468E-8785-498204E34D7A}"/>
            </c:ext>
          </c:extLst>
        </c:ser>
        <c:ser>
          <c:idx val="2"/>
          <c:order val="2"/>
          <c:tx>
            <c:strRef>
              <c:f>Dashboard!$R$80</c:f>
              <c:strCache>
                <c:ptCount val="1"/>
                <c:pt idx="0">
                  <c:v> IRR: IOC + Lender (rhs) </c:v>
                </c:pt>
              </c:strCache>
            </c:strRef>
          </c:tx>
          <c:spPr>
            <a:ln w="28575" cap="rnd">
              <a:solidFill>
                <a:schemeClr val="tx1"/>
              </a:solidFill>
              <a:round/>
            </a:ln>
            <a:effectLst/>
          </c:spPr>
          <c:marker>
            <c:symbol val="circle"/>
            <c:size val="5"/>
            <c:spPr>
              <a:solidFill>
                <a:schemeClr val="tx1"/>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Dashboard!$U$80:$Y$80</c:f>
              <c:numCache>
                <c:formatCode>0%_);\-0%_);"-  ";" "@" "</c:formatCode>
                <c:ptCount val="5"/>
                <c:pt idx="0">
                  <c:v>0.21546251757197021</c:v>
                </c:pt>
                <c:pt idx="1">
                  <c:v>0.22732828286125306</c:v>
                </c:pt>
                <c:pt idx="2">
                  <c:v>0.19443924035149407</c:v>
                </c:pt>
                <c:pt idx="3">
                  <c:v>0.21549212609092039</c:v>
                </c:pt>
                <c:pt idx="4">
                  <c:v>0.2203188674724128</c:v>
                </c:pt>
              </c:numCache>
            </c:numRef>
          </c:val>
          <c:smooth val="0"/>
          <c:extLst>
            <c:ext xmlns:c16="http://schemas.microsoft.com/office/drawing/2014/chart" uri="{C3380CC4-5D6E-409C-BE32-E72D297353CC}">
              <c16:uniqueId val="{00000001-4003-468E-8785-498204E34D7A}"/>
            </c:ext>
          </c:extLst>
        </c:ser>
        <c:dLbls>
          <c:showLegendKey val="0"/>
          <c:showVal val="0"/>
          <c:showCatName val="0"/>
          <c:showSerName val="0"/>
          <c:showPercent val="0"/>
          <c:showBubbleSize val="0"/>
        </c:dLbls>
        <c:marker val="1"/>
        <c:smooth val="0"/>
        <c:axId val="244964352"/>
        <c:axId val="244962432"/>
      </c:lineChart>
      <c:catAx>
        <c:axId val="244950144"/>
        <c:scaling>
          <c:orientation val="minMax"/>
        </c:scaling>
        <c:delete val="0"/>
        <c:axPos val="b"/>
        <c:title>
          <c:tx>
            <c:strRef>
              <c:f>Dashboard!$B$75</c:f>
              <c:strCache>
                <c:ptCount val="1"/>
                <c:pt idx="0">
                  <c:v> Fiscal regimes </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4952064"/>
        <c:crosses val="autoZero"/>
        <c:auto val="1"/>
        <c:lblAlgn val="ctr"/>
        <c:lblOffset val="100"/>
        <c:noMultiLvlLbl val="0"/>
      </c:catAx>
      <c:valAx>
        <c:axId val="244952064"/>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Dashboard!$B$73</c:f>
              <c:strCache>
                <c:ptCount val="1"/>
                <c:pt idx="0">
                  <c:v> US$ mn NPV 8.0 real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4950144"/>
        <c:crosses val="autoZero"/>
        <c:crossBetween val="between"/>
      </c:valAx>
      <c:valAx>
        <c:axId val="244962432"/>
        <c:scaling>
          <c:orientation val="minMax"/>
        </c:scaling>
        <c:delete val="0"/>
        <c:axPos val="r"/>
        <c:title>
          <c:tx>
            <c:strRef>
              <c:f>Dashboard!$B$74</c:f>
              <c:strCache>
                <c:ptCount val="1"/>
                <c:pt idx="0">
                  <c:v> IRR real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_);\-0%_);&quot;-  &quot;;&quot; &quot;@&quot; &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4964352"/>
        <c:crosses val="max"/>
        <c:crossBetween val="between"/>
      </c:valAx>
      <c:catAx>
        <c:axId val="244964352"/>
        <c:scaling>
          <c:orientation val="minMax"/>
        </c:scaling>
        <c:delete val="1"/>
        <c:axPos val="b"/>
        <c:majorTickMark val="out"/>
        <c:minorTickMark val="none"/>
        <c:tickLblPos val="nextTo"/>
        <c:crossAx val="24496243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Dashboard!$B$160</c:f>
          <c:strCache>
            <c:ptCount val="1"/>
            <c:pt idx="0">
              <c:v> Progressivity analysis across a range of oil prices </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375653594771241"/>
          <c:y val="0.18853380530393937"/>
          <c:w val="0.81946405228758168"/>
          <c:h val="0.56794601853754756"/>
        </c:manualLayout>
      </c:layout>
      <c:lineChart>
        <c:grouping val="standard"/>
        <c:varyColors val="0"/>
        <c:ser>
          <c:idx val="0"/>
          <c:order val="0"/>
          <c:tx>
            <c:strRef>
              <c:f>Dashboard!$S$149</c:f>
              <c:strCache>
                <c:ptCount val="1"/>
                <c:pt idx="0">
                  <c:v> Royalty + CIT </c:v>
                </c:pt>
              </c:strCache>
            </c:strRef>
          </c:tx>
          <c:spPr>
            <a:ln w="28575" cap="rnd">
              <a:solidFill>
                <a:schemeClr val="accent1"/>
              </a:solidFill>
              <a:round/>
            </a:ln>
            <a:effectLst/>
          </c:spPr>
          <c:marker>
            <c:symbol val="none"/>
          </c:marker>
          <c:cat>
            <c:multiLvlStrRef>
              <c:f>Dashboard!$T$155:$AM$156</c:f>
              <c:multiLvlStrCache>
                <c:ptCount val="20"/>
                <c:lvl>
                  <c:pt idx="0">
                    <c:v>17% </c:v>
                  </c:pt>
                  <c:pt idx="1">
                    <c:v>22% </c:v>
                  </c:pt>
                  <c:pt idx="2">
                    <c:v>26% </c:v>
                  </c:pt>
                  <c:pt idx="3">
                    <c:v>31% </c:v>
                  </c:pt>
                  <c:pt idx="4">
                    <c:v>35% </c:v>
                  </c:pt>
                  <c:pt idx="5">
                    <c:v>39% </c:v>
                  </c:pt>
                  <c:pt idx="6">
                    <c:v>43% </c:v>
                  </c:pt>
                  <c:pt idx="7">
                    <c:v>47% </c:v>
                  </c:pt>
                  <c:pt idx="8">
                    <c:v>51% </c:v>
                  </c:pt>
                  <c:pt idx="9">
                    <c:v>54% </c:v>
                  </c:pt>
                  <c:pt idx="10">
                    <c:v>58% </c:v>
                  </c:pt>
                  <c:pt idx="11">
                    <c:v>61% </c:v>
                  </c:pt>
                  <c:pt idx="12">
                    <c:v>64% </c:v>
                  </c:pt>
                  <c:pt idx="13">
                    <c:v>67% </c:v>
                  </c:pt>
                  <c:pt idx="14">
                    <c:v>70% </c:v>
                  </c:pt>
                  <c:pt idx="15">
                    <c:v>73% </c:v>
                  </c:pt>
                  <c:pt idx="16">
                    <c:v>76% </c:v>
                  </c:pt>
                  <c:pt idx="17">
                    <c:v>79% </c:v>
                  </c:pt>
                  <c:pt idx="18">
                    <c:v>82% </c:v>
                  </c:pt>
                  <c:pt idx="19">
                    <c:v>85% </c:v>
                  </c:pt>
                </c:lvl>
                <c:lvl>
                  <c:pt idx="0">
                    <c:v>30 </c:v>
                  </c:pt>
                  <c:pt idx="1">
                    <c:v>35 </c:v>
                  </c:pt>
                  <c:pt idx="2">
                    <c:v>40 </c:v>
                  </c:pt>
                  <c:pt idx="3">
                    <c:v>45 </c:v>
                  </c:pt>
                  <c:pt idx="4">
                    <c:v>50 </c:v>
                  </c:pt>
                  <c:pt idx="5">
                    <c:v>55 </c:v>
                  </c:pt>
                  <c:pt idx="6">
                    <c:v>60 </c:v>
                  </c:pt>
                  <c:pt idx="7">
                    <c:v>65 </c:v>
                  </c:pt>
                  <c:pt idx="8">
                    <c:v>70 </c:v>
                  </c:pt>
                  <c:pt idx="9">
                    <c:v>75 </c:v>
                  </c:pt>
                  <c:pt idx="10">
                    <c:v>80 </c:v>
                  </c:pt>
                  <c:pt idx="11">
                    <c:v>85 </c:v>
                  </c:pt>
                  <c:pt idx="12">
                    <c:v>90 </c:v>
                  </c:pt>
                  <c:pt idx="13">
                    <c:v>95 </c:v>
                  </c:pt>
                  <c:pt idx="14">
                    <c:v>100 </c:v>
                  </c:pt>
                  <c:pt idx="15">
                    <c:v>105 </c:v>
                  </c:pt>
                  <c:pt idx="16">
                    <c:v>110 </c:v>
                  </c:pt>
                  <c:pt idx="17">
                    <c:v>115 </c:v>
                  </c:pt>
                  <c:pt idx="18">
                    <c:v>120 </c:v>
                  </c:pt>
                  <c:pt idx="19">
                    <c:v>125 </c:v>
                  </c:pt>
                </c:lvl>
              </c:multiLvlStrCache>
            </c:multiLvlStrRef>
          </c:cat>
          <c:val>
            <c:numRef>
              <c:f>Dashboard!$T$149:$AM$149</c:f>
              <c:numCache>
                <c:formatCode>0%_);\-0%_);"-  ";" "@" "</c:formatCode>
                <c:ptCount val="20"/>
                <c:pt idx="0">
                  <c:v>0.80961493808483742</c:v>
                </c:pt>
                <c:pt idx="1">
                  <c:v>0.75910489473548948</c:v>
                </c:pt>
                <c:pt idx="2">
                  <c:v>0.72670610289439674</c:v>
                </c:pt>
                <c:pt idx="3">
                  <c:v>0.70690269470976685</c:v>
                </c:pt>
                <c:pt idx="4">
                  <c:v>0.69373803669767831</c:v>
                </c:pt>
                <c:pt idx="5" formatCode="0.0%_);\-0.0%_);&quot;-  &quot;;&quot; &quot;@&quot; &quot;">
                  <c:v>0.68435805496804558</c:v>
                </c:pt>
                <c:pt idx="6">
                  <c:v>0.67723439575509803</c:v>
                </c:pt>
                <c:pt idx="7">
                  <c:v>0.67168165881126263</c:v>
                </c:pt>
                <c:pt idx="8">
                  <c:v>0.66720274216419206</c:v>
                </c:pt>
                <c:pt idx="9">
                  <c:v>0.66351166565653963</c:v>
                </c:pt>
                <c:pt idx="10">
                  <c:v>0.6604181070205094</c:v>
                </c:pt>
                <c:pt idx="11">
                  <c:v>0.65778686744232306</c:v>
                </c:pt>
                <c:pt idx="12">
                  <c:v>0.65552354578370908</c:v>
                </c:pt>
                <c:pt idx="13">
                  <c:v>0.65355601732927959</c:v>
                </c:pt>
                <c:pt idx="14">
                  <c:v>0.6518304950954239</c:v>
                </c:pt>
                <c:pt idx="15">
                  <c:v>0.65031073344951762</c:v>
                </c:pt>
                <c:pt idx="16">
                  <c:v>0.65084157386900199</c:v>
                </c:pt>
                <c:pt idx="17">
                  <c:v>0.64950679692981506</c:v>
                </c:pt>
                <c:pt idx="18">
                  <c:v>0.6483024887535106</c:v>
                </c:pt>
                <c:pt idx="19">
                  <c:v>0.64720700269305087</c:v>
                </c:pt>
              </c:numCache>
            </c:numRef>
          </c:val>
          <c:smooth val="0"/>
          <c:extLst>
            <c:ext xmlns:c16="http://schemas.microsoft.com/office/drawing/2014/chart" uri="{C3380CC4-5D6E-409C-BE32-E72D297353CC}">
              <c16:uniqueId val="{00000000-782C-4749-ABA5-9ECF17BECF33}"/>
            </c:ext>
          </c:extLst>
        </c:ser>
        <c:ser>
          <c:idx val="1"/>
          <c:order val="1"/>
          <c:tx>
            <c:strRef>
              <c:f>Dashboard!$S$150</c:f>
              <c:strCache>
                <c:ptCount val="1"/>
                <c:pt idx="0">
                  <c:v> RRT </c:v>
                </c:pt>
              </c:strCache>
            </c:strRef>
          </c:tx>
          <c:spPr>
            <a:ln w="28575" cap="rnd">
              <a:solidFill>
                <a:schemeClr val="accent2"/>
              </a:solidFill>
              <a:round/>
            </a:ln>
            <a:effectLst/>
          </c:spPr>
          <c:marker>
            <c:symbol val="none"/>
          </c:marker>
          <c:cat>
            <c:multiLvlStrRef>
              <c:f>Dashboard!$T$155:$AM$156</c:f>
              <c:multiLvlStrCache>
                <c:ptCount val="20"/>
                <c:lvl>
                  <c:pt idx="0">
                    <c:v>17% </c:v>
                  </c:pt>
                  <c:pt idx="1">
                    <c:v>22% </c:v>
                  </c:pt>
                  <c:pt idx="2">
                    <c:v>26% </c:v>
                  </c:pt>
                  <c:pt idx="3">
                    <c:v>31% </c:v>
                  </c:pt>
                  <c:pt idx="4">
                    <c:v>35% </c:v>
                  </c:pt>
                  <c:pt idx="5">
                    <c:v>39% </c:v>
                  </c:pt>
                  <c:pt idx="6">
                    <c:v>43% </c:v>
                  </c:pt>
                  <c:pt idx="7">
                    <c:v>47% </c:v>
                  </c:pt>
                  <c:pt idx="8">
                    <c:v>51% </c:v>
                  </c:pt>
                  <c:pt idx="9">
                    <c:v>54% </c:v>
                  </c:pt>
                  <c:pt idx="10">
                    <c:v>58% </c:v>
                  </c:pt>
                  <c:pt idx="11">
                    <c:v>61% </c:v>
                  </c:pt>
                  <c:pt idx="12">
                    <c:v>64% </c:v>
                  </c:pt>
                  <c:pt idx="13">
                    <c:v>67% </c:v>
                  </c:pt>
                  <c:pt idx="14">
                    <c:v>70% </c:v>
                  </c:pt>
                  <c:pt idx="15">
                    <c:v>73% </c:v>
                  </c:pt>
                  <c:pt idx="16">
                    <c:v>76% </c:v>
                  </c:pt>
                  <c:pt idx="17">
                    <c:v>79% </c:v>
                  </c:pt>
                  <c:pt idx="18">
                    <c:v>82% </c:v>
                  </c:pt>
                  <c:pt idx="19">
                    <c:v>85% </c:v>
                  </c:pt>
                </c:lvl>
                <c:lvl>
                  <c:pt idx="0">
                    <c:v>30 </c:v>
                  </c:pt>
                  <c:pt idx="1">
                    <c:v>35 </c:v>
                  </c:pt>
                  <c:pt idx="2">
                    <c:v>40 </c:v>
                  </c:pt>
                  <c:pt idx="3">
                    <c:v>45 </c:v>
                  </c:pt>
                  <c:pt idx="4">
                    <c:v>50 </c:v>
                  </c:pt>
                  <c:pt idx="5">
                    <c:v>55 </c:v>
                  </c:pt>
                  <c:pt idx="6">
                    <c:v>60 </c:v>
                  </c:pt>
                  <c:pt idx="7">
                    <c:v>65 </c:v>
                  </c:pt>
                  <c:pt idx="8">
                    <c:v>70 </c:v>
                  </c:pt>
                  <c:pt idx="9">
                    <c:v>75 </c:v>
                  </c:pt>
                  <c:pt idx="10">
                    <c:v>80 </c:v>
                  </c:pt>
                  <c:pt idx="11">
                    <c:v>85 </c:v>
                  </c:pt>
                  <c:pt idx="12">
                    <c:v>90 </c:v>
                  </c:pt>
                  <c:pt idx="13">
                    <c:v>95 </c:v>
                  </c:pt>
                  <c:pt idx="14">
                    <c:v>100 </c:v>
                  </c:pt>
                  <c:pt idx="15">
                    <c:v>105 </c:v>
                  </c:pt>
                  <c:pt idx="16">
                    <c:v>110 </c:v>
                  </c:pt>
                  <c:pt idx="17">
                    <c:v>115 </c:v>
                  </c:pt>
                  <c:pt idx="18">
                    <c:v>120 </c:v>
                  </c:pt>
                  <c:pt idx="19">
                    <c:v>125 </c:v>
                  </c:pt>
                </c:lvl>
              </c:multiLvlStrCache>
            </c:multiLvlStrRef>
          </c:cat>
          <c:val>
            <c:numRef>
              <c:f>Dashboard!$T$150:$AM$150</c:f>
              <c:numCache>
                <c:formatCode>0%_);\-0%_);"-  ";" "@" "</c:formatCode>
                <c:ptCount val="20"/>
                <c:pt idx="0">
                  <c:v>0.62408413860224565</c:v>
                </c:pt>
                <c:pt idx="1">
                  <c:v>0.67308338780833032</c:v>
                </c:pt>
                <c:pt idx="2">
                  <c:v>0.68952377436434464</c:v>
                </c:pt>
                <c:pt idx="3">
                  <c:v>0.69681383987871104</c:v>
                </c:pt>
                <c:pt idx="4">
                  <c:v>0.70057337223622296</c:v>
                </c:pt>
                <c:pt idx="5" formatCode="0.0%_);\-0.0%_);&quot;-  &quot;;&quot; &quot;@&quot; &quot;">
                  <c:v>0.70266579375898097</c:v>
                </c:pt>
                <c:pt idx="6">
                  <c:v>0.70394478052602971</c:v>
                </c:pt>
                <c:pt idx="7">
                  <c:v>0.7046557940049526</c:v>
                </c:pt>
                <c:pt idx="8">
                  <c:v>0.70522795683160433</c:v>
                </c:pt>
                <c:pt idx="9">
                  <c:v>0.70569563907527022</c:v>
                </c:pt>
                <c:pt idx="10">
                  <c:v>0.70586918956719957</c:v>
                </c:pt>
                <c:pt idx="11">
                  <c:v>0.70593549005065392</c:v>
                </c:pt>
                <c:pt idx="12">
                  <c:v>0.70726453335736372</c:v>
                </c:pt>
                <c:pt idx="13">
                  <c:v>0.70719005139065572</c:v>
                </c:pt>
                <c:pt idx="14">
                  <c:v>0.7071217881643983</c:v>
                </c:pt>
                <c:pt idx="15">
                  <c:v>0.70705696647020888</c:v>
                </c:pt>
                <c:pt idx="16">
                  <c:v>0.70700461913318957</c:v>
                </c:pt>
                <c:pt idx="17">
                  <c:v>0.70698767966020859</c:v>
                </c:pt>
                <c:pt idx="18">
                  <c:v>0.70690091677590461</c:v>
                </c:pt>
                <c:pt idx="19">
                  <c:v>0.70678845384041533</c:v>
                </c:pt>
              </c:numCache>
            </c:numRef>
          </c:val>
          <c:smooth val="0"/>
          <c:extLst>
            <c:ext xmlns:c16="http://schemas.microsoft.com/office/drawing/2014/chart" uri="{C3380CC4-5D6E-409C-BE32-E72D297353CC}">
              <c16:uniqueId val="{00000001-782C-4749-ABA5-9ECF17BECF33}"/>
            </c:ext>
          </c:extLst>
        </c:ser>
        <c:ser>
          <c:idx val="2"/>
          <c:order val="2"/>
          <c:tx>
            <c:strRef>
              <c:f>Dashboard!$S$151</c:f>
              <c:strCache>
                <c:ptCount val="1"/>
                <c:pt idx="0">
                  <c:v> Royalty + CIT, no debt </c:v>
                </c:pt>
              </c:strCache>
            </c:strRef>
          </c:tx>
          <c:spPr>
            <a:ln w="28575" cap="rnd">
              <a:solidFill>
                <a:schemeClr val="accent3"/>
              </a:solidFill>
              <a:round/>
            </a:ln>
            <a:effectLst/>
          </c:spPr>
          <c:marker>
            <c:symbol val="none"/>
          </c:marker>
          <c:cat>
            <c:multiLvlStrRef>
              <c:f>Dashboard!$T$155:$AM$156</c:f>
              <c:multiLvlStrCache>
                <c:ptCount val="20"/>
                <c:lvl>
                  <c:pt idx="0">
                    <c:v>17% </c:v>
                  </c:pt>
                  <c:pt idx="1">
                    <c:v>22% </c:v>
                  </c:pt>
                  <c:pt idx="2">
                    <c:v>26% </c:v>
                  </c:pt>
                  <c:pt idx="3">
                    <c:v>31% </c:v>
                  </c:pt>
                  <c:pt idx="4">
                    <c:v>35% </c:v>
                  </c:pt>
                  <c:pt idx="5">
                    <c:v>39% </c:v>
                  </c:pt>
                  <c:pt idx="6">
                    <c:v>43% </c:v>
                  </c:pt>
                  <c:pt idx="7">
                    <c:v>47% </c:v>
                  </c:pt>
                  <c:pt idx="8">
                    <c:v>51% </c:v>
                  </c:pt>
                  <c:pt idx="9">
                    <c:v>54% </c:v>
                  </c:pt>
                  <c:pt idx="10">
                    <c:v>58% </c:v>
                  </c:pt>
                  <c:pt idx="11">
                    <c:v>61% </c:v>
                  </c:pt>
                  <c:pt idx="12">
                    <c:v>64% </c:v>
                  </c:pt>
                  <c:pt idx="13">
                    <c:v>67% </c:v>
                  </c:pt>
                  <c:pt idx="14">
                    <c:v>70% </c:v>
                  </c:pt>
                  <c:pt idx="15">
                    <c:v>73% </c:v>
                  </c:pt>
                  <c:pt idx="16">
                    <c:v>76% </c:v>
                  </c:pt>
                  <c:pt idx="17">
                    <c:v>79% </c:v>
                  </c:pt>
                  <c:pt idx="18">
                    <c:v>82% </c:v>
                  </c:pt>
                  <c:pt idx="19">
                    <c:v>85% </c:v>
                  </c:pt>
                </c:lvl>
                <c:lvl>
                  <c:pt idx="0">
                    <c:v>30 </c:v>
                  </c:pt>
                  <c:pt idx="1">
                    <c:v>35 </c:v>
                  </c:pt>
                  <c:pt idx="2">
                    <c:v>40 </c:v>
                  </c:pt>
                  <c:pt idx="3">
                    <c:v>45 </c:v>
                  </c:pt>
                  <c:pt idx="4">
                    <c:v>50 </c:v>
                  </c:pt>
                  <c:pt idx="5">
                    <c:v>55 </c:v>
                  </c:pt>
                  <c:pt idx="6">
                    <c:v>60 </c:v>
                  </c:pt>
                  <c:pt idx="7">
                    <c:v>65 </c:v>
                  </c:pt>
                  <c:pt idx="8">
                    <c:v>70 </c:v>
                  </c:pt>
                  <c:pt idx="9">
                    <c:v>75 </c:v>
                  </c:pt>
                  <c:pt idx="10">
                    <c:v>80 </c:v>
                  </c:pt>
                  <c:pt idx="11">
                    <c:v>85 </c:v>
                  </c:pt>
                  <c:pt idx="12">
                    <c:v>90 </c:v>
                  </c:pt>
                  <c:pt idx="13">
                    <c:v>95 </c:v>
                  </c:pt>
                  <c:pt idx="14">
                    <c:v>100 </c:v>
                  </c:pt>
                  <c:pt idx="15">
                    <c:v>105 </c:v>
                  </c:pt>
                  <c:pt idx="16">
                    <c:v>110 </c:v>
                  </c:pt>
                  <c:pt idx="17">
                    <c:v>115 </c:v>
                  </c:pt>
                  <c:pt idx="18">
                    <c:v>120 </c:v>
                  </c:pt>
                  <c:pt idx="19">
                    <c:v>125 </c:v>
                  </c:pt>
                </c:lvl>
              </c:multiLvlStrCache>
            </c:multiLvlStrRef>
          </c:cat>
          <c:val>
            <c:numRef>
              <c:f>Dashboard!$T$151:$AM$151</c:f>
              <c:numCache>
                <c:formatCode>0%_);\-0%_);"-  ";" "@" "</c:formatCode>
                <c:ptCount val="20"/>
                <c:pt idx="0">
                  <c:v>0.80679583094534979</c:v>
                </c:pt>
                <c:pt idx="1">
                  <c:v>0.75354021682169381</c:v>
                </c:pt>
                <c:pt idx="2">
                  <c:v>0.72529830116644689</c:v>
                </c:pt>
                <c:pt idx="3">
                  <c:v>0.70791189365382956</c:v>
                </c:pt>
                <c:pt idx="4">
                  <c:v>0.69613096342259406</c:v>
                </c:pt>
                <c:pt idx="5" formatCode="0.0%_);\-0.0%_);&quot;-  &quot;;&quot; &quot;@&quot; &quot;">
                  <c:v>0.68754809230881275</c:v>
                </c:pt>
                <c:pt idx="6">
                  <c:v>0.68100186273843022</c:v>
                </c:pt>
                <c:pt idx="7">
                  <c:v>0.67585295560950298</c:v>
                </c:pt>
                <c:pt idx="8">
                  <c:v>0.67166317837383538</c:v>
                </c:pt>
                <c:pt idx="9">
                  <c:v>0.66821147594088814</c:v>
                </c:pt>
                <c:pt idx="10">
                  <c:v>0.66530975893911826</c:v>
                </c:pt>
                <c:pt idx="11">
                  <c:v>0.66285782308696495</c:v>
                </c:pt>
                <c:pt idx="12">
                  <c:v>0.66075729638705671</c:v>
                </c:pt>
                <c:pt idx="13">
                  <c:v>0.65892426854541397</c:v>
                </c:pt>
                <c:pt idx="14">
                  <c:v>0.65730529954423822</c:v>
                </c:pt>
                <c:pt idx="15">
                  <c:v>0.65586955238653055</c:v>
                </c:pt>
                <c:pt idx="16">
                  <c:v>0.65459270553352644</c:v>
                </c:pt>
                <c:pt idx="17">
                  <c:v>0.65346901227297949</c:v>
                </c:pt>
                <c:pt idx="18">
                  <c:v>0.65245600913939306</c:v>
                </c:pt>
                <c:pt idx="19">
                  <c:v>0.65153810846616178</c:v>
                </c:pt>
              </c:numCache>
            </c:numRef>
          </c:val>
          <c:smooth val="0"/>
          <c:extLst>
            <c:ext xmlns:c16="http://schemas.microsoft.com/office/drawing/2014/chart" uri="{C3380CC4-5D6E-409C-BE32-E72D297353CC}">
              <c16:uniqueId val="{00000002-782C-4749-ABA5-9ECF17BECF33}"/>
            </c:ext>
          </c:extLst>
        </c:ser>
        <c:ser>
          <c:idx val="3"/>
          <c:order val="3"/>
          <c:tx>
            <c:strRef>
              <c:f>Dashboard!$S$152</c:f>
              <c:strCache>
                <c:ptCount val="1"/>
                <c:pt idx="0">
                  <c:v> DROP PSC </c:v>
                </c:pt>
              </c:strCache>
            </c:strRef>
          </c:tx>
          <c:spPr>
            <a:ln w="28575" cap="rnd">
              <a:solidFill>
                <a:schemeClr val="accent4"/>
              </a:solidFill>
              <a:round/>
            </a:ln>
            <a:effectLst/>
          </c:spPr>
          <c:marker>
            <c:symbol val="none"/>
          </c:marker>
          <c:cat>
            <c:multiLvlStrRef>
              <c:f>Dashboard!$T$155:$AM$156</c:f>
              <c:multiLvlStrCache>
                <c:ptCount val="20"/>
                <c:lvl>
                  <c:pt idx="0">
                    <c:v>17% </c:v>
                  </c:pt>
                  <c:pt idx="1">
                    <c:v>22% </c:v>
                  </c:pt>
                  <c:pt idx="2">
                    <c:v>26% </c:v>
                  </c:pt>
                  <c:pt idx="3">
                    <c:v>31% </c:v>
                  </c:pt>
                  <c:pt idx="4">
                    <c:v>35% </c:v>
                  </c:pt>
                  <c:pt idx="5">
                    <c:v>39% </c:v>
                  </c:pt>
                  <c:pt idx="6">
                    <c:v>43% </c:v>
                  </c:pt>
                  <c:pt idx="7">
                    <c:v>47% </c:v>
                  </c:pt>
                  <c:pt idx="8">
                    <c:v>51% </c:v>
                  </c:pt>
                  <c:pt idx="9">
                    <c:v>54% </c:v>
                  </c:pt>
                  <c:pt idx="10">
                    <c:v>58% </c:v>
                  </c:pt>
                  <c:pt idx="11">
                    <c:v>61% </c:v>
                  </c:pt>
                  <c:pt idx="12">
                    <c:v>64% </c:v>
                  </c:pt>
                  <c:pt idx="13">
                    <c:v>67% </c:v>
                  </c:pt>
                  <c:pt idx="14">
                    <c:v>70% </c:v>
                  </c:pt>
                  <c:pt idx="15">
                    <c:v>73% </c:v>
                  </c:pt>
                  <c:pt idx="16">
                    <c:v>76% </c:v>
                  </c:pt>
                  <c:pt idx="17">
                    <c:v>79% </c:v>
                  </c:pt>
                  <c:pt idx="18">
                    <c:v>82% </c:v>
                  </c:pt>
                  <c:pt idx="19">
                    <c:v>85% </c:v>
                  </c:pt>
                </c:lvl>
                <c:lvl>
                  <c:pt idx="0">
                    <c:v>30 </c:v>
                  </c:pt>
                  <c:pt idx="1">
                    <c:v>35 </c:v>
                  </c:pt>
                  <c:pt idx="2">
                    <c:v>40 </c:v>
                  </c:pt>
                  <c:pt idx="3">
                    <c:v>45 </c:v>
                  </c:pt>
                  <c:pt idx="4">
                    <c:v>50 </c:v>
                  </c:pt>
                  <c:pt idx="5">
                    <c:v>55 </c:v>
                  </c:pt>
                  <c:pt idx="6">
                    <c:v>60 </c:v>
                  </c:pt>
                  <c:pt idx="7">
                    <c:v>65 </c:v>
                  </c:pt>
                  <c:pt idx="8">
                    <c:v>70 </c:v>
                  </c:pt>
                  <c:pt idx="9">
                    <c:v>75 </c:v>
                  </c:pt>
                  <c:pt idx="10">
                    <c:v>80 </c:v>
                  </c:pt>
                  <c:pt idx="11">
                    <c:v>85 </c:v>
                  </c:pt>
                  <c:pt idx="12">
                    <c:v>90 </c:v>
                  </c:pt>
                  <c:pt idx="13">
                    <c:v>95 </c:v>
                  </c:pt>
                  <c:pt idx="14">
                    <c:v>100 </c:v>
                  </c:pt>
                  <c:pt idx="15">
                    <c:v>105 </c:v>
                  </c:pt>
                  <c:pt idx="16">
                    <c:v>110 </c:v>
                  </c:pt>
                  <c:pt idx="17">
                    <c:v>115 </c:v>
                  </c:pt>
                  <c:pt idx="18">
                    <c:v>120 </c:v>
                  </c:pt>
                  <c:pt idx="19">
                    <c:v>125 </c:v>
                  </c:pt>
                </c:lvl>
              </c:multiLvlStrCache>
            </c:multiLvlStrRef>
          </c:cat>
          <c:val>
            <c:numRef>
              <c:f>Dashboard!$T$152:$AM$152</c:f>
              <c:numCache>
                <c:formatCode>0%_);\-0%_);"-  ";" "@" "</c:formatCode>
                <c:ptCount val="20"/>
                <c:pt idx="0">
                  <c:v>0.74580855993108452</c:v>
                </c:pt>
                <c:pt idx="1">
                  <c:v>0.71324105907871693</c:v>
                </c:pt>
                <c:pt idx="2">
                  <c:v>0.69701330213003032</c:v>
                </c:pt>
                <c:pt idx="3">
                  <c:v>0.68768628467885307</c:v>
                </c:pt>
                <c:pt idx="4">
                  <c:v>0.68179850940174447</c:v>
                </c:pt>
                <c:pt idx="5" formatCode="0.0%_);\-0.0%_);&quot;-  &quot;;&quot; &quot;@&quot; &quot;">
                  <c:v>0.67759838395801764</c:v>
                </c:pt>
                <c:pt idx="6">
                  <c:v>0.67454231867796177</c:v>
                </c:pt>
                <c:pt idx="7">
                  <c:v>0.67214763253915044</c:v>
                </c:pt>
                <c:pt idx="8">
                  <c:v>0.67021443320938645</c:v>
                </c:pt>
                <c:pt idx="9">
                  <c:v>0.66864217393070602</c:v>
                </c:pt>
                <c:pt idx="10">
                  <c:v>0.66734484979797404</c:v>
                </c:pt>
                <c:pt idx="11">
                  <c:v>0.66624256206292243</c:v>
                </c:pt>
                <c:pt idx="12">
                  <c:v>0.66529379682461032</c:v>
                </c:pt>
                <c:pt idx="13">
                  <c:v>0.66670809522752683</c:v>
                </c:pt>
                <c:pt idx="14">
                  <c:v>0.66582337881666942</c:v>
                </c:pt>
                <c:pt idx="15">
                  <c:v>0.66503748344629054</c:v>
                </c:pt>
                <c:pt idx="16">
                  <c:v>0.66434573591212709</c:v>
                </c:pt>
                <c:pt idx="17">
                  <c:v>0.66372927944849747</c:v>
                </c:pt>
                <c:pt idx="18">
                  <c:v>0.66317771854274343</c:v>
                </c:pt>
                <c:pt idx="19">
                  <c:v>0.66270625969517893</c:v>
                </c:pt>
              </c:numCache>
            </c:numRef>
          </c:val>
          <c:smooth val="0"/>
          <c:extLst>
            <c:ext xmlns:c16="http://schemas.microsoft.com/office/drawing/2014/chart" uri="{C3380CC4-5D6E-409C-BE32-E72D297353CC}">
              <c16:uniqueId val="{00000003-782C-4749-ABA5-9ECF17BECF33}"/>
            </c:ext>
          </c:extLst>
        </c:ser>
        <c:ser>
          <c:idx val="4"/>
          <c:order val="4"/>
          <c:tx>
            <c:strRef>
              <c:f>Dashboard!$S$153</c:f>
              <c:strCache>
                <c:ptCount val="1"/>
                <c:pt idx="0">
                  <c:v> R-factor PSC </c:v>
                </c:pt>
              </c:strCache>
            </c:strRef>
          </c:tx>
          <c:spPr>
            <a:ln w="28575" cap="rnd">
              <a:solidFill>
                <a:schemeClr val="accent5"/>
              </a:solidFill>
              <a:round/>
            </a:ln>
            <a:effectLst/>
          </c:spPr>
          <c:marker>
            <c:symbol val="none"/>
          </c:marker>
          <c:cat>
            <c:multiLvlStrRef>
              <c:f>Dashboard!$T$155:$AM$156</c:f>
              <c:multiLvlStrCache>
                <c:ptCount val="20"/>
                <c:lvl>
                  <c:pt idx="0">
                    <c:v>17% </c:v>
                  </c:pt>
                  <c:pt idx="1">
                    <c:v>22% </c:v>
                  </c:pt>
                  <c:pt idx="2">
                    <c:v>26% </c:v>
                  </c:pt>
                  <c:pt idx="3">
                    <c:v>31% </c:v>
                  </c:pt>
                  <c:pt idx="4">
                    <c:v>35% </c:v>
                  </c:pt>
                  <c:pt idx="5">
                    <c:v>39% </c:v>
                  </c:pt>
                  <c:pt idx="6">
                    <c:v>43% </c:v>
                  </c:pt>
                  <c:pt idx="7">
                    <c:v>47% </c:v>
                  </c:pt>
                  <c:pt idx="8">
                    <c:v>51% </c:v>
                  </c:pt>
                  <c:pt idx="9">
                    <c:v>54% </c:v>
                  </c:pt>
                  <c:pt idx="10">
                    <c:v>58% </c:v>
                  </c:pt>
                  <c:pt idx="11">
                    <c:v>61% </c:v>
                  </c:pt>
                  <c:pt idx="12">
                    <c:v>64% </c:v>
                  </c:pt>
                  <c:pt idx="13">
                    <c:v>67% </c:v>
                  </c:pt>
                  <c:pt idx="14">
                    <c:v>70% </c:v>
                  </c:pt>
                  <c:pt idx="15">
                    <c:v>73% </c:v>
                  </c:pt>
                  <c:pt idx="16">
                    <c:v>76% </c:v>
                  </c:pt>
                  <c:pt idx="17">
                    <c:v>79% </c:v>
                  </c:pt>
                  <c:pt idx="18">
                    <c:v>82% </c:v>
                  </c:pt>
                  <c:pt idx="19">
                    <c:v>85% </c:v>
                  </c:pt>
                </c:lvl>
                <c:lvl>
                  <c:pt idx="0">
                    <c:v>30 </c:v>
                  </c:pt>
                  <c:pt idx="1">
                    <c:v>35 </c:v>
                  </c:pt>
                  <c:pt idx="2">
                    <c:v>40 </c:v>
                  </c:pt>
                  <c:pt idx="3">
                    <c:v>45 </c:v>
                  </c:pt>
                  <c:pt idx="4">
                    <c:v>50 </c:v>
                  </c:pt>
                  <c:pt idx="5">
                    <c:v>55 </c:v>
                  </c:pt>
                  <c:pt idx="6">
                    <c:v>60 </c:v>
                  </c:pt>
                  <c:pt idx="7">
                    <c:v>65 </c:v>
                  </c:pt>
                  <c:pt idx="8">
                    <c:v>70 </c:v>
                  </c:pt>
                  <c:pt idx="9">
                    <c:v>75 </c:v>
                  </c:pt>
                  <c:pt idx="10">
                    <c:v>80 </c:v>
                  </c:pt>
                  <c:pt idx="11">
                    <c:v>85 </c:v>
                  </c:pt>
                  <c:pt idx="12">
                    <c:v>90 </c:v>
                  </c:pt>
                  <c:pt idx="13">
                    <c:v>95 </c:v>
                  </c:pt>
                  <c:pt idx="14">
                    <c:v>100 </c:v>
                  </c:pt>
                  <c:pt idx="15">
                    <c:v>105 </c:v>
                  </c:pt>
                  <c:pt idx="16">
                    <c:v>110 </c:v>
                  </c:pt>
                  <c:pt idx="17">
                    <c:v>115 </c:v>
                  </c:pt>
                  <c:pt idx="18">
                    <c:v>120 </c:v>
                  </c:pt>
                  <c:pt idx="19">
                    <c:v>125 </c:v>
                  </c:pt>
                </c:lvl>
              </c:multiLvlStrCache>
            </c:multiLvlStrRef>
          </c:cat>
          <c:val>
            <c:numRef>
              <c:f>Dashboard!$T$153:$AM$153</c:f>
              <c:numCache>
                <c:formatCode>0%_);\-0%_);"-  ";" "@" "</c:formatCode>
                <c:ptCount val="20"/>
                <c:pt idx="0">
                  <c:v>0.72220547043950734</c:v>
                </c:pt>
                <c:pt idx="1">
                  <c:v>0.70167544275238358</c:v>
                </c:pt>
                <c:pt idx="2">
                  <c:v>0.697714295240491</c:v>
                </c:pt>
                <c:pt idx="3">
                  <c:v>0.69660248135707192</c:v>
                </c:pt>
                <c:pt idx="4">
                  <c:v>0.70062571468361445</c:v>
                </c:pt>
                <c:pt idx="5" formatCode="0.0%_);\-0.0%_);&quot;-  &quot;;&quot; &quot;@&quot; &quot;">
                  <c:v>0.70675745023112457</c:v>
                </c:pt>
                <c:pt idx="6">
                  <c:v>0.71877355560462497</c:v>
                </c:pt>
                <c:pt idx="7">
                  <c:v>0.72204080809019466</c:v>
                </c:pt>
                <c:pt idx="8">
                  <c:v>0.73332882454582771</c:v>
                </c:pt>
                <c:pt idx="9">
                  <c:v>0.73867946024497888</c:v>
                </c:pt>
                <c:pt idx="10">
                  <c:v>0.74012248946045656</c:v>
                </c:pt>
                <c:pt idx="11">
                  <c:v>0.74587973380905503</c:v>
                </c:pt>
                <c:pt idx="12">
                  <c:v>0.75052620077315491</c:v>
                </c:pt>
                <c:pt idx="13">
                  <c:v>0.75140753319214737</c:v>
                </c:pt>
                <c:pt idx="14">
                  <c:v>0.75780072109147467</c:v>
                </c:pt>
                <c:pt idx="15">
                  <c:v>0.75659665197793902</c:v>
                </c:pt>
                <c:pt idx="16">
                  <c:v>0.7630923417467087</c:v>
                </c:pt>
                <c:pt idx="17">
                  <c:v>0.76188702129239549</c:v>
                </c:pt>
                <c:pt idx="18">
                  <c:v>0.76463198620494088</c:v>
                </c:pt>
                <c:pt idx="19">
                  <c:v>0.763664545422022</c:v>
                </c:pt>
              </c:numCache>
            </c:numRef>
          </c:val>
          <c:smooth val="0"/>
          <c:extLst>
            <c:ext xmlns:c16="http://schemas.microsoft.com/office/drawing/2014/chart" uri="{C3380CC4-5D6E-409C-BE32-E72D297353CC}">
              <c16:uniqueId val="{00000004-782C-4749-ABA5-9ECF17BECF33}"/>
            </c:ext>
          </c:extLst>
        </c:ser>
        <c:dLbls>
          <c:showLegendKey val="0"/>
          <c:showVal val="0"/>
          <c:showCatName val="0"/>
          <c:showSerName val="0"/>
          <c:showPercent val="0"/>
          <c:showBubbleSize val="0"/>
        </c:dLbls>
        <c:smooth val="0"/>
        <c:axId val="248480128"/>
        <c:axId val="248482048"/>
      </c:lineChart>
      <c:catAx>
        <c:axId val="248480128"/>
        <c:scaling>
          <c:orientation val="minMax"/>
        </c:scaling>
        <c:delete val="0"/>
        <c:axPos val="b"/>
        <c:title>
          <c:tx>
            <c:strRef>
              <c:f>Dashboard!$B$163</c:f>
              <c:strCache>
                <c:ptCount val="1"/>
                <c:pt idx="0">
                  <c:v> IRR: Project real / Oil price: US$ 2021 / bbl </c:v>
                </c:pt>
              </c:strCache>
            </c:strRef>
          </c:tx>
          <c:layout>
            <c:manualLayout>
              <c:xMode val="edge"/>
              <c:yMode val="edge"/>
              <c:x val="0.40017147386888796"/>
              <c:y val="0.8823297008770715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248482048"/>
        <c:crosses val="autoZero"/>
        <c:auto val="1"/>
        <c:lblAlgn val="ctr"/>
        <c:lblOffset val="100"/>
        <c:noMultiLvlLbl val="0"/>
      </c:catAx>
      <c:valAx>
        <c:axId val="248482048"/>
        <c:scaling>
          <c:orientation val="minMax"/>
          <c:min val="0.55000000000000004"/>
        </c:scaling>
        <c:delete val="0"/>
        <c:axPos val="l"/>
        <c:majorGridlines>
          <c:spPr>
            <a:ln w="9525" cap="flat" cmpd="sng" algn="ctr">
              <a:solidFill>
                <a:schemeClr val="tx1">
                  <a:lumMod val="15000"/>
                  <a:lumOff val="85000"/>
                </a:schemeClr>
              </a:solidFill>
              <a:prstDash val="dash"/>
              <a:round/>
            </a:ln>
            <a:effectLst/>
          </c:spPr>
        </c:majorGridlines>
        <c:title>
          <c:tx>
            <c:strRef>
              <c:f>Dashboard!$B$161</c:f>
              <c:strCache>
                <c:ptCount val="1"/>
                <c:pt idx="0">
                  <c:v> AETR: full-cycle, undiscounted </c:v>
                </c:pt>
              </c:strCache>
            </c:strRef>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0%_);\-0%_);&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248480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solidFill>
            <a:schemeClr val="tx1"/>
          </a:solidFill>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Dashboard!$B$172</c:f>
          <c:strCache>
            <c:ptCount val="1"/>
            <c:pt idx="0">
              <c:v> Breakeven oil price and marginal effective tax rate </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Dashboard!$R$174</c:f>
              <c:strCache>
                <c:ptCount val="1"/>
                <c:pt idx="0">
                  <c:v> Breakeven oil price </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Dashboard!$U$172:$Y$172</c15:sqref>
                  </c15:fullRef>
                </c:ext>
              </c:extLst>
              <c:f>Dashboard!$U$172:$X$172</c:f>
              <c:strCache>
                <c:ptCount val="4"/>
                <c:pt idx="0">
                  <c:v> Royalty + CIT </c:v>
                </c:pt>
                <c:pt idx="1">
                  <c:v> RRT </c:v>
                </c:pt>
                <c:pt idx="2">
                  <c:v> Royalty + CIT, no debt </c:v>
                </c:pt>
                <c:pt idx="3">
                  <c:v> DROP PSC </c:v>
                </c:pt>
              </c:strCache>
            </c:strRef>
          </c:cat>
          <c:val>
            <c:numRef>
              <c:extLst>
                <c:ext xmlns:c15="http://schemas.microsoft.com/office/drawing/2012/chart" uri="{02D57815-91ED-43cb-92C2-25804820EDAC}">
                  <c15:fullRef>
                    <c15:sqref>Dashboard!$U$174:$Y$174</c15:sqref>
                  </c15:fullRef>
                </c:ext>
              </c:extLst>
              <c:f>Dashboard!$U$174:$X$174</c:f>
              <c:numCache>
                <c:formatCode>#,##0.00_);\(#,##0.00\);"-  ";" "@" "</c:formatCode>
                <c:ptCount val="4"/>
                <c:pt idx="0">
                  <c:v>37.254350549345375</c:v>
                </c:pt>
                <c:pt idx="1">
                  <c:v>31.351247615114687</c:v>
                </c:pt>
                <c:pt idx="2">
                  <c:v>37.040165791249869</c:v>
                </c:pt>
                <c:pt idx="3">
                  <c:v>35.235885581807864</c:v>
                </c:pt>
              </c:numCache>
            </c:numRef>
          </c:val>
          <c:extLst>
            <c:ext xmlns:c16="http://schemas.microsoft.com/office/drawing/2014/chart" uri="{C3380CC4-5D6E-409C-BE32-E72D297353CC}">
              <c16:uniqueId val="{00000000-0847-4E49-AC13-67AEAE431C2A}"/>
            </c:ext>
          </c:extLst>
        </c:ser>
        <c:dLbls>
          <c:showLegendKey val="0"/>
          <c:showVal val="0"/>
          <c:showCatName val="0"/>
          <c:showSerName val="0"/>
          <c:showPercent val="0"/>
          <c:showBubbleSize val="0"/>
        </c:dLbls>
        <c:gapWidth val="219"/>
        <c:axId val="248670464"/>
        <c:axId val="248680448"/>
      </c:barChart>
      <c:lineChart>
        <c:grouping val="standard"/>
        <c:varyColors val="0"/>
        <c:ser>
          <c:idx val="1"/>
          <c:order val="1"/>
          <c:tx>
            <c:strRef>
              <c:f>Dashboard!$R$180</c:f>
              <c:strCache>
                <c:ptCount val="1"/>
                <c:pt idx="0">
                  <c:v> Marginal Effective Tax Rate (METR) </c:v>
                </c:pt>
              </c:strCache>
            </c:strRef>
          </c:tx>
          <c:spPr>
            <a:ln w="28575" cap="rnd">
              <a:solidFill>
                <a:schemeClr val="accent2"/>
              </a:solidFill>
              <a:prstDash val="dash"/>
              <a:round/>
            </a:ln>
            <a:effectLst/>
          </c:spPr>
          <c:marker>
            <c:symbol val="none"/>
          </c:marker>
          <c:cat>
            <c:strLit>
              <c:ptCount val="4"/>
              <c:pt idx="0">
                <c:v>1</c:v>
              </c:pt>
              <c:pt idx="1">
                <c:v>2</c:v>
              </c:pt>
              <c:pt idx="2">
                <c:v>3</c:v>
              </c:pt>
              <c:pt idx="3">
                <c:v>4</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Dashboard!$U$180:$Y$180</c15:sqref>
                  </c15:fullRef>
                </c:ext>
              </c:extLst>
              <c:f>Dashboard!$U$180:$X$180</c:f>
              <c:numCache>
                <c:formatCode>0%_);\-0%_);"-  ";" "@" "</c:formatCode>
                <c:ptCount val="4"/>
                <c:pt idx="0">
                  <c:v>0.58029087469026863</c:v>
                </c:pt>
                <c:pt idx="1">
                  <c:v>0.44467328628956032</c:v>
                </c:pt>
                <c:pt idx="2">
                  <c:v>0.5766908798308541</c:v>
                </c:pt>
                <c:pt idx="3">
                  <c:v>0.54324310639330686</c:v>
                </c:pt>
              </c:numCache>
            </c:numRef>
          </c:val>
          <c:smooth val="0"/>
          <c:extLst>
            <c:ext xmlns:c16="http://schemas.microsoft.com/office/drawing/2014/chart" uri="{C3380CC4-5D6E-409C-BE32-E72D297353CC}">
              <c16:uniqueId val="{00000001-0847-4E49-AC13-67AEAE431C2A}"/>
            </c:ext>
          </c:extLst>
        </c:ser>
        <c:dLbls>
          <c:showLegendKey val="0"/>
          <c:showVal val="0"/>
          <c:showCatName val="0"/>
          <c:showSerName val="0"/>
          <c:showPercent val="0"/>
          <c:showBubbleSize val="0"/>
        </c:dLbls>
        <c:marker val="1"/>
        <c:smooth val="0"/>
        <c:axId val="248688640"/>
        <c:axId val="248682368"/>
      </c:lineChart>
      <c:catAx>
        <c:axId val="248670464"/>
        <c:scaling>
          <c:orientation val="minMax"/>
        </c:scaling>
        <c:delete val="0"/>
        <c:axPos val="b"/>
        <c:title>
          <c:tx>
            <c:strRef>
              <c:f>Dashboard!$B$175</c:f>
              <c:strCache>
                <c:ptCount val="1"/>
                <c:pt idx="0">
                  <c:v> Fiscal regimes </c:v>
                </c:pt>
              </c:strCache>
            </c:strRef>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248680448"/>
        <c:crosses val="autoZero"/>
        <c:auto val="1"/>
        <c:lblAlgn val="ctr"/>
        <c:lblOffset val="100"/>
        <c:noMultiLvlLbl val="0"/>
      </c:catAx>
      <c:valAx>
        <c:axId val="248680448"/>
        <c:scaling>
          <c:orientation val="minMax"/>
          <c:min val="0"/>
        </c:scaling>
        <c:delete val="0"/>
        <c:axPos val="l"/>
        <c:majorGridlines>
          <c:spPr>
            <a:ln w="9525" cap="flat" cmpd="sng" algn="ctr">
              <a:solidFill>
                <a:schemeClr val="tx1">
                  <a:lumMod val="15000"/>
                  <a:lumOff val="85000"/>
                </a:schemeClr>
              </a:solidFill>
              <a:prstDash val="dash"/>
              <a:round/>
            </a:ln>
            <a:effectLst/>
          </c:spPr>
        </c:majorGridlines>
        <c:title>
          <c:tx>
            <c:strRef>
              <c:f>Dashboard!$B$173</c:f>
              <c:strCache>
                <c:ptCount val="1"/>
                <c:pt idx="0">
                  <c:v> Breakeven oil price US$ 2021 / bbl </c:v>
                </c:pt>
              </c:strCache>
            </c:strRef>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0.00_);\(#,##0.0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248670464"/>
        <c:crosses val="autoZero"/>
        <c:crossBetween val="between"/>
      </c:valAx>
      <c:valAx>
        <c:axId val="248682368"/>
        <c:scaling>
          <c:orientation val="minMax"/>
          <c:min val="0"/>
        </c:scaling>
        <c:delete val="0"/>
        <c:axPos val="r"/>
        <c:title>
          <c:tx>
            <c:strRef>
              <c:f>Dashboard!$B$174</c:f>
              <c:strCache>
                <c:ptCount val="1"/>
                <c:pt idx="0">
                  <c:v> Marginal Effective Tax Rate (METR) </c:v>
                </c:pt>
              </c:strCache>
            </c:strRef>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0%_);\-0%_);&quot;-  &quot;;&quot; &quot;@&quot; &quot;"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248688640"/>
        <c:crosses val="max"/>
        <c:crossBetween val="between"/>
      </c:valAx>
      <c:catAx>
        <c:axId val="248688640"/>
        <c:scaling>
          <c:orientation val="minMax"/>
        </c:scaling>
        <c:delete val="1"/>
        <c:axPos val="b"/>
        <c:majorTickMark val="out"/>
        <c:minorTickMark val="none"/>
        <c:tickLblPos val="nextTo"/>
        <c:crossAx val="2486823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solidFill>
            <a:schemeClr val="tx1"/>
          </a:solidFill>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Dashboard!$B$121</c:f>
          <c:strCache>
            <c:ptCount val="1"/>
            <c:pt idx="0">
              <c:v> Government share of profit oil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5"/>
          <c:order val="5"/>
          <c:tx>
            <c:strRef>
              <c:f>Dashboard!$R$132</c:f>
              <c:strCache>
                <c:ptCount val="1"/>
                <c:pt idx="0">
                  <c:v> Oil production RATE after ELT </c:v>
                </c:pt>
              </c:strCache>
            </c:strRef>
          </c:tx>
          <c:spPr>
            <a:solidFill>
              <a:schemeClr val="accent1">
                <a:lumMod val="40000"/>
                <a:lumOff val="60000"/>
                <a:alpha val="77000"/>
              </a:schemeClr>
            </a:solidFill>
            <a:ln>
              <a:noFill/>
            </a:ln>
            <a:effectLst/>
          </c:spPr>
          <c:invertIfNegative val="0"/>
          <c:val>
            <c:numRef>
              <c:f>Dashboard!$T$132:$BG$132</c:f>
              <c:numCache>
                <c:formatCode>#,##0_);\(#,##0\);"-  ";" "@" "</c:formatCode>
                <c:ptCount val="40"/>
                <c:pt idx="0">
                  <c:v>0</c:v>
                </c:pt>
                <c:pt idx="1">
                  <c:v>0</c:v>
                </c:pt>
                <c:pt idx="2">
                  <c:v>0</c:v>
                </c:pt>
                <c:pt idx="3">
                  <c:v>0</c:v>
                </c:pt>
                <c:pt idx="4">
                  <c:v>9.5471162223815913</c:v>
                </c:pt>
                <c:pt idx="5">
                  <c:v>75</c:v>
                </c:pt>
                <c:pt idx="6">
                  <c:v>150</c:v>
                </c:pt>
                <c:pt idx="7">
                  <c:v>150</c:v>
                </c:pt>
                <c:pt idx="8">
                  <c:v>150</c:v>
                </c:pt>
                <c:pt idx="9">
                  <c:v>150</c:v>
                </c:pt>
                <c:pt idx="10">
                  <c:v>150</c:v>
                </c:pt>
                <c:pt idx="11">
                  <c:v>150</c:v>
                </c:pt>
                <c:pt idx="12">
                  <c:v>150</c:v>
                </c:pt>
                <c:pt idx="13">
                  <c:v>150</c:v>
                </c:pt>
                <c:pt idx="14">
                  <c:v>150</c:v>
                </c:pt>
                <c:pt idx="15">
                  <c:v>150</c:v>
                </c:pt>
                <c:pt idx="16">
                  <c:v>121.50000000000001</c:v>
                </c:pt>
                <c:pt idx="17">
                  <c:v>98.41500000000002</c:v>
                </c:pt>
                <c:pt idx="18">
                  <c:v>79.716150000000027</c:v>
                </c:pt>
                <c:pt idx="19">
                  <c:v>64.570081500000029</c:v>
                </c:pt>
                <c:pt idx="20">
                  <c:v>52.301766015000027</c:v>
                </c:pt>
                <c:pt idx="21">
                  <c:v>42.364430472150026</c:v>
                </c:pt>
                <c:pt idx="22">
                  <c:v>34.315188682441523</c:v>
                </c:pt>
                <c:pt idx="23">
                  <c:v>27.795302832777637</c:v>
                </c:pt>
                <c:pt idx="24">
                  <c:v>22.514195294549886</c:v>
                </c:pt>
                <c:pt idx="25">
                  <c:v>18.236498188585408</c:v>
                </c:pt>
                <c:pt idx="26">
                  <c:v>14.771563532754181</c:v>
                </c:pt>
                <c:pt idx="27">
                  <c:v>11.964966461530887</c:v>
                </c:pt>
                <c:pt idx="28">
                  <c:v>9.6916228338400181</c:v>
                </c:pt>
                <c:pt idx="29">
                  <c:v>7.8502144954104152</c:v>
                </c:pt>
                <c:pt idx="30">
                  <c:v>6.3586737412824368</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F40D-4ED8-A3B4-56C0199B5E7D}"/>
            </c:ext>
          </c:extLst>
        </c:ser>
        <c:dLbls>
          <c:showLegendKey val="0"/>
          <c:showVal val="0"/>
          <c:showCatName val="0"/>
          <c:showSerName val="0"/>
          <c:showPercent val="0"/>
          <c:showBubbleSize val="0"/>
        </c:dLbls>
        <c:gapWidth val="20"/>
        <c:axId val="248764288"/>
        <c:axId val="248762368"/>
      </c:barChart>
      <c:lineChart>
        <c:grouping val="standard"/>
        <c:varyColors val="0"/>
        <c:ser>
          <c:idx val="0"/>
          <c:order val="0"/>
          <c:tx>
            <c:strRef>
              <c:f>Dashboard!$R$125</c:f>
              <c:strCache>
                <c:ptCount val="1"/>
                <c:pt idx="0">
                  <c:v> Royalty + CIT </c:v>
                </c:pt>
              </c:strCache>
            </c:strRef>
          </c:tx>
          <c:spPr>
            <a:ln w="28575" cap="rnd">
              <a:solidFill>
                <a:schemeClr val="accent1"/>
              </a:solidFill>
              <a:round/>
            </a:ln>
            <a:effectLst/>
          </c:spPr>
          <c:marker>
            <c:symbol val="none"/>
          </c:marker>
          <c:cat>
            <c:numRef>
              <c:f>Dashboard!$T$120:$BG$120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Dashboard!$T$125:$BG$125</c:f>
              <c:numCache>
                <c:formatCode>0%_);\-0%_);"-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mooth val="0"/>
          <c:extLst>
            <c:ext xmlns:c16="http://schemas.microsoft.com/office/drawing/2014/chart" uri="{C3380CC4-5D6E-409C-BE32-E72D297353CC}">
              <c16:uniqueId val="{00000000-718F-4638-97B6-181E2FFD2807}"/>
            </c:ext>
          </c:extLst>
        </c:ser>
        <c:ser>
          <c:idx val="1"/>
          <c:order val="1"/>
          <c:tx>
            <c:strRef>
              <c:f>Dashboard!$R$126</c:f>
              <c:strCache>
                <c:ptCount val="1"/>
                <c:pt idx="0">
                  <c:v> RRT </c:v>
                </c:pt>
              </c:strCache>
            </c:strRef>
          </c:tx>
          <c:spPr>
            <a:ln w="28575" cap="rnd">
              <a:solidFill>
                <a:schemeClr val="accent2"/>
              </a:solidFill>
              <a:round/>
            </a:ln>
            <a:effectLst/>
          </c:spPr>
          <c:marker>
            <c:symbol val="none"/>
          </c:marker>
          <c:cat>
            <c:numRef>
              <c:f>Dashboard!$T$120:$BG$120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Dashboard!$T$126:$BG$126</c:f>
              <c:numCache>
                <c:formatCode>0%_);\-0%_);"-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mooth val="0"/>
          <c:extLst>
            <c:ext xmlns:c16="http://schemas.microsoft.com/office/drawing/2014/chart" uri="{C3380CC4-5D6E-409C-BE32-E72D297353CC}">
              <c16:uniqueId val="{00000001-718F-4638-97B6-181E2FFD2807}"/>
            </c:ext>
          </c:extLst>
        </c:ser>
        <c:ser>
          <c:idx val="2"/>
          <c:order val="2"/>
          <c:tx>
            <c:strRef>
              <c:f>Dashboard!$R$127</c:f>
              <c:strCache>
                <c:ptCount val="1"/>
                <c:pt idx="0">
                  <c:v> Royalty + CIT, no debt </c:v>
                </c:pt>
              </c:strCache>
            </c:strRef>
          </c:tx>
          <c:spPr>
            <a:ln w="28575" cap="rnd">
              <a:solidFill>
                <a:schemeClr val="accent3"/>
              </a:solidFill>
              <a:round/>
            </a:ln>
            <a:effectLst/>
          </c:spPr>
          <c:marker>
            <c:symbol val="none"/>
          </c:marker>
          <c:cat>
            <c:numRef>
              <c:f>Dashboard!$T$120:$BG$120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Dashboard!$T$127:$BG$127</c:f>
              <c:numCache>
                <c:formatCode>0%_);\-0%_);"-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mooth val="0"/>
          <c:extLst>
            <c:ext xmlns:c16="http://schemas.microsoft.com/office/drawing/2014/chart" uri="{C3380CC4-5D6E-409C-BE32-E72D297353CC}">
              <c16:uniqueId val="{00000002-718F-4638-97B6-181E2FFD2807}"/>
            </c:ext>
          </c:extLst>
        </c:ser>
        <c:ser>
          <c:idx val="3"/>
          <c:order val="3"/>
          <c:tx>
            <c:strRef>
              <c:f>Dashboard!$R$128</c:f>
              <c:strCache>
                <c:ptCount val="1"/>
                <c:pt idx="0">
                  <c:v> DROP PSC </c:v>
                </c:pt>
              </c:strCache>
            </c:strRef>
          </c:tx>
          <c:spPr>
            <a:ln w="28575" cap="rnd">
              <a:solidFill>
                <a:schemeClr val="accent4"/>
              </a:solidFill>
              <a:round/>
            </a:ln>
            <a:effectLst/>
          </c:spPr>
          <c:marker>
            <c:symbol val="none"/>
          </c:marker>
          <c:cat>
            <c:numRef>
              <c:f>Dashboard!$T$120:$BG$120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Dashboard!$T$128:$BG$128</c:f>
              <c:numCache>
                <c:formatCode>0%_);\-0%_);"-  ";" "@" "</c:formatCode>
                <c:ptCount val="40"/>
                <c:pt idx="0">
                  <c:v>0.2</c:v>
                </c:pt>
                <c:pt idx="1">
                  <c:v>0.2</c:v>
                </c:pt>
                <c:pt idx="2">
                  <c:v>0.2</c:v>
                </c:pt>
                <c:pt idx="3">
                  <c:v>0.2</c:v>
                </c:pt>
                <c:pt idx="4">
                  <c:v>0.2</c:v>
                </c:pt>
                <c:pt idx="5">
                  <c:v>0.28000000000000003</c:v>
                </c:pt>
                <c:pt idx="6">
                  <c:v>0.36</c:v>
                </c:pt>
                <c:pt idx="7">
                  <c:v>0.36</c:v>
                </c:pt>
                <c:pt idx="8">
                  <c:v>0.36</c:v>
                </c:pt>
                <c:pt idx="9">
                  <c:v>0.36</c:v>
                </c:pt>
                <c:pt idx="10">
                  <c:v>0.36</c:v>
                </c:pt>
                <c:pt idx="11">
                  <c:v>0.36</c:v>
                </c:pt>
                <c:pt idx="12">
                  <c:v>0.36</c:v>
                </c:pt>
                <c:pt idx="13">
                  <c:v>0.36</c:v>
                </c:pt>
                <c:pt idx="14">
                  <c:v>0.36</c:v>
                </c:pt>
                <c:pt idx="15">
                  <c:v>0.36</c:v>
                </c:pt>
                <c:pt idx="16">
                  <c:v>0.32716049382716056</c:v>
                </c:pt>
                <c:pt idx="17">
                  <c:v>0.30855052583447651</c:v>
                </c:pt>
                <c:pt idx="18">
                  <c:v>0.28709941461046484</c:v>
                </c:pt>
                <c:pt idx="19">
                  <c:v>0.26902590249944169</c:v>
                </c:pt>
                <c:pt idx="20">
                  <c:v>0.26176037345610081</c:v>
                </c:pt>
                <c:pt idx="21">
                  <c:v>0.25279058451370473</c:v>
                </c:pt>
                <c:pt idx="22">
                  <c:v>0.24171677100457373</c:v>
                </c:pt>
                <c:pt idx="23">
                  <c:v>0.2280453963019429</c:v>
                </c:pt>
                <c:pt idx="24">
                  <c:v>0.21116715592832452</c:v>
                </c:pt>
                <c:pt idx="25">
                  <c:v>0.2</c:v>
                </c:pt>
                <c:pt idx="26">
                  <c:v>0.2</c:v>
                </c:pt>
                <c:pt idx="27">
                  <c:v>0.2</c:v>
                </c:pt>
                <c:pt idx="28">
                  <c:v>0.2</c:v>
                </c:pt>
                <c:pt idx="29">
                  <c:v>0.2</c:v>
                </c:pt>
                <c:pt idx="30">
                  <c:v>0.2</c:v>
                </c:pt>
                <c:pt idx="31">
                  <c:v>0.2</c:v>
                </c:pt>
                <c:pt idx="32">
                  <c:v>0.2</c:v>
                </c:pt>
                <c:pt idx="33">
                  <c:v>0</c:v>
                </c:pt>
                <c:pt idx="34">
                  <c:v>0</c:v>
                </c:pt>
                <c:pt idx="35">
                  <c:v>0</c:v>
                </c:pt>
                <c:pt idx="36">
                  <c:v>0</c:v>
                </c:pt>
                <c:pt idx="37">
                  <c:v>0</c:v>
                </c:pt>
                <c:pt idx="38">
                  <c:v>0</c:v>
                </c:pt>
                <c:pt idx="39">
                  <c:v>0</c:v>
                </c:pt>
              </c:numCache>
            </c:numRef>
          </c:val>
          <c:smooth val="0"/>
          <c:extLst>
            <c:ext xmlns:c16="http://schemas.microsoft.com/office/drawing/2014/chart" uri="{C3380CC4-5D6E-409C-BE32-E72D297353CC}">
              <c16:uniqueId val="{00000003-718F-4638-97B6-181E2FFD2807}"/>
            </c:ext>
          </c:extLst>
        </c:ser>
        <c:ser>
          <c:idx val="4"/>
          <c:order val="4"/>
          <c:tx>
            <c:strRef>
              <c:f>Dashboard!$R$129</c:f>
              <c:strCache>
                <c:ptCount val="1"/>
                <c:pt idx="0">
                  <c:v> R-factor PSC </c:v>
                </c:pt>
              </c:strCache>
              <c:extLst xmlns:c15="http://schemas.microsoft.com/office/drawing/2012/chart"/>
            </c:strRef>
          </c:tx>
          <c:spPr>
            <a:ln w="28575" cap="rnd">
              <a:solidFill>
                <a:schemeClr val="accent5"/>
              </a:solidFill>
              <a:round/>
            </a:ln>
            <a:effectLst/>
          </c:spPr>
          <c:marker>
            <c:symbol val="none"/>
          </c:marker>
          <c:cat>
            <c:numRef>
              <c:f>Dashboard!$T$120:$BG$120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extLst xmlns:c15="http://schemas.microsoft.com/office/drawing/2012/chart"/>
            </c:numRef>
          </c:cat>
          <c:val>
            <c:numRef>
              <c:f>Dashboard!$T$129:$BG$129</c:f>
              <c:numCache>
                <c:formatCode>0%_);\-0%_);"-  ";" "@" "</c:formatCode>
                <c:ptCount val="40"/>
                <c:pt idx="0">
                  <c:v>0.2</c:v>
                </c:pt>
                <c:pt idx="1">
                  <c:v>0.2</c:v>
                </c:pt>
                <c:pt idx="2">
                  <c:v>0.2</c:v>
                </c:pt>
                <c:pt idx="3">
                  <c:v>0.2</c:v>
                </c:pt>
                <c:pt idx="4">
                  <c:v>0.2</c:v>
                </c:pt>
                <c:pt idx="5">
                  <c:v>0.2</c:v>
                </c:pt>
                <c:pt idx="6">
                  <c:v>0.2</c:v>
                </c:pt>
                <c:pt idx="7">
                  <c:v>0.2</c:v>
                </c:pt>
                <c:pt idx="8">
                  <c:v>0.2</c:v>
                </c:pt>
                <c:pt idx="9">
                  <c:v>0.30000000000000004</c:v>
                </c:pt>
                <c:pt idx="10">
                  <c:v>0.30000000000000004</c:v>
                </c:pt>
                <c:pt idx="11">
                  <c:v>0.30000000000000004</c:v>
                </c:pt>
                <c:pt idx="12">
                  <c:v>0.4</c:v>
                </c:pt>
                <c:pt idx="13">
                  <c:v>0.4</c:v>
                </c:pt>
                <c:pt idx="14">
                  <c:v>0.4</c:v>
                </c:pt>
                <c:pt idx="15">
                  <c:v>0.4</c:v>
                </c:pt>
                <c:pt idx="16">
                  <c:v>0.5</c:v>
                </c:pt>
                <c:pt idx="17">
                  <c:v>0.5</c:v>
                </c:pt>
                <c:pt idx="18">
                  <c:v>0.5</c:v>
                </c:pt>
                <c:pt idx="19">
                  <c:v>0.5</c:v>
                </c:pt>
                <c:pt idx="20">
                  <c:v>0.5</c:v>
                </c:pt>
                <c:pt idx="21">
                  <c:v>0.5</c:v>
                </c:pt>
                <c:pt idx="22">
                  <c:v>0.5</c:v>
                </c:pt>
                <c:pt idx="23">
                  <c:v>0.5</c:v>
                </c:pt>
                <c:pt idx="24">
                  <c:v>0.5</c:v>
                </c:pt>
                <c:pt idx="25">
                  <c:v>0.5</c:v>
                </c:pt>
                <c:pt idx="26">
                  <c:v>0.6</c:v>
                </c:pt>
                <c:pt idx="27">
                  <c:v>0.6</c:v>
                </c:pt>
                <c:pt idx="28">
                  <c:v>0.6</c:v>
                </c:pt>
                <c:pt idx="29">
                  <c:v>0.6</c:v>
                </c:pt>
                <c:pt idx="30">
                  <c:v>0.6</c:v>
                </c:pt>
                <c:pt idx="31">
                  <c:v>0.6</c:v>
                </c:pt>
                <c:pt idx="32">
                  <c:v>0.6</c:v>
                </c:pt>
                <c:pt idx="33">
                  <c:v>0</c:v>
                </c:pt>
                <c:pt idx="34">
                  <c:v>0</c:v>
                </c:pt>
                <c:pt idx="35">
                  <c:v>0</c:v>
                </c:pt>
                <c:pt idx="36">
                  <c:v>0</c:v>
                </c:pt>
                <c:pt idx="37">
                  <c:v>0</c:v>
                </c:pt>
                <c:pt idx="38">
                  <c:v>0</c:v>
                </c:pt>
                <c:pt idx="39">
                  <c:v>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4-718F-4638-97B6-181E2FFD2807}"/>
            </c:ext>
          </c:extLst>
        </c:ser>
        <c:dLbls>
          <c:showLegendKey val="0"/>
          <c:showVal val="0"/>
          <c:showCatName val="0"/>
          <c:showSerName val="0"/>
          <c:showPercent val="0"/>
          <c:showBubbleSize val="0"/>
        </c:dLbls>
        <c:marker val="1"/>
        <c:smooth val="0"/>
        <c:axId val="248754176"/>
        <c:axId val="248756096"/>
        <c:extLst/>
      </c:lineChart>
      <c:catAx>
        <c:axId val="248754176"/>
        <c:scaling>
          <c:orientation val="minMax"/>
        </c:scaling>
        <c:delete val="0"/>
        <c:axPos val="b"/>
        <c:title>
          <c:tx>
            <c:strRef>
              <c:f>Dashboard!$B$122</c:f>
              <c:strCache>
                <c:ptCount val="1"/>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8756096"/>
        <c:crosses val="autoZero"/>
        <c:auto val="1"/>
        <c:lblAlgn val="ctr"/>
        <c:lblOffset val="100"/>
        <c:noMultiLvlLbl val="0"/>
      </c:catAx>
      <c:valAx>
        <c:axId val="248756096"/>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Dashboard!$B$124</c:f>
              <c:strCache>
                <c:ptCount val="1"/>
                <c:pt idx="0">
                  <c:v> Government profit petroleum share %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_);\-0%_);&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8754176"/>
        <c:crosses val="autoZero"/>
        <c:crossBetween val="between"/>
      </c:valAx>
      <c:valAx>
        <c:axId val="248762368"/>
        <c:scaling>
          <c:orientation val="minMax"/>
        </c:scaling>
        <c:delete val="0"/>
        <c:axPos val="r"/>
        <c:title>
          <c:tx>
            <c:strRef>
              <c:f>Dashboard!$B$123</c:f>
              <c:strCache>
                <c:ptCount val="1"/>
                <c:pt idx="0">
                  <c:v> Oil production RATE after ELT KBOPD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_);\(#,##0\);&quot;-  &quot;;&quot; &quot;@&quot; &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8764288"/>
        <c:crosses val="max"/>
        <c:crossBetween val="between"/>
      </c:valAx>
      <c:catAx>
        <c:axId val="248764288"/>
        <c:scaling>
          <c:orientation val="minMax"/>
        </c:scaling>
        <c:delete val="1"/>
        <c:axPos val="b"/>
        <c:majorTickMark val="out"/>
        <c:minorTickMark val="none"/>
        <c:tickLblPos val="nextTo"/>
        <c:crossAx val="2487623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A6A6A6"/>
              </a:solidFill>
              <a:ln w="19050">
                <a:solidFill>
                  <a:schemeClr val="lt1"/>
                </a:solidFill>
              </a:ln>
              <a:effectLst/>
            </c:spPr>
            <c:extLst>
              <c:ext xmlns:c16="http://schemas.microsoft.com/office/drawing/2014/chart" uri="{C3380CC4-5D6E-409C-BE32-E72D297353CC}">
                <c16:uniqueId val="{00000001-0390-424D-B43D-0DCF85C88993}"/>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0390-424D-B43D-0DCF85C88993}"/>
              </c:ext>
            </c:extLst>
          </c:dPt>
          <c:dPt>
            <c:idx val="2"/>
            <c:bubble3D val="0"/>
            <c:spPr>
              <a:solidFill>
                <a:schemeClr val="tx1"/>
              </a:solidFill>
              <a:ln w="19050">
                <a:solidFill>
                  <a:schemeClr val="lt1"/>
                </a:solidFill>
              </a:ln>
              <a:effectLst/>
            </c:spPr>
            <c:extLst>
              <c:ext xmlns:c16="http://schemas.microsoft.com/office/drawing/2014/chart" uri="{C3380CC4-5D6E-409C-BE32-E72D297353CC}">
                <c16:uniqueId val="{00000005-0390-424D-B43D-0DCF85C88993}"/>
              </c:ext>
            </c:extLst>
          </c:dPt>
          <c:dPt>
            <c:idx val="3"/>
            <c:bubble3D val="0"/>
            <c:spPr>
              <a:solidFill>
                <a:schemeClr val="accent3"/>
              </a:solidFill>
              <a:ln w="19050">
                <a:solidFill>
                  <a:schemeClr val="lt1"/>
                </a:solidFill>
              </a:ln>
              <a:effectLst/>
            </c:spPr>
            <c:extLst>
              <c:ext xmlns:c16="http://schemas.microsoft.com/office/drawing/2014/chart" uri="{C3380CC4-5D6E-409C-BE32-E72D297353CC}">
                <c16:uniqueId val="{00000007-0390-424D-B43D-0DCF85C88993}"/>
              </c:ext>
            </c:extLst>
          </c:dPt>
          <c:dPt>
            <c:idx val="4"/>
            <c:bubble3D val="0"/>
            <c:spPr>
              <a:solidFill>
                <a:srgbClr val="FFFF00"/>
              </a:solidFill>
              <a:ln w="19050">
                <a:solidFill>
                  <a:schemeClr val="lt1"/>
                </a:solidFill>
              </a:ln>
              <a:effectLst/>
            </c:spPr>
            <c:extLst>
              <c:ext xmlns:c16="http://schemas.microsoft.com/office/drawing/2014/chart" uri="{C3380CC4-5D6E-409C-BE32-E72D297353CC}">
                <c16:uniqueId val="{00000009-0390-424D-B43D-0DCF85C88993}"/>
              </c:ext>
            </c:extLst>
          </c:dPt>
          <c:dPt>
            <c:idx val="5"/>
            <c:bubble3D val="0"/>
            <c:spPr>
              <a:solidFill>
                <a:srgbClr val="4BACC6"/>
              </a:solidFill>
              <a:ln w="19050">
                <a:solidFill>
                  <a:schemeClr val="lt1"/>
                </a:solidFill>
              </a:ln>
              <a:effectLst/>
            </c:spPr>
            <c:extLst>
              <c:ext xmlns:c16="http://schemas.microsoft.com/office/drawing/2014/chart" uri="{C3380CC4-5D6E-409C-BE32-E72D297353CC}">
                <c16:uniqueId val="{0000000B-0390-424D-B43D-0DCF85C88993}"/>
              </c:ext>
            </c:extLst>
          </c:dPt>
          <c:dPt>
            <c:idx val="6"/>
            <c:bubble3D val="0"/>
            <c:spPr>
              <a:solidFill>
                <a:schemeClr val="accent6"/>
              </a:solidFill>
              <a:ln w="19050">
                <a:solidFill>
                  <a:schemeClr val="lt1"/>
                </a:solidFill>
              </a:ln>
              <a:effectLst/>
            </c:spPr>
            <c:extLst>
              <c:ext xmlns:c16="http://schemas.microsoft.com/office/drawing/2014/chart" uri="{C3380CC4-5D6E-409C-BE32-E72D297353CC}">
                <c16:uniqueId val="{0000000D-0390-424D-B43D-0DCF85C88993}"/>
              </c:ext>
            </c:extLst>
          </c:dPt>
          <c:dPt>
            <c:idx val="7"/>
            <c:bubble3D val="0"/>
            <c:spPr>
              <a:solidFill>
                <a:srgbClr val="2C4D75"/>
              </a:solidFill>
              <a:ln w="19050">
                <a:solidFill>
                  <a:schemeClr val="lt1"/>
                </a:solidFill>
              </a:ln>
              <a:effectLst/>
            </c:spPr>
            <c:extLst>
              <c:ext xmlns:c16="http://schemas.microsoft.com/office/drawing/2014/chart" uri="{C3380CC4-5D6E-409C-BE32-E72D297353CC}">
                <c16:uniqueId val="{0000000F-0390-424D-B43D-0DCF85C88993}"/>
              </c:ext>
            </c:extLst>
          </c:dPt>
          <c:dPt>
            <c:idx val="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11-FF9F-44C8-95F7-EAB6AEC085B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C0D-426B-996D-86DDE67CF717}"/>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Charts!$E$62:$E$71</c:f>
              <c:strCache>
                <c:ptCount val="10"/>
                <c:pt idx="0">
                  <c:v> Bonuses </c:v>
                </c:pt>
                <c:pt idx="1">
                  <c:v> Royalty </c:v>
                </c:pt>
                <c:pt idx="2">
                  <c:v> Carbon tax </c:v>
                </c:pt>
                <c:pt idx="3">
                  <c:v> PSC: Government profit oil </c:v>
                </c:pt>
                <c:pt idx="4">
                  <c:v> CIT paid: IOC </c:v>
                </c:pt>
                <c:pt idx="5">
                  <c:v> Resource rent tax: IOC </c:v>
                </c:pt>
                <c:pt idx="6">
                  <c:v> Dividend withholding tax </c:v>
                </c:pt>
                <c:pt idx="7">
                  <c:v> Interest withholding tax </c:v>
                </c:pt>
                <c:pt idx="8">
                  <c:v> VAT cashflow: government </c:v>
                </c:pt>
                <c:pt idx="9">
                  <c:v> SOC net cash flow before tax, after carried interest, including share of lender cashflows </c:v>
                </c:pt>
              </c:strCache>
            </c:strRef>
          </c:cat>
          <c:val>
            <c:numRef>
              <c:f>Charts!$G$62:$G$71</c:f>
              <c:numCache>
                <c:formatCode>0.00%_);\-0.00%_);"-  ";" "@" "</c:formatCode>
                <c:ptCount val="10"/>
                <c:pt idx="0">
                  <c:v>2.8040910624255555E-3</c:v>
                </c:pt>
                <c:pt idx="1">
                  <c:v>0.44016336117700677</c:v>
                </c:pt>
                <c:pt idx="2">
                  <c:v>3.9346205333052199E-2</c:v>
                </c:pt>
                <c:pt idx="3">
                  <c:v>0</c:v>
                </c:pt>
                <c:pt idx="4">
                  <c:v>0.26372610130276197</c:v>
                </c:pt>
                <c:pt idx="5">
                  <c:v>0</c:v>
                </c:pt>
                <c:pt idx="6">
                  <c:v>5.0599250557479256E-2</c:v>
                </c:pt>
                <c:pt idx="7">
                  <c:v>4.6031999420242499E-3</c:v>
                </c:pt>
                <c:pt idx="8">
                  <c:v>0</c:v>
                </c:pt>
                <c:pt idx="9">
                  <c:v>0.19875779062524965</c:v>
                </c:pt>
              </c:numCache>
            </c:numRef>
          </c:val>
          <c:extLst>
            <c:ext xmlns:c16="http://schemas.microsoft.com/office/drawing/2014/chart" uri="{C3380CC4-5D6E-409C-BE32-E72D297353CC}">
              <c16:uniqueId val="{00000010-0390-424D-B43D-0DCF85C8899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Dashboard!$B$192</c:f>
          <c:strCache>
            <c:ptCount val="1"/>
            <c:pt idx="0">
              <c:v> Net present value table: full-cycle, real </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2"/>
          <c:order val="2"/>
          <c:tx>
            <c:strRef>
              <c:f>Dashboard!$R$195</c:f>
              <c:strCache>
                <c:ptCount val="1"/>
                <c:pt idx="0">
                  <c:v> Government revenues excluding participation </c:v>
                </c:pt>
              </c:strCache>
            </c:strRef>
          </c:tx>
          <c:spPr>
            <a:solidFill>
              <a:schemeClr val="accent3"/>
            </a:solidFill>
            <a:ln>
              <a:noFill/>
            </a:ln>
            <a:effectLst/>
          </c:spPr>
          <c:invertIfNegative val="0"/>
          <c:cat>
            <c:numRef>
              <c:f>Dashboard!$V$192:$Y$192</c:f>
              <c:numCache>
                <c:formatCode>0.0_)%_);\(0.0\)%_);"-  ";" "@" "</c:formatCode>
                <c:ptCount val="4"/>
                <c:pt idx="0">
                  <c:v>0</c:v>
                </c:pt>
                <c:pt idx="1">
                  <c:v>0.08</c:v>
                </c:pt>
                <c:pt idx="2">
                  <c:v>0.1</c:v>
                </c:pt>
                <c:pt idx="3">
                  <c:v>0.125</c:v>
                </c:pt>
              </c:numCache>
            </c:numRef>
          </c:cat>
          <c:val>
            <c:numRef>
              <c:f>Dashboard!$V$195:$Y$195</c:f>
              <c:numCache>
                <c:formatCode>#,##0_);\(#,##0\);"-  ";" "@" "</c:formatCode>
                <c:ptCount val="4"/>
                <c:pt idx="0">
                  <c:v>16056.404234002974</c:v>
                </c:pt>
                <c:pt idx="1">
                  <c:v>6243.0321694016075</c:v>
                </c:pt>
                <c:pt idx="2">
                  <c:v>5075.8095083841054</c:v>
                </c:pt>
                <c:pt idx="3">
                  <c:v>3972.7616762811372</c:v>
                </c:pt>
              </c:numCache>
            </c:numRef>
          </c:val>
          <c:extLst>
            <c:ext xmlns:c16="http://schemas.microsoft.com/office/drawing/2014/chart" uri="{C3380CC4-5D6E-409C-BE32-E72D297353CC}">
              <c16:uniqueId val="{00000002-A65E-46E2-83BF-70C5AAE365D2}"/>
            </c:ext>
          </c:extLst>
        </c:ser>
        <c:ser>
          <c:idx val="3"/>
          <c:order val="3"/>
          <c:tx>
            <c:strRef>
              <c:f>Dashboard!$R$196</c:f>
              <c:strCache>
                <c:ptCount val="1"/>
                <c:pt idx="0">
                  <c:v> SOC net cash flow before tax, after carried interest, including share of lender cashflows </c:v>
                </c:pt>
              </c:strCache>
            </c:strRef>
          </c:tx>
          <c:spPr>
            <a:solidFill>
              <a:schemeClr val="accent4"/>
            </a:solidFill>
            <a:ln>
              <a:noFill/>
            </a:ln>
            <a:effectLst/>
          </c:spPr>
          <c:invertIfNegative val="0"/>
          <c:cat>
            <c:numRef>
              <c:f>Dashboard!$V$192:$Y$192</c:f>
              <c:numCache>
                <c:formatCode>0.0_)%_);\(0.0\)%_);"-  ";" "@" "</c:formatCode>
                <c:ptCount val="4"/>
                <c:pt idx="0">
                  <c:v>0</c:v>
                </c:pt>
                <c:pt idx="1">
                  <c:v>0.08</c:v>
                </c:pt>
                <c:pt idx="2">
                  <c:v>0.1</c:v>
                </c:pt>
                <c:pt idx="3">
                  <c:v>0.125</c:v>
                </c:pt>
              </c:numCache>
            </c:numRef>
          </c:cat>
          <c:val>
            <c:numRef>
              <c:f>Dashboard!$V$196:$Y$196</c:f>
              <c:numCache>
                <c:formatCode>#,##0_);\(#,##0\);"-  ";" "@" "</c:formatCode>
                <c:ptCount val="4"/>
                <c:pt idx="0">
                  <c:v>3982.9846625612686</c:v>
                </c:pt>
                <c:pt idx="1">
                  <c:v>1287.7447599378931</c:v>
                </c:pt>
                <c:pt idx="2">
                  <c:v>979.7664770561496</c:v>
                </c:pt>
                <c:pt idx="3">
                  <c:v>695.27813410012288</c:v>
                </c:pt>
              </c:numCache>
            </c:numRef>
          </c:val>
          <c:extLst>
            <c:ext xmlns:c16="http://schemas.microsoft.com/office/drawing/2014/chart" uri="{C3380CC4-5D6E-409C-BE32-E72D297353CC}">
              <c16:uniqueId val="{00000003-A65E-46E2-83BF-70C5AAE365D2}"/>
            </c:ext>
          </c:extLst>
        </c:ser>
        <c:ser>
          <c:idx val="7"/>
          <c:order val="7"/>
          <c:tx>
            <c:strRef>
              <c:f>Dashboard!$R$200</c:f>
              <c:strCache>
                <c:ptCount val="1"/>
                <c:pt idx="0">
                  <c:v> Investors (IOC + Lender) </c:v>
                </c:pt>
              </c:strCache>
            </c:strRef>
          </c:tx>
          <c:spPr>
            <a:solidFill>
              <a:schemeClr val="accent2">
                <a:lumMod val="60000"/>
              </a:schemeClr>
            </a:solidFill>
            <a:ln>
              <a:noFill/>
            </a:ln>
            <a:effectLst/>
          </c:spPr>
          <c:invertIfNegative val="0"/>
          <c:cat>
            <c:numRef>
              <c:f>Dashboard!$V$192:$Y$192</c:f>
              <c:numCache>
                <c:formatCode>0.0_)%_);\(0.0\)%_);"-  ";" "@" "</c:formatCode>
                <c:ptCount val="4"/>
                <c:pt idx="0">
                  <c:v>0</c:v>
                </c:pt>
                <c:pt idx="1">
                  <c:v>0.08</c:v>
                </c:pt>
                <c:pt idx="2">
                  <c:v>0.1</c:v>
                </c:pt>
                <c:pt idx="3">
                  <c:v>0.125</c:v>
                </c:pt>
              </c:numCache>
            </c:numRef>
          </c:cat>
          <c:val>
            <c:numRef>
              <c:f>Dashboard!$V$200:$Y$200</c:f>
              <c:numCache>
                <c:formatCode>#,##0_);\(#,##0\);"-  ";" "@" "</c:formatCode>
                <c:ptCount val="4"/>
                <c:pt idx="0">
                  <c:v>9227.534966660296</c:v>
                </c:pt>
                <c:pt idx="1">
                  <c:v>2360.7774588919497</c:v>
                </c:pt>
                <c:pt idx="2">
                  <c:v>1578.193317766121</c:v>
                </c:pt>
                <c:pt idx="3">
                  <c:v>857.84607853012085</c:v>
                </c:pt>
              </c:numCache>
            </c:numRef>
          </c:val>
          <c:extLst>
            <c:ext xmlns:c16="http://schemas.microsoft.com/office/drawing/2014/chart" uri="{C3380CC4-5D6E-409C-BE32-E72D297353CC}">
              <c16:uniqueId val="{00000007-A65E-46E2-83BF-70C5AAE365D2}"/>
            </c:ext>
          </c:extLst>
        </c:ser>
        <c:dLbls>
          <c:showLegendKey val="0"/>
          <c:showVal val="0"/>
          <c:showCatName val="0"/>
          <c:showSerName val="0"/>
          <c:showPercent val="0"/>
          <c:showBubbleSize val="0"/>
        </c:dLbls>
        <c:gapWidth val="150"/>
        <c:overlap val="100"/>
        <c:axId val="127813040"/>
        <c:axId val="256447488"/>
        <c:extLst>
          <c:ext xmlns:c15="http://schemas.microsoft.com/office/drawing/2012/chart" uri="{02D57815-91ED-43cb-92C2-25804820EDAC}">
            <c15:filteredBarSeries>
              <c15:ser>
                <c:idx val="1"/>
                <c:order val="1"/>
                <c:tx>
                  <c:strRef>
                    <c:extLst>
                      <c:ext uri="{02D57815-91ED-43cb-92C2-25804820EDAC}">
                        <c15:formulaRef>
                          <c15:sqref>Dashboard!$R$194</c15:sqref>
                        </c15:formulaRef>
                      </c:ext>
                    </c:extLst>
                    <c:strCache>
                      <c:ptCount val="1"/>
                      <c:pt idx="0">
                        <c:v> Net decommissioning cashflows </c:v>
                      </c:pt>
                    </c:strCache>
                  </c:strRef>
                </c:tx>
                <c:spPr>
                  <a:solidFill>
                    <a:schemeClr val="accent2"/>
                  </a:solidFill>
                  <a:ln>
                    <a:noFill/>
                  </a:ln>
                  <a:effectLst/>
                </c:spPr>
                <c:invertIfNegative val="0"/>
                <c:cat>
                  <c:numRef>
                    <c:extLst>
                      <c:ext uri="{02D57815-91ED-43cb-92C2-25804820EDAC}">
                        <c15:formulaRef>
                          <c15:sqref>Dashboard!$V$192:$Y$192</c15:sqref>
                        </c15:formulaRef>
                      </c:ext>
                    </c:extLst>
                    <c:numCache>
                      <c:formatCode>0.0_)%_);\(0.0\)%_);"-  ";" "@" "</c:formatCode>
                      <c:ptCount val="4"/>
                      <c:pt idx="0">
                        <c:v>0</c:v>
                      </c:pt>
                      <c:pt idx="1">
                        <c:v>0.08</c:v>
                      </c:pt>
                      <c:pt idx="2">
                        <c:v>0.1</c:v>
                      </c:pt>
                      <c:pt idx="3">
                        <c:v>0.125</c:v>
                      </c:pt>
                    </c:numCache>
                  </c:numRef>
                </c:cat>
                <c:val>
                  <c:numRef>
                    <c:extLst>
                      <c:ext uri="{02D57815-91ED-43cb-92C2-25804820EDAC}">
                        <c15:formulaRef>
                          <c15:sqref>Dashboard!$V$194:$Y$194</c15:sqref>
                        </c15:formulaRef>
                      </c:ext>
                    </c:extLst>
                    <c:numCache>
                      <c:formatCode>#,##0_);\(#,##0\);"-  ";" "@" "</c:formatCode>
                      <c:ptCount val="4"/>
                      <c:pt idx="0">
                        <c:v>-15.100000000000165</c:v>
                      </c:pt>
                      <c:pt idx="1">
                        <c:v>-102.22508741458664</c:v>
                      </c:pt>
                      <c:pt idx="2">
                        <c:v>-84.369425527608698</c:v>
                      </c:pt>
                      <c:pt idx="3">
                        <c:v>-64.241399581716038</c:v>
                      </c:pt>
                    </c:numCache>
                  </c:numRef>
                </c:val>
                <c:extLst>
                  <c:ext xmlns:c16="http://schemas.microsoft.com/office/drawing/2014/chart" uri="{C3380CC4-5D6E-409C-BE32-E72D297353CC}">
                    <c16:uniqueId val="{00000001-A65E-46E2-83BF-70C5AAE365D2}"/>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Dashboard!$R$197</c15:sqref>
                        </c15:formulaRef>
                      </c:ext>
                    </c:extLst>
                    <c:strCache>
                      <c:ptCount val="1"/>
                      <c:pt idx="0">
                        <c:v> Government revenues including participation </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Dashboard!$V$192:$Y$192</c15:sqref>
                        </c15:formulaRef>
                      </c:ext>
                    </c:extLst>
                    <c:numCache>
                      <c:formatCode>0.0_)%_);\(0.0\)%_);"-  ";" "@" "</c:formatCode>
                      <c:ptCount val="4"/>
                      <c:pt idx="0">
                        <c:v>0</c:v>
                      </c:pt>
                      <c:pt idx="1">
                        <c:v>0.08</c:v>
                      </c:pt>
                      <c:pt idx="2">
                        <c:v>0.1</c:v>
                      </c:pt>
                      <c:pt idx="3">
                        <c:v>0.125</c:v>
                      </c:pt>
                    </c:numCache>
                  </c:numRef>
                </c:cat>
                <c:val>
                  <c:numRef>
                    <c:extLst xmlns:c15="http://schemas.microsoft.com/office/drawing/2012/chart">
                      <c:ext xmlns:c15="http://schemas.microsoft.com/office/drawing/2012/chart" uri="{02D57815-91ED-43cb-92C2-25804820EDAC}">
                        <c15:formulaRef>
                          <c15:sqref>Dashboard!$V$197:$Y$197</c15:sqref>
                        </c15:formulaRef>
                      </c:ext>
                    </c:extLst>
                    <c:numCache>
                      <c:formatCode>#,##0_);\(#,##0\);"-  ";" "@" "</c:formatCode>
                      <c:ptCount val="4"/>
                      <c:pt idx="0">
                        <c:v>20039.388896564244</c:v>
                      </c:pt>
                      <c:pt idx="1">
                        <c:v>7530.7769293395004</c:v>
                      </c:pt>
                      <c:pt idx="2">
                        <c:v>6055.575985440255</c:v>
                      </c:pt>
                      <c:pt idx="3">
                        <c:v>4668.0398103812604</c:v>
                      </c:pt>
                    </c:numCache>
                  </c:numRef>
                </c:val>
                <c:extLst xmlns:c15="http://schemas.microsoft.com/office/drawing/2012/chart">
                  <c:ext xmlns:c16="http://schemas.microsoft.com/office/drawing/2014/chart" uri="{C3380CC4-5D6E-409C-BE32-E72D297353CC}">
                    <c16:uniqueId val="{00000004-A65E-46E2-83BF-70C5AAE365D2}"/>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Dashboard!$R$198</c15:sqref>
                        </c15:formulaRef>
                      </c:ext>
                    </c:extLst>
                    <c:strCache>
                      <c:ptCount val="1"/>
                      <c:pt idx="0">
                        <c:v> Net cashflow after fiscal regime: IOC </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Dashboard!$V$192:$Y$192</c15:sqref>
                        </c15:formulaRef>
                      </c:ext>
                    </c:extLst>
                    <c:numCache>
                      <c:formatCode>0.0_)%_);\(0.0\)%_);"-  ";" "@" "</c:formatCode>
                      <c:ptCount val="4"/>
                      <c:pt idx="0">
                        <c:v>0</c:v>
                      </c:pt>
                      <c:pt idx="1">
                        <c:v>0.08</c:v>
                      </c:pt>
                      <c:pt idx="2">
                        <c:v>0.1</c:v>
                      </c:pt>
                      <c:pt idx="3">
                        <c:v>0.125</c:v>
                      </c:pt>
                    </c:numCache>
                  </c:numRef>
                </c:cat>
                <c:val>
                  <c:numRef>
                    <c:extLst xmlns:c15="http://schemas.microsoft.com/office/drawing/2012/chart">
                      <c:ext xmlns:c15="http://schemas.microsoft.com/office/drawing/2012/chart" uri="{02D57815-91ED-43cb-92C2-25804820EDAC}">
                        <c15:formulaRef>
                          <c15:sqref>Dashboard!$V$198:$Y$198</c15:sqref>
                        </c15:formulaRef>
                      </c:ext>
                    </c:extLst>
                    <c:numCache>
                      <c:formatCode>#,##0_);\(#,##0\);"-  ";" "@" "</c:formatCode>
                      <c:ptCount val="4"/>
                      <c:pt idx="0">
                        <c:v>8704.1330285901367</c:v>
                      </c:pt>
                      <c:pt idx="1">
                        <c:v>2826.9198732996342</c:v>
                      </c:pt>
                      <c:pt idx="2">
                        <c:v>2146.8396776807972</c:v>
                      </c:pt>
                      <c:pt idx="3">
                        <c:v>1511.1352847986298</c:v>
                      </c:pt>
                    </c:numCache>
                  </c:numRef>
                </c:val>
                <c:extLst xmlns:c15="http://schemas.microsoft.com/office/drawing/2012/chart">
                  <c:ext xmlns:c16="http://schemas.microsoft.com/office/drawing/2014/chart" uri="{C3380CC4-5D6E-409C-BE32-E72D297353CC}">
                    <c16:uniqueId val="{00000005-A65E-46E2-83BF-70C5AAE365D2}"/>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Dashboard!$R$199</c15:sqref>
                        </c15:formulaRef>
                      </c:ext>
                    </c:extLst>
                    <c:strCache>
                      <c:ptCount val="1"/>
                      <c:pt idx="0">
                        <c:v> Lender cashflows after interest withholding tax: IOC parent </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Dashboard!$V$192:$Y$192</c15:sqref>
                        </c15:formulaRef>
                      </c:ext>
                    </c:extLst>
                    <c:numCache>
                      <c:formatCode>0.0_)%_);\(0.0\)%_);"-  ";" "@" "</c:formatCode>
                      <c:ptCount val="4"/>
                      <c:pt idx="0">
                        <c:v>0</c:v>
                      </c:pt>
                      <c:pt idx="1">
                        <c:v>0.08</c:v>
                      </c:pt>
                      <c:pt idx="2">
                        <c:v>0.1</c:v>
                      </c:pt>
                      <c:pt idx="3">
                        <c:v>0.125</c:v>
                      </c:pt>
                    </c:numCache>
                  </c:numRef>
                </c:cat>
                <c:val>
                  <c:numRef>
                    <c:extLst xmlns:c15="http://schemas.microsoft.com/office/drawing/2012/chart">
                      <c:ext xmlns:c15="http://schemas.microsoft.com/office/drawing/2012/chart" uri="{02D57815-91ED-43cb-92C2-25804820EDAC}">
                        <c15:formulaRef>
                          <c15:sqref>Dashboard!$V$199:$Y$199</c15:sqref>
                        </c15:formulaRef>
                      </c:ext>
                    </c:extLst>
                    <c:numCache>
                      <c:formatCode>#,##0_);\(#,##0\);"-  ";" "@" "</c:formatCode>
                      <c:ptCount val="4"/>
                      <c:pt idx="0">
                        <c:v>523.4019380701593</c:v>
                      </c:pt>
                      <c:pt idx="1">
                        <c:v>-466.14241440768484</c:v>
                      </c:pt>
                      <c:pt idx="2">
                        <c:v>-568.64635991467514</c:v>
                      </c:pt>
                      <c:pt idx="3">
                        <c:v>-653.289206268508</c:v>
                      </c:pt>
                    </c:numCache>
                  </c:numRef>
                </c:val>
                <c:extLst xmlns:c15="http://schemas.microsoft.com/office/drawing/2012/chart">
                  <c:ext xmlns:c16="http://schemas.microsoft.com/office/drawing/2014/chart" uri="{C3380CC4-5D6E-409C-BE32-E72D297353CC}">
                    <c16:uniqueId val="{00000006-A65E-46E2-83BF-70C5AAE365D2}"/>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Dashboard!$R$201</c15:sqref>
                        </c15:formulaRef>
                      </c:ext>
                    </c:extLst>
                    <c:strCache>
                      <c:ptCount val="1"/>
                      <c:pt idx="0">
                        <c:v> Project benefits </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Dashboard!$V$192:$Y$192</c15:sqref>
                        </c15:formulaRef>
                      </c:ext>
                    </c:extLst>
                    <c:numCache>
                      <c:formatCode>0.0_)%_);\(0.0\)%_);"-  ";" "@" "</c:formatCode>
                      <c:ptCount val="4"/>
                      <c:pt idx="0">
                        <c:v>0</c:v>
                      </c:pt>
                      <c:pt idx="1">
                        <c:v>0.08</c:v>
                      </c:pt>
                      <c:pt idx="2">
                        <c:v>0.1</c:v>
                      </c:pt>
                      <c:pt idx="3">
                        <c:v>0.125</c:v>
                      </c:pt>
                    </c:numCache>
                  </c:numRef>
                </c:cat>
                <c:val>
                  <c:numRef>
                    <c:extLst xmlns:c15="http://schemas.microsoft.com/office/drawing/2012/chart">
                      <c:ext xmlns:c15="http://schemas.microsoft.com/office/drawing/2012/chart" uri="{02D57815-91ED-43cb-92C2-25804820EDAC}">
                        <c15:formulaRef>
                          <c15:sqref>Dashboard!$V$201:$Y$201</c15:sqref>
                        </c15:formulaRef>
                      </c:ext>
                    </c:extLst>
                    <c:numCache>
                      <c:formatCode>#,##0_);\(#,##0\);"-  ";" "@" "</c:formatCode>
                      <c:ptCount val="4"/>
                      <c:pt idx="0">
                        <c:v>38752.023863224538</c:v>
                      </c:pt>
                      <c:pt idx="1">
                        <c:v>15937.395740169173</c:v>
                      </c:pt>
                      <c:pt idx="2">
                        <c:v>13109.751100564759</c:v>
                      </c:pt>
                      <c:pt idx="3">
                        <c:v>10402.243871728169</c:v>
                      </c:pt>
                    </c:numCache>
                  </c:numRef>
                </c:val>
                <c:extLst xmlns:c15="http://schemas.microsoft.com/office/drawing/2012/chart">
                  <c:ext xmlns:c16="http://schemas.microsoft.com/office/drawing/2014/chart" uri="{C3380CC4-5D6E-409C-BE32-E72D297353CC}">
                    <c16:uniqueId val="{00000008-A65E-46E2-83BF-70C5AAE365D2}"/>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Dashboard!$R$202</c15:sqref>
                        </c15:formulaRef>
                      </c:ext>
                    </c:extLst>
                    <c:strCache>
                      <c:ptCount val="1"/>
                      <c:pt idx="0">
                        <c:v> -------------- </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Dashboard!$V$192:$Y$192</c15:sqref>
                        </c15:formulaRef>
                      </c:ext>
                    </c:extLst>
                    <c:numCache>
                      <c:formatCode>0.0_)%_);\(0.0\)%_);"-  ";" "@" "</c:formatCode>
                      <c:ptCount val="4"/>
                      <c:pt idx="0">
                        <c:v>0</c:v>
                      </c:pt>
                      <c:pt idx="1">
                        <c:v>0.08</c:v>
                      </c:pt>
                      <c:pt idx="2">
                        <c:v>0.1</c:v>
                      </c:pt>
                      <c:pt idx="3">
                        <c:v>0.125</c:v>
                      </c:pt>
                    </c:numCache>
                  </c:numRef>
                </c:cat>
                <c:val>
                  <c:numRef>
                    <c:extLst xmlns:c15="http://schemas.microsoft.com/office/drawing/2012/chart">
                      <c:ext xmlns:c15="http://schemas.microsoft.com/office/drawing/2012/chart" uri="{02D57815-91ED-43cb-92C2-25804820EDAC}">
                        <c15:formulaRef>
                          <c15:sqref>Dashboard!$V$202:$Y$202</c15:sqref>
                        </c15:formulaRef>
                      </c:ext>
                    </c:extLst>
                    <c:numCache>
                      <c:formatCode>#,##0_);\(#,##0\);"-  ";" "@" "</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9-A65E-46E2-83BF-70C5AAE365D2}"/>
                  </c:ext>
                </c:extLst>
              </c15:ser>
            </c15:filteredBarSeries>
          </c:ext>
        </c:extLst>
      </c:barChart>
      <c:lineChart>
        <c:grouping val="standard"/>
        <c:varyColors val="0"/>
        <c:ser>
          <c:idx val="0"/>
          <c:order val="0"/>
          <c:tx>
            <c:strRef>
              <c:f>Dashboard!$R$193</c:f>
              <c:strCache>
                <c:ptCount val="1"/>
                <c:pt idx="0">
                  <c:v> Cashflow before decommissioning fund </c:v>
                </c:pt>
              </c:strCache>
            </c:strRef>
          </c:tx>
          <c:spPr>
            <a:ln w="28575" cap="rnd">
              <a:no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Dashboard!$V$192:$Y$192</c:f>
              <c:numCache>
                <c:formatCode>0.0_)%_);\(0.0\)%_);"-  ";" "@" "</c:formatCode>
                <c:ptCount val="4"/>
                <c:pt idx="0">
                  <c:v>0</c:v>
                </c:pt>
                <c:pt idx="1">
                  <c:v>0.08</c:v>
                </c:pt>
                <c:pt idx="2">
                  <c:v>0.1</c:v>
                </c:pt>
                <c:pt idx="3">
                  <c:v>0.125</c:v>
                </c:pt>
              </c:numCache>
            </c:numRef>
          </c:cat>
          <c:val>
            <c:numRef>
              <c:f>Dashboard!$V$193:$Y$193</c:f>
              <c:numCache>
                <c:formatCode>#,##0_);\(#,##0\);"-  ";" "@" "</c:formatCode>
                <c:ptCount val="4"/>
                <c:pt idx="0">
                  <c:v>29282.023863224542</c:v>
                </c:pt>
                <c:pt idx="1">
                  <c:v>9993.7794756460353</c:v>
                </c:pt>
                <c:pt idx="2">
                  <c:v>7718.1387287339867</c:v>
                </c:pt>
                <c:pt idx="3">
                  <c:v>5590.1272884930977</c:v>
                </c:pt>
              </c:numCache>
            </c:numRef>
          </c:val>
          <c:smooth val="0"/>
          <c:extLst>
            <c:ext xmlns:c16="http://schemas.microsoft.com/office/drawing/2014/chart" uri="{C3380CC4-5D6E-409C-BE32-E72D297353CC}">
              <c16:uniqueId val="{00000000-A65E-46E2-83BF-70C5AAE365D2}"/>
            </c:ext>
          </c:extLst>
        </c:ser>
        <c:dLbls>
          <c:showLegendKey val="0"/>
          <c:showVal val="0"/>
          <c:showCatName val="0"/>
          <c:showSerName val="0"/>
          <c:showPercent val="0"/>
          <c:showBubbleSize val="0"/>
        </c:dLbls>
        <c:marker val="1"/>
        <c:smooth val="0"/>
        <c:axId val="127813040"/>
        <c:axId val="256447488"/>
      </c:lineChart>
      <c:lineChart>
        <c:grouping val="standard"/>
        <c:varyColors val="0"/>
        <c:ser>
          <c:idx val="10"/>
          <c:order val="10"/>
          <c:tx>
            <c:strRef>
              <c:f>Dashboard!$R$203</c:f>
              <c:strCache>
                <c:ptCount val="1"/>
                <c:pt idx="0">
                  <c:v> Average effective tax rate (incl. participation) </c:v>
                </c:pt>
              </c:strCache>
            </c:strRef>
          </c:tx>
          <c:spPr>
            <a:ln w="28575" cap="rnd">
              <a:solidFill>
                <a:schemeClr val="accent5">
                  <a:lumMod val="60000"/>
                </a:schemeClr>
              </a:solidFill>
              <a:prstDash val="dash"/>
              <a:round/>
            </a:ln>
            <a:effectLst/>
          </c:spPr>
          <c:marker>
            <c:symbol val="none"/>
          </c:marker>
          <c:cat>
            <c:numRef>
              <c:f>Dashboard!$V$192:$Y$192</c:f>
              <c:numCache>
                <c:formatCode>0.0_)%_);\(0.0\)%_);"-  ";" "@" "</c:formatCode>
                <c:ptCount val="4"/>
                <c:pt idx="0">
                  <c:v>0</c:v>
                </c:pt>
                <c:pt idx="1">
                  <c:v>0.08</c:v>
                </c:pt>
                <c:pt idx="2">
                  <c:v>0.1</c:v>
                </c:pt>
                <c:pt idx="3">
                  <c:v>0.125</c:v>
                </c:pt>
              </c:numCache>
            </c:numRef>
          </c:cat>
          <c:val>
            <c:numRef>
              <c:f>Dashboard!$V$203:$Y$203</c:f>
              <c:numCache>
                <c:formatCode>0%_);\-0%_);"-  ";" "@" "</c:formatCode>
                <c:ptCount val="4"/>
                <c:pt idx="0">
                  <c:v>0.68435805496804558</c:v>
                </c:pt>
                <c:pt idx="1">
                  <c:v>0.75354643833109825</c:v>
                </c:pt>
                <c:pt idx="2">
                  <c:v>0.78459019697273003</c:v>
                </c:pt>
                <c:pt idx="3">
                  <c:v>0.83505071878955373</c:v>
                </c:pt>
              </c:numCache>
            </c:numRef>
          </c:val>
          <c:smooth val="0"/>
          <c:extLst>
            <c:ext xmlns:c16="http://schemas.microsoft.com/office/drawing/2014/chart" uri="{C3380CC4-5D6E-409C-BE32-E72D297353CC}">
              <c16:uniqueId val="{0000000A-A65E-46E2-83BF-70C5AAE365D2}"/>
            </c:ext>
          </c:extLst>
        </c:ser>
        <c:ser>
          <c:idx val="11"/>
          <c:order val="11"/>
          <c:tx>
            <c:strRef>
              <c:f>Dashboard!$R$204</c:f>
              <c:strCache>
                <c:ptCount val="1"/>
                <c:pt idx="0">
                  <c:v> Average effective tax rate (excl. participation) </c:v>
                </c:pt>
              </c:strCache>
            </c:strRef>
          </c:tx>
          <c:spPr>
            <a:ln w="28575" cap="rnd">
              <a:solidFill>
                <a:schemeClr val="accent6">
                  <a:lumMod val="60000"/>
                </a:schemeClr>
              </a:solidFill>
              <a:prstDash val="dash"/>
              <a:round/>
            </a:ln>
            <a:effectLst/>
          </c:spPr>
          <c:marker>
            <c:symbol val="none"/>
          </c:marker>
          <c:cat>
            <c:numRef>
              <c:f>Dashboard!$V$192:$Y$192</c:f>
              <c:numCache>
                <c:formatCode>0.0_)%_);\(0.0\)%_);"-  ";" "@" "</c:formatCode>
                <c:ptCount val="4"/>
                <c:pt idx="0">
                  <c:v>0</c:v>
                </c:pt>
                <c:pt idx="1">
                  <c:v>0.08</c:v>
                </c:pt>
                <c:pt idx="2">
                  <c:v>0.1</c:v>
                </c:pt>
                <c:pt idx="3">
                  <c:v>0.125</c:v>
                </c:pt>
              </c:numCache>
            </c:numRef>
          </c:cat>
          <c:val>
            <c:numRef>
              <c:f>Dashboard!$V$204:$Y$204</c:f>
              <c:numCache>
                <c:formatCode>0%_);\-0%_);"-  ";" "@" "</c:formatCode>
                <c:ptCount val="4"/>
                <c:pt idx="0">
                  <c:v>0.54833655996600361</c:v>
                </c:pt>
                <c:pt idx="1">
                  <c:v>0.62469180800069979</c:v>
                </c:pt>
                <c:pt idx="2">
                  <c:v>0.6576468351737822</c:v>
                </c:pt>
                <c:pt idx="3">
                  <c:v>0.71067463606039893</c:v>
                </c:pt>
              </c:numCache>
            </c:numRef>
          </c:val>
          <c:smooth val="0"/>
          <c:extLst>
            <c:ext xmlns:c16="http://schemas.microsoft.com/office/drawing/2014/chart" uri="{C3380CC4-5D6E-409C-BE32-E72D297353CC}">
              <c16:uniqueId val="{0000000B-A65E-46E2-83BF-70C5AAE365D2}"/>
            </c:ext>
          </c:extLst>
        </c:ser>
        <c:ser>
          <c:idx val="12"/>
          <c:order val="12"/>
          <c:tx>
            <c:strRef>
              <c:f>Dashboard!$R$205</c:f>
              <c:strCache>
                <c:ptCount val="1"/>
                <c:pt idx="0">
                  <c:v> Government share of project benefits </c:v>
                </c:pt>
              </c:strCache>
            </c:strRef>
          </c:tx>
          <c:spPr>
            <a:ln w="28575" cap="rnd">
              <a:solidFill>
                <a:schemeClr val="accent1">
                  <a:lumMod val="80000"/>
                  <a:lumOff val="20000"/>
                </a:schemeClr>
              </a:solidFill>
              <a:prstDash val="dash"/>
              <a:round/>
            </a:ln>
            <a:effectLst/>
          </c:spPr>
          <c:marker>
            <c:symbol val="none"/>
          </c:marker>
          <c:cat>
            <c:numRef>
              <c:f>Dashboard!$V$192:$Y$192</c:f>
              <c:numCache>
                <c:formatCode>0.0_)%_);\(0.0\)%_);"-  ";" "@" "</c:formatCode>
                <c:ptCount val="4"/>
                <c:pt idx="0">
                  <c:v>0</c:v>
                </c:pt>
                <c:pt idx="1">
                  <c:v>0.08</c:v>
                </c:pt>
                <c:pt idx="2">
                  <c:v>0.1</c:v>
                </c:pt>
                <c:pt idx="3">
                  <c:v>0.125</c:v>
                </c:pt>
              </c:numCache>
            </c:numRef>
          </c:cat>
          <c:val>
            <c:numRef>
              <c:f>Dashboard!$V$205:$Y$205</c:f>
              <c:numCache>
                <c:formatCode>0%_);\-0%_);"-  ";" "@" "</c:formatCode>
                <c:ptCount val="4"/>
                <c:pt idx="0">
                  <c:v>0.51711851146906207</c:v>
                </c:pt>
                <c:pt idx="1">
                  <c:v>0.47252242788692667</c:v>
                </c:pt>
                <c:pt idx="2">
                  <c:v>0.46191387914141135</c:v>
                </c:pt>
                <c:pt idx="3">
                  <c:v>0.44875316017809713</c:v>
                </c:pt>
              </c:numCache>
            </c:numRef>
          </c:val>
          <c:smooth val="0"/>
          <c:extLst>
            <c:ext xmlns:c16="http://schemas.microsoft.com/office/drawing/2014/chart" uri="{C3380CC4-5D6E-409C-BE32-E72D297353CC}">
              <c16:uniqueId val="{0000000C-A65E-46E2-83BF-70C5AAE365D2}"/>
            </c:ext>
          </c:extLst>
        </c:ser>
        <c:dLbls>
          <c:showLegendKey val="0"/>
          <c:showVal val="0"/>
          <c:showCatName val="0"/>
          <c:showSerName val="0"/>
          <c:showPercent val="0"/>
          <c:showBubbleSize val="0"/>
        </c:dLbls>
        <c:marker val="1"/>
        <c:smooth val="0"/>
        <c:axId val="785092848"/>
        <c:axId val="256448736"/>
      </c:lineChart>
      <c:catAx>
        <c:axId val="127813040"/>
        <c:scaling>
          <c:orientation val="minMax"/>
        </c:scaling>
        <c:delete val="0"/>
        <c:axPos val="b"/>
        <c:title>
          <c:tx>
            <c:strRef>
              <c:f>Dashboard!$B$195</c:f>
              <c:strCache>
                <c:ptCount val="1"/>
                <c:pt idx="0">
                  <c:v> Discount rate </c:v>
                </c:pt>
              </c:strCache>
            </c:strRef>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0.0_)%_);\(0.0\)%_);&quot;-  &quot;;&quot; &quot;@&quot; &quot;"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256447488"/>
        <c:crosses val="autoZero"/>
        <c:auto val="1"/>
        <c:lblAlgn val="ctr"/>
        <c:lblOffset val="100"/>
        <c:noMultiLvlLbl val="0"/>
      </c:catAx>
      <c:valAx>
        <c:axId val="256447488"/>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Dashboard!$B$193</c:f>
              <c:strCache>
                <c:ptCount val="1"/>
                <c:pt idx="0">
                  <c:v> US$ mn 2021 </c:v>
                </c:pt>
              </c:strCache>
            </c:strRef>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127813040"/>
        <c:crosses val="autoZero"/>
        <c:crossBetween val="between"/>
      </c:valAx>
      <c:valAx>
        <c:axId val="256448736"/>
        <c:scaling>
          <c:orientation val="minMax"/>
        </c:scaling>
        <c:delete val="0"/>
        <c:axPos val="r"/>
        <c:title>
          <c:tx>
            <c:strRef>
              <c:f>Dashboard!$B$194</c:f>
              <c:strCache>
                <c:ptCount val="1"/>
                <c:pt idx="0">
                  <c:v> % real </c:v>
                </c:pt>
              </c:strCache>
            </c:strRef>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0%_);\-0%_);&quot;-  &quot;;&quot; &quot;@&quot; &quot;"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785092848"/>
        <c:crosses val="max"/>
        <c:crossBetween val="between"/>
      </c:valAx>
      <c:catAx>
        <c:axId val="785092848"/>
        <c:scaling>
          <c:orientation val="minMax"/>
        </c:scaling>
        <c:delete val="1"/>
        <c:axPos val="b"/>
        <c:numFmt formatCode="0.0_)%_);\(0.0\)%_);&quot;-  &quot;;&quot; &quot;@&quot; &quot;" sourceLinked="1"/>
        <c:majorTickMark val="out"/>
        <c:minorTickMark val="none"/>
        <c:tickLblPos val="nextTo"/>
        <c:crossAx val="256448736"/>
        <c:crosses val="autoZero"/>
        <c:auto val="1"/>
        <c:lblAlgn val="ctr"/>
        <c:lblOffset val="100"/>
        <c:noMultiLvlLbl val="0"/>
      </c:catAx>
      <c:spPr>
        <a:noFill/>
        <a:ln>
          <a:noFill/>
          <a:prstDash val="dash"/>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solidFill>
            <a:schemeClr val="tx1"/>
          </a:solidFill>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Charts!$A$4</c:f>
          <c:strCache>
            <c:ptCount val="1"/>
            <c:pt idx="0">
              <c:v> Government revenues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strRef>
              <c:f>Charts!$E$26</c:f>
              <c:strCache>
                <c:ptCount val="1"/>
                <c:pt idx="0">
                  <c:v> Bonuses </c:v>
                </c:pt>
              </c:strCache>
            </c:strRef>
          </c:tx>
          <c:spPr>
            <a:solidFill>
              <a:schemeClr val="accent3"/>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Charts!$K$26:$AX$26</c:f>
              <c:numCache>
                <c:formatCode>#,##0_);\(#,##0\);"-  ";" "@" "</c:formatCode>
                <c:ptCount val="40"/>
                <c:pt idx="0">
                  <c:v>10</c:v>
                </c:pt>
                <c:pt idx="1">
                  <c:v>0</c:v>
                </c:pt>
                <c:pt idx="2">
                  <c:v>0</c:v>
                </c:pt>
                <c:pt idx="3">
                  <c:v>0</c:v>
                </c:pt>
                <c:pt idx="4">
                  <c:v>46.192271301325711</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0FEB-403B-94BE-D3769819A8DA}"/>
            </c:ext>
          </c:extLst>
        </c:ser>
        <c:ser>
          <c:idx val="8"/>
          <c:order val="1"/>
          <c:tx>
            <c:strRef>
              <c:f>Charts!$E$27</c:f>
              <c:strCache>
                <c:ptCount val="1"/>
                <c:pt idx="0">
                  <c:v> Royalty </c:v>
                </c:pt>
              </c:strCache>
            </c:strRef>
          </c:tx>
          <c:spPr>
            <a:solidFill>
              <a:srgbClr val="0070C0"/>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Charts!$K$27:$AX$27</c:f>
              <c:numCache>
                <c:formatCode>#,##0_);\(#,##0\);"-  ";" "@" "</c:formatCode>
                <c:ptCount val="40"/>
                <c:pt idx="0">
                  <c:v>0</c:v>
                </c:pt>
                <c:pt idx="1">
                  <c:v>0</c:v>
                </c:pt>
                <c:pt idx="2">
                  <c:v>0</c:v>
                </c:pt>
                <c:pt idx="3">
                  <c:v>0</c:v>
                </c:pt>
                <c:pt idx="4">
                  <c:v>38.33167163286209</c:v>
                </c:pt>
                <c:pt idx="5">
                  <c:v>301.125</c:v>
                </c:pt>
                <c:pt idx="6">
                  <c:v>602.25000000000011</c:v>
                </c:pt>
                <c:pt idx="7">
                  <c:v>602.25000000000011</c:v>
                </c:pt>
                <c:pt idx="8">
                  <c:v>602.25000000000011</c:v>
                </c:pt>
                <c:pt idx="9">
                  <c:v>602.25</c:v>
                </c:pt>
                <c:pt idx="10">
                  <c:v>602.25</c:v>
                </c:pt>
                <c:pt idx="11">
                  <c:v>602.25</c:v>
                </c:pt>
                <c:pt idx="12">
                  <c:v>602.25000000000011</c:v>
                </c:pt>
                <c:pt idx="13">
                  <c:v>602.25</c:v>
                </c:pt>
                <c:pt idx="14">
                  <c:v>602.25</c:v>
                </c:pt>
                <c:pt idx="15">
                  <c:v>602.25</c:v>
                </c:pt>
                <c:pt idx="16">
                  <c:v>487.8225000000001</c:v>
                </c:pt>
                <c:pt idx="17">
                  <c:v>395.13622500000014</c:v>
                </c:pt>
                <c:pt idx="18">
                  <c:v>320.06034225000013</c:v>
                </c:pt>
                <c:pt idx="19">
                  <c:v>259.24887722250014</c:v>
                </c:pt>
                <c:pt idx="20">
                  <c:v>209.99159055022511</c:v>
                </c:pt>
                <c:pt idx="21">
                  <c:v>170.09318834568236</c:v>
                </c:pt>
                <c:pt idx="22">
                  <c:v>137.77548256000273</c:v>
                </c:pt>
                <c:pt idx="23">
                  <c:v>111.5981408736022</c:v>
                </c:pt>
                <c:pt idx="24">
                  <c:v>90.394494107617803</c:v>
                </c:pt>
                <c:pt idx="25">
                  <c:v>73.219540227170413</c:v>
                </c:pt>
                <c:pt idx="26">
                  <c:v>59.307827584008052</c:v>
                </c:pt>
                <c:pt idx="27">
                  <c:v>48.039340343046504</c:v>
                </c:pt>
                <c:pt idx="28">
                  <c:v>38.911865677867674</c:v>
                </c:pt>
                <c:pt idx="29">
                  <c:v>31.518611199072819</c:v>
                </c:pt>
                <c:pt idx="30">
                  <c:v>25.530075071248987</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1FA1-449A-850B-16FB03D7F5B2}"/>
            </c:ext>
          </c:extLst>
        </c:ser>
        <c:ser>
          <c:idx val="2"/>
          <c:order val="2"/>
          <c:tx>
            <c:strRef>
              <c:f>Charts!$E$28</c:f>
              <c:strCache>
                <c:ptCount val="1"/>
                <c:pt idx="0">
                  <c:v> Carbon tax </c:v>
                </c:pt>
              </c:strCache>
            </c:strRef>
          </c:tx>
          <c:spPr>
            <a:solidFill>
              <a:schemeClr val="tx1"/>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Charts!$K$28:$AX$28</c:f>
              <c:numCache>
                <c:formatCode>#,##0_);\(#,##0\);"-  ";" "@" "</c:formatCode>
                <c:ptCount val="40"/>
                <c:pt idx="0">
                  <c:v>0</c:v>
                </c:pt>
                <c:pt idx="1">
                  <c:v>0</c:v>
                </c:pt>
                <c:pt idx="2">
                  <c:v>0</c:v>
                </c:pt>
                <c:pt idx="3">
                  <c:v>0</c:v>
                </c:pt>
                <c:pt idx="4">
                  <c:v>4.0586633464553898</c:v>
                </c:pt>
                <c:pt idx="5">
                  <c:v>31.258771912320125</c:v>
                </c:pt>
                <c:pt idx="6">
                  <c:v>61.291709632000241</c:v>
                </c:pt>
                <c:pt idx="7">
                  <c:v>60.089911403921803</c:v>
                </c:pt>
                <c:pt idx="8">
                  <c:v>58.911677846982158</c:v>
                </c:pt>
                <c:pt idx="9">
                  <c:v>57.756546908806037</c:v>
                </c:pt>
                <c:pt idx="10">
                  <c:v>56.624065596868661</c:v>
                </c:pt>
                <c:pt idx="11">
                  <c:v>55.513789800851626</c:v>
                </c:pt>
                <c:pt idx="12">
                  <c:v>54.42528411848199</c:v>
                </c:pt>
                <c:pt idx="13">
                  <c:v>53.358121684786269</c:v>
                </c:pt>
                <c:pt idx="14">
                  <c:v>52.311884004692416</c:v>
                </c:pt>
                <c:pt idx="15">
                  <c:v>51.286160788914131</c:v>
                </c:pt>
                <c:pt idx="16">
                  <c:v>40.727245332372995</c:v>
                </c:pt>
                <c:pt idx="17">
                  <c:v>32.342224234531486</c:v>
                </c:pt>
                <c:pt idx="18">
                  <c:v>25.683531009775006</c:v>
                </c:pt>
                <c:pt idx="19">
                  <c:v>20.395745213644869</c:v>
                </c:pt>
                <c:pt idx="20">
                  <c:v>16.196621199070925</c:v>
                </c:pt>
                <c:pt idx="21">
                  <c:v>12.862022716909262</c:v>
                </c:pt>
                <c:pt idx="22">
                  <c:v>10.213959216369121</c:v>
                </c:pt>
                <c:pt idx="23">
                  <c:v>8.1110852600578323</c:v>
                </c:pt>
                <c:pt idx="24">
                  <c:v>6.4411559418106314</c:v>
                </c:pt>
                <c:pt idx="25">
                  <c:v>5.1150356008496187</c:v>
                </c:pt>
                <c:pt idx="26">
                  <c:v>4.0619400359688154</c:v>
                </c:pt>
                <c:pt idx="27">
                  <c:v>3.2256582638575884</c:v>
                </c:pt>
                <c:pt idx="28">
                  <c:v>2.5615521507104373</c:v>
                </c:pt>
                <c:pt idx="29">
                  <c:v>2.0341737667406417</c:v>
                </c:pt>
                <c:pt idx="30">
                  <c:v>1.6153732853528631</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0FEB-403B-94BE-D3769819A8DA}"/>
            </c:ext>
          </c:extLst>
        </c:ser>
        <c:ser>
          <c:idx val="3"/>
          <c:order val="3"/>
          <c:tx>
            <c:strRef>
              <c:f>Charts!$E$29</c:f>
              <c:strCache>
                <c:ptCount val="1"/>
                <c:pt idx="0">
                  <c:v> PSC: Government profit oil </c:v>
                </c:pt>
              </c:strCache>
            </c:strRef>
          </c:tx>
          <c:spPr>
            <a:solidFill>
              <a:srgbClr val="7030A0"/>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Charts!$K$29:$AX$29</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3-0FEB-403B-94BE-D3769819A8DA}"/>
            </c:ext>
          </c:extLst>
        </c:ser>
        <c:ser>
          <c:idx val="7"/>
          <c:order val="4"/>
          <c:tx>
            <c:strRef>
              <c:f>Charts!$E$30</c:f>
              <c:strCache>
                <c:ptCount val="1"/>
                <c:pt idx="0">
                  <c:v> CIT paid: IOC </c:v>
                </c:pt>
              </c:strCache>
            </c:strRef>
          </c:tx>
          <c:spPr>
            <a:solidFill>
              <a:srgbClr val="FFFF00"/>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Charts!$K$30:$AX$30</c:f>
              <c:numCache>
                <c:formatCode>#,##0_);\(#,##0\);"-  ";" "@" "</c:formatCode>
                <c:ptCount val="40"/>
                <c:pt idx="0">
                  <c:v>0</c:v>
                </c:pt>
                <c:pt idx="1">
                  <c:v>0</c:v>
                </c:pt>
                <c:pt idx="2">
                  <c:v>0</c:v>
                </c:pt>
                <c:pt idx="3">
                  <c:v>0</c:v>
                </c:pt>
                <c:pt idx="4">
                  <c:v>0</c:v>
                </c:pt>
                <c:pt idx="5">
                  <c:v>0</c:v>
                </c:pt>
                <c:pt idx="6">
                  <c:v>0</c:v>
                </c:pt>
                <c:pt idx="7">
                  <c:v>114.51538729264855</c:v>
                </c:pt>
                <c:pt idx="8">
                  <c:v>195.80641321162815</c:v>
                </c:pt>
                <c:pt idx="9">
                  <c:v>334.07535839910236</c:v>
                </c:pt>
                <c:pt idx="10">
                  <c:v>436.43591744721061</c:v>
                </c:pt>
                <c:pt idx="11">
                  <c:v>485.9783111308987</c:v>
                </c:pt>
                <c:pt idx="12">
                  <c:v>487.41911950989362</c:v>
                </c:pt>
                <c:pt idx="13">
                  <c:v>492.67398502319793</c:v>
                </c:pt>
                <c:pt idx="14">
                  <c:v>497.74084453740647</c:v>
                </c:pt>
                <c:pt idx="15">
                  <c:v>502.62505051172508</c:v>
                </c:pt>
                <c:pt idx="16">
                  <c:v>381.84794303618787</c:v>
                </c:pt>
                <c:pt idx="17">
                  <c:v>294.64205087474636</c:v>
                </c:pt>
                <c:pt idx="18">
                  <c:v>257.19691779881822</c:v>
                </c:pt>
                <c:pt idx="19">
                  <c:v>195.8700506195035</c:v>
                </c:pt>
                <c:pt idx="20">
                  <c:v>149.92999096531136</c:v>
                </c:pt>
                <c:pt idx="21">
                  <c:v>122.30172953659661</c:v>
                </c:pt>
                <c:pt idx="22">
                  <c:v>90.584636739724587</c:v>
                </c:pt>
                <c:pt idx="23">
                  <c:v>63.899210820426987</c:v>
                </c:pt>
                <c:pt idx="24">
                  <c:v>52.794648644967751</c:v>
                </c:pt>
                <c:pt idx="25">
                  <c:v>45.894663007408411</c:v>
                </c:pt>
                <c:pt idx="26">
                  <c:v>32.221725567562302</c:v>
                </c:pt>
                <c:pt idx="27">
                  <c:v>21.444310089493293</c:v>
                </c:pt>
                <c:pt idx="28">
                  <c:v>16.694390280483116</c:v>
                </c:pt>
                <c:pt idx="29">
                  <c:v>8.6904281661861731</c:v>
                </c:pt>
                <c:pt idx="30">
                  <c:v>3.6268229696185572</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6C62-497B-9EFB-7BE25F9D0E0D}"/>
            </c:ext>
          </c:extLst>
        </c:ser>
        <c:ser>
          <c:idx val="4"/>
          <c:order val="5"/>
          <c:tx>
            <c:strRef>
              <c:f>Charts!$E$31</c:f>
              <c:strCache>
                <c:ptCount val="1"/>
                <c:pt idx="0">
                  <c:v> Resource rent tax: IOC </c:v>
                </c:pt>
              </c:strCache>
            </c:strRef>
          </c:tx>
          <c:spPr>
            <a:solidFill>
              <a:schemeClr val="accent5"/>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Charts!$K$31:$AX$31</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4-0FEB-403B-94BE-D3769819A8DA}"/>
            </c:ext>
          </c:extLst>
        </c:ser>
        <c:ser>
          <c:idx val="5"/>
          <c:order val="6"/>
          <c:tx>
            <c:strRef>
              <c:f>Charts!$E$32</c:f>
              <c:strCache>
                <c:ptCount val="1"/>
                <c:pt idx="0">
                  <c:v> Dividend withholding tax </c:v>
                </c:pt>
              </c:strCache>
            </c:strRef>
          </c:tx>
          <c:spPr>
            <a:solidFill>
              <a:srgbClr val="FFC000"/>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Charts!$K$32:$AX$32</c:f>
              <c:numCache>
                <c:formatCode>#,##0_);\(#,##0\);"-  ";" "@" "</c:formatCode>
                <c:ptCount val="40"/>
                <c:pt idx="0">
                  <c:v>0</c:v>
                </c:pt>
                <c:pt idx="1">
                  <c:v>0</c:v>
                </c:pt>
                <c:pt idx="2">
                  <c:v>0</c:v>
                </c:pt>
                <c:pt idx="3">
                  <c:v>0</c:v>
                </c:pt>
                <c:pt idx="4">
                  <c:v>0</c:v>
                </c:pt>
                <c:pt idx="5">
                  <c:v>36.32412280876801</c:v>
                </c:pt>
                <c:pt idx="6">
                  <c:v>45.350771818096845</c:v>
                </c:pt>
                <c:pt idx="7">
                  <c:v>79.556346738411946</c:v>
                </c:pt>
                <c:pt idx="8">
                  <c:v>89.674864815300822</c:v>
                </c:pt>
                <c:pt idx="9">
                  <c:v>78.024716227284031</c:v>
                </c:pt>
                <c:pt idx="10">
                  <c:v>69.896446779512601</c:v>
                </c:pt>
                <c:pt idx="11">
                  <c:v>66.982901799484608</c:v>
                </c:pt>
                <c:pt idx="12">
                  <c:v>64.793340493642333</c:v>
                </c:pt>
                <c:pt idx="13">
                  <c:v>66.258621891407984</c:v>
                </c:pt>
                <c:pt idx="14">
                  <c:v>67.679392246156468</c:v>
                </c:pt>
                <c:pt idx="15">
                  <c:v>69.056833735892425</c:v>
                </c:pt>
                <c:pt idx="16">
                  <c:v>70.145532787132055</c:v>
                </c:pt>
                <c:pt idx="17">
                  <c:v>69.950152814292935</c:v>
                </c:pt>
                <c:pt idx="18">
                  <c:v>59.074488044169605</c:v>
                </c:pt>
                <c:pt idx="19">
                  <c:v>31.04053758591634</c:v>
                </c:pt>
                <c:pt idx="20">
                  <c:v>21.876777785338973</c:v>
                </c:pt>
                <c:pt idx="21">
                  <c:v>28.292211425214134</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5-0FEB-403B-94BE-D3769819A8DA}"/>
            </c:ext>
          </c:extLst>
        </c:ser>
        <c:ser>
          <c:idx val="6"/>
          <c:order val="7"/>
          <c:tx>
            <c:strRef>
              <c:f>Charts!$E$33</c:f>
              <c:strCache>
                <c:ptCount val="1"/>
                <c:pt idx="0">
                  <c:v> Interest withholding tax </c:v>
                </c:pt>
              </c:strCache>
            </c:strRef>
          </c:tx>
          <c:spPr>
            <a:solidFill>
              <a:srgbClr val="772C2A"/>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Charts!$K$33:$AX$33</c:f>
              <c:numCache>
                <c:formatCode>#,##0_);\(#,##0\);"-  ";" "@" "</c:formatCode>
                <c:ptCount val="40"/>
                <c:pt idx="0">
                  <c:v>0</c:v>
                </c:pt>
                <c:pt idx="1">
                  <c:v>0</c:v>
                </c:pt>
                <c:pt idx="2">
                  <c:v>0</c:v>
                </c:pt>
                <c:pt idx="3">
                  <c:v>0</c:v>
                </c:pt>
                <c:pt idx="4">
                  <c:v>0</c:v>
                </c:pt>
                <c:pt idx="5">
                  <c:v>0</c:v>
                </c:pt>
                <c:pt idx="6">
                  <c:v>17.777717591829806</c:v>
                </c:pt>
                <c:pt idx="7">
                  <c:v>15.68622140455571</c:v>
                </c:pt>
                <c:pt idx="8">
                  <c:v>13.669909720745714</c:v>
                </c:pt>
                <c:pt idx="9">
                  <c:v>11.726638240835785</c:v>
                </c:pt>
                <c:pt idx="10">
                  <c:v>9.8543178494418342</c:v>
                </c:pt>
                <c:pt idx="11">
                  <c:v>8.0509132756877744</c:v>
                </c:pt>
                <c:pt idx="12">
                  <c:v>6.3144417848531562</c:v>
                </c:pt>
                <c:pt idx="13">
                  <c:v>4.6429719006273205</c:v>
                </c:pt>
                <c:pt idx="14">
                  <c:v>3.0346221572727585</c:v>
                </c:pt>
                <c:pt idx="15">
                  <c:v>1.4875598810160582</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6-0FEB-403B-94BE-D3769819A8DA}"/>
            </c:ext>
          </c:extLst>
        </c:ser>
        <c:ser>
          <c:idx val="9"/>
          <c:order val="8"/>
          <c:tx>
            <c:strRef>
              <c:f>Charts!$E$34</c:f>
              <c:strCache>
                <c:ptCount val="1"/>
                <c:pt idx="0">
                  <c:v> VAT cashflow: government </c:v>
                </c:pt>
              </c:strCache>
            </c:strRef>
          </c:tx>
          <c:spPr>
            <a:solidFill>
              <a:schemeClr val="accent4">
                <a:lumMod val="60000"/>
              </a:schemeClr>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Charts!$K$34:$AX$34</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1-3F00-477A-B76B-2CCC36B6099E}"/>
            </c:ext>
          </c:extLst>
        </c:ser>
        <c:ser>
          <c:idx val="10"/>
          <c:order val="9"/>
          <c:tx>
            <c:strRef>
              <c:f>Charts!$E$35</c:f>
              <c:strCache>
                <c:ptCount val="1"/>
                <c:pt idx="0">
                  <c:v> SOC net cash flow before tax, after carried interest, including share of lender cashflows </c:v>
                </c:pt>
              </c:strCache>
            </c:strRef>
          </c:tx>
          <c:spPr>
            <a:solidFill>
              <a:schemeClr val="accent4">
                <a:lumMod val="75000"/>
              </a:schemeClr>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Charts!$K$35:$AX$35</c:f>
              <c:numCache>
                <c:formatCode>#,##0_);\(#,##0\);"-  ";" "@" "</c:formatCode>
                <c:ptCount val="40"/>
                <c:pt idx="0">
                  <c:v>0</c:v>
                </c:pt>
                <c:pt idx="1">
                  <c:v>-7</c:v>
                </c:pt>
                <c:pt idx="2">
                  <c:v>-42</c:v>
                </c:pt>
                <c:pt idx="3">
                  <c:v>-168</c:v>
                </c:pt>
                <c:pt idx="4">
                  <c:v>-168</c:v>
                </c:pt>
                <c:pt idx="5">
                  <c:v>-294</c:v>
                </c:pt>
                <c:pt idx="6">
                  <c:v>107.35265407110511</c:v>
                </c:pt>
                <c:pt idx="7">
                  <c:v>324.64477343830453</c:v>
                </c:pt>
                <c:pt idx="8">
                  <c:v>365.28368248645455</c:v>
                </c:pt>
                <c:pt idx="9">
                  <c:v>365.90336297007161</c:v>
                </c:pt>
                <c:pt idx="10">
                  <c:v>366.50432331073785</c:v>
                </c:pt>
                <c:pt idx="11">
                  <c:v>367.08705938469217</c:v>
                </c:pt>
                <c:pt idx="12">
                  <c:v>357.59979613511689</c:v>
                </c:pt>
                <c:pt idx="13">
                  <c:v>358.34462571015644</c:v>
                </c:pt>
                <c:pt idx="14">
                  <c:v>359.06878153941</c:v>
                </c:pt>
                <c:pt idx="15">
                  <c:v>359.7727879952327</c:v>
                </c:pt>
                <c:pt idx="16">
                  <c:v>270.82581772687712</c:v>
                </c:pt>
                <c:pt idx="17">
                  <c:v>248.53589475441893</c:v>
                </c:pt>
                <c:pt idx="18">
                  <c:v>211.98544956012856</c:v>
                </c:pt>
                <c:pt idx="19">
                  <c:v>126.56885661966672</c:v>
                </c:pt>
                <c:pt idx="20">
                  <c:v>92.174442204675259</c:v>
                </c:pt>
                <c:pt idx="21">
                  <c:v>102.89086574523206</c:v>
                </c:pt>
                <c:pt idx="22">
                  <c:v>79.931240883226394</c:v>
                </c:pt>
                <c:pt idx="23">
                  <c:v>60.57163552775063</c:v>
                </c:pt>
                <c:pt idx="24">
                  <c:v>45.101226726046271</c:v>
                </c:pt>
                <c:pt idx="25">
                  <c:v>32.781902148148902</c:v>
                </c:pt>
                <c:pt idx="26">
                  <c:v>23.015518262544532</c:v>
                </c:pt>
                <c:pt idx="27">
                  <c:v>15.317364349638096</c:v>
                </c:pt>
                <c:pt idx="28">
                  <c:v>11.924564486059397</c:v>
                </c:pt>
                <c:pt idx="29">
                  <c:v>6.2074486901330133</c:v>
                </c:pt>
                <c:pt idx="30">
                  <c:v>2.5905878354412502</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3F00-477A-B76B-2CCC36B6099E}"/>
            </c:ext>
          </c:extLst>
        </c:ser>
        <c:dLbls>
          <c:showLegendKey val="0"/>
          <c:showVal val="0"/>
          <c:showCatName val="0"/>
          <c:showSerName val="0"/>
          <c:showPercent val="0"/>
          <c:showBubbleSize val="0"/>
        </c:dLbls>
        <c:gapWidth val="18"/>
        <c:overlap val="100"/>
        <c:axId val="252344576"/>
        <c:axId val="252346752"/>
      </c:barChart>
      <c:catAx>
        <c:axId val="252344576"/>
        <c:scaling>
          <c:orientation val="minMax"/>
        </c:scaling>
        <c:delete val="0"/>
        <c:axPos val="b"/>
        <c:title>
          <c:tx>
            <c:strRef>
              <c:f>Charts!$F$7</c:f>
              <c:strCache>
                <c:ptCount val="1"/>
                <c:pt idx="0">
                  <c:v> Year </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52346752"/>
        <c:crosses val="autoZero"/>
        <c:auto val="1"/>
        <c:lblAlgn val="ctr"/>
        <c:lblOffset val="100"/>
        <c:noMultiLvlLbl val="0"/>
      </c:catAx>
      <c:valAx>
        <c:axId val="252346752"/>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Charts!$F$8</c:f>
              <c:strCache>
                <c:ptCount val="1"/>
                <c:pt idx="0">
                  <c:v> US$ mn 2021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5234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5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Charts!$F$6</c:f>
          <c:strCache>
            <c:ptCount val="1"/>
            <c:pt idx="0">
              <c:v>Government revenues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pieChart>
        <c:varyColors val="1"/>
        <c:ser>
          <c:idx val="0"/>
          <c:order val="0"/>
          <c:dPt>
            <c:idx val="0"/>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1-12DC-4900-BFFA-E2EF6CCEDEBA}"/>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12DC-4900-BFFA-E2EF6CCEDEBA}"/>
              </c:ext>
            </c:extLst>
          </c:dPt>
          <c:dPt>
            <c:idx val="2"/>
            <c:bubble3D val="0"/>
            <c:spPr>
              <a:solidFill>
                <a:schemeClr val="tx1"/>
              </a:solidFill>
              <a:ln w="19050">
                <a:solidFill>
                  <a:schemeClr val="lt1"/>
                </a:solidFill>
              </a:ln>
              <a:effectLst/>
            </c:spPr>
            <c:extLst>
              <c:ext xmlns:c16="http://schemas.microsoft.com/office/drawing/2014/chart" uri="{C3380CC4-5D6E-409C-BE32-E72D297353CC}">
                <c16:uniqueId val="{00000005-12DC-4900-BFFA-E2EF6CCEDEB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2DC-4900-BFFA-E2EF6CCEDEBA}"/>
              </c:ext>
            </c:extLst>
          </c:dPt>
          <c:dPt>
            <c:idx val="4"/>
            <c:bubble3D val="0"/>
            <c:spPr>
              <a:solidFill>
                <a:srgbClr val="FFFF00"/>
              </a:solidFill>
              <a:ln w="19050">
                <a:solidFill>
                  <a:schemeClr val="lt1"/>
                </a:solidFill>
              </a:ln>
              <a:effectLst/>
            </c:spPr>
            <c:extLst>
              <c:ext xmlns:c16="http://schemas.microsoft.com/office/drawing/2014/chart" uri="{C3380CC4-5D6E-409C-BE32-E72D297353CC}">
                <c16:uniqueId val="{00000009-12DC-4900-BFFA-E2EF6CCEDEBA}"/>
              </c:ext>
            </c:extLst>
          </c:dPt>
          <c:dPt>
            <c:idx val="5"/>
            <c:bubble3D val="0"/>
            <c:spPr>
              <a:solidFill>
                <a:srgbClr val="4BACC6"/>
              </a:solidFill>
              <a:ln w="19050">
                <a:solidFill>
                  <a:schemeClr val="lt1"/>
                </a:solidFill>
              </a:ln>
              <a:effectLst/>
            </c:spPr>
            <c:extLst>
              <c:ext xmlns:c16="http://schemas.microsoft.com/office/drawing/2014/chart" uri="{C3380CC4-5D6E-409C-BE32-E72D297353CC}">
                <c16:uniqueId val="{0000000B-12DC-4900-BFFA-E2EF6CCEDEBA}"/>
              </c:ext>
            </c:extLst>
          </c:dPt>
          <c:dPt>
            <c:idx val="6"/>
            <c:bubble3D val="0"/>
            <c:spPr>
              <a:solidFill>
                <a:schemeClr val="accent6"/>
              </a:solidFill>
              <a:ln w="19050">
                <a:solidFill>
                  <a:schemeClr val="lt1"/>
                </a:solidFill>
              </a:ln>
              <a:effectLst/>
            </c:spPr>
            <c:extLst>
              <c:ext xmlns:c16="http://schemas.microsoft.com/office/drawing/2014/chart" uri="{C3380CC4-5D6E-409C-BE32-E72D297353CC}">
                <c16:uniqueId val="{0000000D-12DC-4900-BFFA-E2EF6CCEDEBA}"/>
              </c:ext>
            </c:extLst>
          </c:dPt>
          <c:dPt>
            <c:idx val="7"/>
            <c:bubble3D val="0"/>
            <c:spPr>
              <a:solidFill>
                <a:srgbClr val="2C4D75"/>
              </a:solidFill>
              <a:ln w="19050">
                <a:solidFill>
                  <a:schemeClr val="lt1"/>
                </a:solidFill>
              </a:ln>
              <a:effectLst/>
            </c:spPr>
            <c:extLst>
              <c:ext xmlns:c16="http://schemas.microsoft.com/office/drawing/2014/chart" uri="{C3380CC4-5D6E-409C-BE32-E72D297353CC}">
                <c16:uniqueId val="{0000000F-9AC4-4D72-AB8E-247800F9331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A8F-4BE3-914B-E0A2F3DCF14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378-4B3F-AFEC-A8455085C264}"/>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Charts!$E$62:$E$71</c:f>
              <c:strCache>
                <c:ptCount val="10"/>
                <c:pt idx="0">
                  <c:v> Bonuses </c:v>
                </c:pt>
                <c:pt idx="1">
                  <c:v> Royalty </c:v>
                </c:pt>
                <c:pt idx="2">
                  <c:v> Carbon tax </c:v>
                </c:pt>
                <c:pt idx="3">
                  <c:v> PSC: Government profit oil </c:v>
                </c:pt>
                <c:pt idx="4">
                  <c:v> CIT paid: IOC </c:v>
                </c:pt>
                <c:pt idx="5">
                  <c:v> Resource rent tax: IOC </c:v>
                </c:pt>
                <c:pt idx="6">
                  <c:v> Dividend withholding tax </c:v>
                </c:pt>
                <c:pt idx="7">
                  <c:v> Interest withholding tax </c:v>
                </c:pt>
                <c:pt idx="8">
                  <c:v> VAT cashflow: government </c:v>
                </c:pt>
                <c:pt idx="9">
                  <c:v> SOC net cash flow before tax, after carried interest, including share of lender cashflows </c:v>
                </c:pt>
              </c:strCache>
            </c:strRef>
          </c:cat>
          <c:val>
            <c:numRef>
              <c:f>Charts!$G$62:$G$71</c:f>
              <c:numCache>
                <c:formatCode>0.00%_);\-0.00%_);"-  ";" "@" "</c:formatCode>
                <c:ptCount val="10"/>
                <c:pt idx="0">
                  <c:v>2.8040910624255555E-3</c:v>
                </c:pt>
                <c:pt idx="1">
                  <c:v>0.44016336117700677</c:v>
                </c:pt>
                <c:pt idx="2">
                  <c:v>3.9346205333052199E-2</c:v>
                </c:pt>
                <c:pt idx="3">
                  <c:v>0</c:v>
                </c:pt>
                <c:pt idx="4">
                  <c:v>0.26372610130276197</c:v>
                </c:pt>
                <c:pt idx="5">
                  <c:v>0</c:v>
                </c:pt>
                <c:pt idx="6">
                  <c:v>5.0599250557479256E-2</c:v>
                </c:pt>
                <c:pt idx="7">
                  <c:v>4.6031999420242499E-3</c:v>
                </c:pt>
                <c:pt idx="8">
                  <c:v>0</c:v>
                </c:pt>
                <c:pt idx="9">
                  <c:v>0.19875779062524965</c:v>
                </c:pt>
              </c:numCache>
            </c:numRef>
          </c:val>
          <c:extLst>
            <c:ext xmlns:c16="http://schemas.microsoft.com/office/drawing/2014/chart" uri="{C3380CC4-5D6E-409C-BE32-E72D297353CC}">
              <c16:uniqueId val="{00000000-590E-42AB-B9FF-0C8B1DAA5E6A}"/>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Charts!$F$76</c:f>
          <c:strCache>
            <c:ptCount val="1"/>
            <c:pt idx="0">
              <c:v>Project revenues and costs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areaChart>
        <c:grouping val="standard"/>
        <c:varyColors val="0"/>
        <c:ser>
          <c:idx val="5"/>
          <c:order val="5"/>
          <c:tx>
            <c:strRef>
              <c:f>Charts!$E$83</c:f>
              <c:strCache>
                <c:ptCount val="1"/>
                <c:pt idx="0">
                  <c:v> Oil revenues net, after ELT </c:v>
                </c:pt>
              </c:strCache>
            </c:strRef>
          </c:tx>
          <c:spPr>
            <a:solidFill>
              <a:srgbClr val="00B050">
                <a:alpha val="25000"/>
              </a:srgbClr>
            </a:solidFill>
            <a:ln>
              <a:noFill/>
            </a:ln>
            <a:effectLst/>
          </c:spPr>
          <c:val>
            <c:numRef>
              <c:f>Charts!$K$83:$XFD$83</c:f>
              <c:numCache>
                <c:formatCode>#,##0_);\(#,##0\);"-  ";" "@" "</c:formatCode>
                <c:ptCount val="40"/>
                <c:pt idx="0">
                  <c:v>0</c:v>
                </c:pt>
                <c:pt idx="1">
                  <c:v>0</c:v>
                </c:pt>
                <c:pt idx="2">
                  <c:v>0</c:v>
                </c:pt>
                <c:pt idx="3">
                  <c:v>0</c:v>
                </c:pt>
                <c:pt idx="4">
                  <c:v>191.65835816431044</c:v>
                </c:pt>
                <c:pt idx="5">
                  <c:v>1505.625</c:v>
                </c:pt>
                <c:pt idx="6">
                  <c:v>3011.25</c:v>
                </c:pt>
                <c:pt idx="7">
                  <c:v>3011.25</c:v>
                </c:pt>
                <c:pt idx="8">
                  <c:v>3011.25</c:v>
                </c:pt>
                <c:pt idx="9">
                  <c:v>3011.25</c:v>
                </c:pt>
                <c:pt idx="10">
                  <c:v>3011.25</c:v>
                </c:pt>
                <c:pt idx="11">
                  <c:v>3011.25</c:v>
                </c:pt>
                <c:pt idx="12">
                  <c:v>3011.25</c:v>
                </c:pt>
                <c:pt idx="13">
                  <c:v>3011.25</c:v>
                </c:pt>
                <c:pt idx="14">
                  <c:v>3011.25</c:v>
                </c:pt>
                <c:pt idx="15">
                  <c:v>3011.25</c:v>
                </c:pt>
                <c:pt idx="16">
                  <c:v>2439.1125000000006</c:v>
                </c:pt>
                <c:pt idx="17">
                  <c:v>1975.6811250000005</c:v>
                </c:pt>
                <c:pt idx="18">
                  <c:v>1600.3017112500004</c:v>
                </c:pt>
                <c:pt idx="19">
                  <c:v>1296.2443861125007</c:v>
                </c:pt>
                <c:pt idx="20">
                  <c:v>1049.9579527511255</c:v>
                </c:pt>
                <c:pt idx="21">
                  <c:v>850.46594172841174</c:v>
                </c:pt>
                <c:pt idx="22">
                  <c:v>688.87741280001364</c:v>
                </c:pt>
                <c:pt idx="23">
                  <c:v>557.99070436801105</c:v>
                </c:pt>
                <c:pt idx="24">
                  <c:v>451.972470538089</c:v>
                </c:pt>
                <c:pt idx="25">
                  <c:v>366.09770113585205</c:v>
                </c:pt>
                <c:pt idx="26">
                  <c:v>296.53913792004022</c:v>
                </c:pt>
                <c:pt idx="27">
                  <c:v>240.19670171523254</c:v>
                </c:pt>
                <c:pt idx="28">
                  <c:v>194.55932838933836</c:v>
                </c:pt>
                <c:pt idx="29">
                  <c:v>157.59305599536407</c:v>
                </c:pt>
                <c:pt idx="30">
                  <c:v>127.65037535624494</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5-92C8-47CA-A162-467BF45DF32C}"/>
            </c:ext>
          </c:extLst>
        </c:ser>
        <c:dLbls>
          <c:showLegendKey val="0"/>
          <c:showVal val="0"/>
          <c:showCatName val="0"/>
          <c:showSerName val="0"/>
          <c:showPercent val="0"/>
          <c:showBubbleSize val="0"/>
        </c:dLbls>
        <c:axId val="265489792"/>
        <c:axId val="265503872"/>
      </c:areaChart>
      <c:barChart>
        <c:barDir val="col"/>
        <c:grouping val="stacked"/>
        <c:varyColors val="0"/>
        <c:ser>
          <c:idx val="0"/>
          <c:order val="0"/>
          <c:tx>
            <c:strRef>
              <c:f>Charts!$E$84</c:f>
              <c:strCache>
                <c:ptCount val="1"/>
                <c:pt idx="0">
                  <c:v> Exploration costs, after ELT </c:v>
                </c:pt>
              </c:strCache>
            </c:strRef>
          </c:tx>
          <c:spPr>
            <a:solidFill>
              <a:schemeClr val="accent1"/>
            </a:solidFill>
            <a:ln>
              <a:noFill/>
            </a:ln>
            <a:effectLst/>
          </c:spPr>
          <c:invertIfNegative val="0"/>
          <c:val>
            <c:numRef>
              <c:f>Charts!$K$84:$AX$84</c:f>
              <c:numCache>
                <c:formatCode>#,##0_);\(#,##0\);"-  ";" "@" "</c:formatCode>
                <c:ptCount val="40"/>
                <c:pt idx="0">
                  <c:v>420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92C8-47CA-A162-467BF45DF32C}"/>
            </c:ext>
          </c:extLst>
        </c:ser>
        <c:ser>
          <c:idx val="1"/>
          <c:order val="1"/>
          <c:tx>
            <c:strRef>
              <c:f>Charts!$E$85</c:f>
              <c:strCache>
                <c:ptCount val="1"/>
                <c:pt idx="0">
                  <c:v> Development costs, after ELT </c:v>
                </c:pt>
              </c:strCache>
            </c:strRef>
          </c:tx>
          <c:spPr>
            <a:solidFill>
              <a:schemeClr val="accent2"/>
            </a:solidFill>
            <a:ln>
              <a:noFill/>
            </a:ln>
            <a:effectLst/>
          </c:spPr>
          <c:invertIfNegative val="0"/>
          <c:val>
            <c:numRef>
              <c:f>Charts!$K$85:$AX$85</c:f>
              <c:numCache>
                <c:formatCode>#,##0_);\(#,##0\);"-  ";" "@" "</c:formatCode>
                <c:ptCount val="40"/>
                <c:pt idx="0">
                  <c:v>0</c:v>
                </c:pt>
                <c:pt idx="1">
                  <c:v>50</c:v>
                </c:pt>
                <c:pt idx="2">
                  <c:v>300</c:v>
                </c:pt>
                <c:pt idx="3">
                  <c:v>1200</c:v>
                </c:pt>
                <c:pt idx="4">
                  <c:v>1200</c:v>
                </c:pt>
                <c:pt idx="5">
                  <c:v>2100</c:v>
                </c:pt>
                <c:pt idx="6">
                  <c:v>1100</c:v>
                </c:pt>
                <c:pt idx="7">
                  <c:v>450</c:v>
                </c:pt>
                <c:pt idx="8">
                  <c:v>250</c:v>
                </c:pt>
                <c:pt idx="9">
                  <c:v>250</c:v>
                </c:pt>
                <c:pt idx="10">
                  <c:v>250</c:v>
                </c:pt>
                <c:pt idx="11">
                  <c:v>250</c:v>
                </c:pt>
                <c:pt idx="12">
                  <c:v>250</c:v>
                </c:pt>
                <c:pt idx="13">
                  <c:v>250</c:v>
                </c:pt>
                <c:pt idx="14">
                  <c:v>250</c:v>
                </c:pt>
                <c:pt idx="15">
                  <c:v>250</c:v>
                </c:pt>
                <c:pt idx="16">
                  <c:v>250</c:v>
                </c:pt>
                <c:pt idx="17">
                  <c:v>0</c:v>
                </c:pt>
                <c:pt idx="18">
                  <c:v>0</c:v>
                </c:pt>
                <c:pt idx="19">
                  <c:v>200</c:v>
                </c:pt>
                <c:pt idx="20">
                  <c:v>200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1-92C8-47CA-A162-467BF45DF32C}"/>
            </c:ext>
          </c:extLst>
        </c:ser>
        <c:ser>
          <c:idx val="2"/>
          <c:order val="2"/>
          <c:tx>
            <c:strRef>
              <c:f>Charts!$E$86</c:f>
              <c:strCache>
                <c:ptCount val="1"/>
                <c:pt idx="0">
                  <c:v> Replacement capital costs, after ELT </c:v>
                </c:pt>
              </c:strCache>
            </c:strRef>
          </c:tx>
          <c:spPr>
            <a:solidFill>
              <a:schemeClr val="accent3"/>
            </a:solidFill>
            <a:ln>
              <a:noFill/>
            </a:ln>
            <a:effectLst/>
          </c:spPr>
          <c:invertIfNegative val="0"/>
          <c:val>
            <c:numRef>
              <c:f>Charts!$K$86:$AX$86</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92C8-47CA-A162-467BF45DF32C}"/>
            </c:ext>
          </c:extLst>
        </c:ser>
        <c:ser>
          <c:idx val="3"/>
          <c:order val="3"/>
          <c:tx>
            <c:strRef>
              <c:f>Charts!$E$87</c:f>
              <c:strCache>
                <c:ptCount val="1"/>
                <c:pt idx="0">
                  <c:v> Operating costs, after ELT </c:v>
                </c:pt>
              </c:strCache>
            </c:strRef>
          </c:tx>
          <c:spPr>
            <a:solidFill>
              <a:schemeClr val="accent4"/>
            </a:solidFill>
            <a:ln>
              <a:noFill/>
            </a:ln>
            <a:effectLst/>
          </c:spPr>
          <c:invertIfNegative val="0"/>
          <c:val>
            <c:numRef>
              <c:f>Charts!$K$87:$AX$87</c:f>
              <c:numCache>
                <c:formatCode>#,##0_);\(#,##0\);"-  ";" "@" "</c:formatCode>
                <c:ptCount val="40"/>
                <c:pt idx="0">
                  <c:v>0</c:v>
                </c:pt>
                <c:pt idx="1">
                  <c:v>0</c:v>
                </c:pt>
                <c:pt idx="2">
                  <c:v>0</c:v>
                </c:pt>
                <c:pt idx="3">
                  <c:v>0</c:v>
                </c:pt>
                <c:pt idx="4">
                  <c:v>50</c:v>
                </c:pt>
                <c:pt idx="5">
                  <c:v>180</c:v>
                </c:pt>
                <c:pt idx="6">
                  <c:v>260</c:v>
                </c:pt>
                <c:pt idx="7">
                  <c:v>260</c:v>
                </c:pt>
                <c:pt idx="8">
                  <c:v>260</c:v>
                </c:pt>
                <c:pt idx="9">
                  <c:v>260</c:v>
                </c:pt>
                <c:pt idx="10">
                  <c:v>260</c:v>
                </c:pt>
                <c:pt idx="11">
                  <c:v>260</c:v>
                </c:pt>
                <c:pt idx="12">
                  <c:v>260</c:v>
                </c:pt>
                <c:pt idx="13">
                  <c:v>260</c:v>
                </c:pt>
                <c:pt idx="14">
                  <c:v>260</c:v>
                </c:pt>
                <c:pt idx="15">
                  <c:v>260</c:v>
                </c:pt>
                <c:pt idx="16">
                  <c:v>260</c:v>
                </c:pt>
                <c:pt idx="17">
                  <c:v>260</c:v>
                </c:pt>
                <c:pt idx="18">
                  <c:v>150</c:v>
                </c:pt>
                <c:pt idx="19">
                  <c:v>140</c:v>
                </c:pt>
                <c:pt idx="20">
                  <c:v>120</c:v>
                </c:pt>
                <c:pt idx="21">
                  <c:v>111</c:v>
                </c:pt>
                <c:pt idx="22">
                  <c:v>100</c:v>
                </c:pt>
                <c:pt idx="23">
                  <c:v>95</c:v>
                </c:pt>
                <c:pt idx="24">
                  <c:v>90</c:v>
                </c:pt>
                <c:pt idx="25">
                  <c:v>85</c:v>
                </c:pt>
                <c:pt idx="26">
                  <c:v>80</c:v>
                </c:pt>
                <c:pt idx="27">
                  <c:v>75</c:v>
                </c:pt>
                <c:pt idx="28">
                  <c:v>70</c:v>
                </c:pt>
                <c:pt idx="29">
                  <c:v>70</c:v>
                </c:pt>
                <c:pt idx="30">
                  <c:v>65</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3-92C8-47CA-A162-467BF45DF32C}"/>
            </c:ext>
          </c:extLst>
        </c:ser>
        <c:ser>
          <c:idx val="4"/>
          <c:order val="4"/>
          <c:tx>
            <c:strRef>
              <c:f>Charts!$E$88</c:f>
              <c:strCache>
                <c:ptCount val="1"/>
                <c:pt idx="0">
                  <c:v> Decommissioning costs, after ELT </c:v>
                </c:pt>
              </c:strCache>
            </c:strRef>
          </c:tx>
          <c:spPr>
            <a:solidFill>
              <a:schemeClr val="accent5"/>
            </a:solidFill>
            <a:ln>
              <a:noFill/>
            </a:ln>
            <a:effectLst/>
          </c:spPr>
          <c:invertIfNegative val="0"/>
          <c:val>
            <c:numRef>
              <c:f>Charts!$K$88:$AX$88</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250</c:v>
                </c:pt>
                <c:pt idx="28">
                  <c:v>0</c:v>
                </c:pt>
                <c:pt idx="29">
                  <c:v>0</c:v>
                </c:pt>
                <c:pt idx="30">
                  <c:v>0</c:v>
                </c:pt>
                <c:pt idx="31">
                  <c:v>250</c:v>
                </c:pt>
                <c:pt idx="32">
                  <c:v>250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4-92C8-47CA-A162-467BF45DF32C}"/>
            </c:ext>
          </c:extLst>
        </c:ser>
        <c:dLbls>
          <c:showLegendKey val="0"/>
          <c:showVal val="0"/>
          <c:showCatName val="0"/>
          <c:showSerName val="0"/>
          <c:showPercent val="0"/>
          <c:showBubbleSize val="0"/>
        </c:dLbls>
        <c:gapWidth val="17"/>
        <c:overlap val="100"/>
        <c:axId val="265489792"/>
        <c:axId val="265503872"/>
      </c:barChart>
      <c:lineChart>
        <c:grouping val="standard"/>
        <c:varyColors val="0"/>
        <c:ser>
          <c:idx val="6"/>
          <c:order val="6"/>
          <c:tx>
            <c:strRef>
              <c:f>Charts!$E$90</c:f>
              <c:strCache>
                <c:ptCount val="1"/>
                <c:pt idx="0">
                  <c:v> Project cashflows: real after ELT </c:v>
                </c:pt>
              </c:strCache>
            </c:strRef>
          </c:tx>
          <c:spPr>
            <a:ln w="28575" cap="rnd">
              <a:solidFill>
                <a:schemeClr val="accent1">
                  <a:lumMod val="60000"/>
                </a:schemeClr>
              </a:solidFill>
              <a:round/>
            </a:ln>
            <a:effectLst/>
          </c:spPr>
          <c:marker>
            <c:symbol val="none"/>
          </c:marker>
          <c:val>
            <c:numRef>
              <c:f>Charts!$K$90:$AX$90</c:f>
              <c:numCache>
                <c:formatCode>#,##0_);\(#,##0\);"-  ";" "@" "</c:formatCode>
                <c:ptCount val="40"/>
                <c:pt idx="0">
                  <c:v>-420</c:v>
                </c:pt>
                <c:pt idx="1">
                  <c:v>-50</c:v>
                </c:pt>
                <c:pt idx="2">
                  <c:v>-300</c:v>
                </c:pt>
                <c:pt idx="3">
                  <c:v>-1200</c:v>
                </c:pt>
                <c:pt idx="4">
                  <c:v>-1058.3416418356896</c:v>
                </c:pt>
                <c:pt idx="5">
                  <c:v>-774.375</c:v>
                </c:pt>
                <c:pt idx="6">
                  <c:v>1651.25</c:v>
                </c:pt>
                <c:pt idx="7">
                  <c:v>2301.25</c:v>
                </c:pt>
                <c:pt idx="8">
                  <c:v>2501.25</c:v>
                </c:pt>
                <c:pt idx="9">
                  <c:v>2501.25</c:v>
                </c:pt>
                <c:pt idx="10">
                  <c:v>2501.25</c:v>
                </c:pt>
                <c:pt idx="11">
                  <c:v>2501.25</c:v>
                </c:pt>
                <c:pt idx="12">
                  <c:v>2501.25</c:v>
                </c:pt>
                <c:pt idx="13">
                  <c:v>2501.25</c:v>
                </c:pt>
                <c:pt idx="14">
                  <c:v>2501.25</c:v>
                </c:pt>
                <c:pt idx="15">
                  <c:v>2501.25</c:v>
                </c:pt>
                <c:pt idx="16">
                  <c:v>1929.1125000000006</c:v>
                </c:pt>
                <c:pt idx="17">
                  <c:v>1715.6811250000005</c:v>
                </c:pt>
                <c:pt idx="18">
                  <c:v>1450.3017112500004</c:v>
                </c:pt>
                <c:pt idx="19">
                  <c:v>956.24438611250071</c:v>
                </c:pt>
                <c:pt idx="20">
                  <c:v>729.9579527511255</c:v>
                </c:pt>
                <c:pt idx="21">
                  <c:v>739.46594172841174</c:v>
                </c:pt>
                <c:pt idx="22">
                  <c:v>588.87741280001364</c:v>
                </c:pt>
                <c:pt idx="23">
                  <c:v>462.99070436801105</c:v>
                </c:pt>
                <c:pt idx="24">
                  <c:v>361.972470538089</c:v>
                </c:pt>
                <c:pt idx="25">
                  <c:v>281.09770113585205</c:v>
                </c:pt>
                <c:pt idx="26">
                  <c:v>216.53913792004022</c:v>
                </c:pt>
                <c:pt idx="27">
                  <c:v>-84.803298284767465</c:v>
                </c:pt>
                <c:pt idx="28">
                  <c:v>124.55932838933836</c:v>
                </c:pt>
                <c:pt idx="29">
                  <c:v>87.593055995364068</c:v>
                </c:pt>
                <c:pt idx="30">
                  <c:v>62.650375356244936</c:v>
                </c:pt>
                <c:pt idx="31">
                  <c:v>-250</c:v>
                </c:pt>
                <c:pt idx="32">
                  <c:v>-250</c:v>
                </c:pt>
                <c:pt idx="33">
                  <c:v>0</c:v>
                </c:pt>
                <c:pt idx="34">
                  <c:v>0</c:v>
                </c:pt>
                <c:pt idx="35">
                  <c:v>0</c:v>
                </c:pt>
                <c:pt idx="36">
                  <c:v>0</c:v>
                </c:pt>
                <c:pt idx="37">
                  <c:v>0</c:v>
                </c:pt>
                <c:pt idx="38">
                  <c:v>0</c:v>
                </c:pt>
                <c:pt idx="39">
                  <c:v>0</c:v>
                </c:pt>
              </c:numCache>
            </c:numRef>
          </c:val>
          <c:smooth val="0"/>
          <c:extLst>
            <c:ext xmlns:c16="http://schemas.microsoft.com/office/drawing/2014/chart" uri="{C3380CC4-5D6E-409C-BE32-E72D297353CC}">
              <c16:uniqueId val="{00000000-271B-4855-90A4-59039AED9AAD}"/>
            </c:ext>
          </c:extLst>
        </c:ser>
        <c:dLbls>
          <c:showLegendKey val="0"/>
          <c:showVal val="0"/>
          <c:showCatName val="0"/>
          <c:showSerName val="0"/>
          <c:showPercent val="0"/>
          <c:showBubbleSize val="0"/>
        </c:dLbls>
        <c:marker val="1"/>
        <c:smooth val="0"/>
        <c:axId val="265489792"/>
        <c:axId val="265503872"/>
      </c:lineChart>
      <c:catAx>
        <c:axId val="2654897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65503872"/>
        <c:crosses val="autoZero"/>
        <c:auto val="1"/>
        <c:lblAlgn val="ctr"/>
        <c:lblOffset val="100"/>
        <c:noMultiLvlLbl val="0"/>
      </c:catAx>
      <c:valAx>
        <c:axId val="265503872"/>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Charts!$F$78</c:f>
              <c:strCache>
                <c:ptCount val="1"/>
                <c:pt idx="0">
                  <c:v> US$ mn 2021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65489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Charts!$F$117</c:f>
          <c:strCache>
            <c:ptCount val="1"/>
            <c:pt idx="0">
              <c:v>Production rate versus unit operating costs</c:v>
            </c:pt>
          </c:strCache>
        </c:strRef>
      </c:tx>
      <c:overlay val="0"/>
      <c:spPr>
        <a:noFill/>
        <a:ln>
          <a:noFill/>
        </a:ln>
        <a:effectLst/>
      </c:spPr>
      <c:txPr>
        <a:bodyPr rot="0" spcFirstLastPara="1" vertOverflow="ellipsis" vert="horz" wrap="square" anchor="ctr" anchorCtr="1"/>
        <a:lstStyle/>
        <a:p>
          <a:pPr>
            <a:defRPr sz="96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2827605989737365"/>
          <c:y val="0.14996357095195892"/>
          <c:w val="0.74344788020525265"/>
          <c:h val="0.56233552783670815"/>
        </c:manualLayout>
      </c:layout>
      <c:areaChart>
        <c:grouping val="standard"/>
        <c:varyColors val="0"/>
        <c:ser>
          <c:idx val="1"/>
          <c:order val="1"/>
          <c:tx>
            <c:strRef>
              <c:f>Charts!$E$124</c:f>
              <c:strCache>
                <c:ptCount val="1"/>
                <c:pt idx="0">
                  <c:v> Oil production RATE after ELT </c:v>
                </c:pt>
              </c:strCache>
            </c:strRef>
          </c:tx>
          <c:spPr>
            <a:solidFill>
              <a:srgbClr val="00B050">
                <a:alpha val="34000"/>
              </a:srgbClr>
            </a:solidFill>
            <a:ln>
              <a:noFill/>
            </a:ln>
            <a:effectLst/>
          </c:spPr>
          <c:val>
            <c:numRef>
              <c:f>Charts!$K$124:$AX$124</c:f>
              <c:numCache>
                <c:formatCode>#,##0_);\(#,##0\);"-  ";" "@" "</c:formatCode>
                <c:ptCount val="40"/>
                <c:pt idx="0">
                  <c:v>0</c:v>
                </c:pt>
                <c:pt idx="1">
                  <c:v>0</c:v>
                </c:pt>
                <c:pt idx="2">
                  <c:v>0</c:v>
                </c:pt>
                <c:pt idx="3">
                  <c:v>0</c:v>
                </c:pt>
                <c:pt idx="4">
                  <c:v>9.5471162223815913</c:v>
                </c:pt>
                <c:pt idx="5">
                  <c:v>75</c:v>
                </c:pt>
                <c:pt idx="6">
                  <c:v>150</c:v>
                </c:pt>
                <c:pt idx="7">
                  <c:v>150</c:v>
                </c:pt>
                <c:pt idx="8">
                  <c:v>150</c:v>
                </c:pt>
                <c:pt idx="9">
                  <c:v>150</c:v>
                </c:pt>
                <c:pt idx="10">
                  <c:v>150</c:v>
                </c:pt>
                <c:pt idx="11">
                  <c:v>150</c:v>
                </c:pt>
                <c:pt idx="12">
                  <c:v>150</c:v>
                </c:pt>
                <c:pt idx="13">
                  <c:v>150</c:v>
                </c:pt>
                <c:pt idx="14">
                  <c:v>150</c:v>
                </c:pt>
                <c:pt idx="15">
                  <c:v>150</c:v>
                </c:pt>
                <c:pt idx="16">
                  <c:v>121.50000000000001</c:v>
                </c:pt>
                <c:pt idx="17">
                  <c:v>98.41500000000002</c:v>
                </c:pt>
                <c:pt idx="18">
                  <c:v>79.716150000000027</c:v>
                </c:pt>
                <c:pt idx="19">
                  <c:v>64.570081500000029</c:v>
                </c:pt>
                <c:pt idx="20">
                  <c:v>52.301766015000027</c:v>
                </c:pt>
                <c:pt idx="21">
                  <c:v>42.364430472150026</c:v>
                </c:pt>
                <c:pt idx="22">
                  <c:v>34.315188682441523</c:v>
                </c:pt>
                <c:pt idx="23">
                  <c:v>27.795302832777637</c:v>
                </c:pt>
                <c:pt idx="24">
                  <c:v>22.514195294549886</c:v>
                </c:pt>
                <c:pt idx="25">
                  <c:v>18.236498188585408</c:v>
                </c:pt>
                <c:pt idx="26">
                  <c:v>14.771563532754181</c:v>
                </c:pt>
                <c:pt idx="27">
                  <c:v>11.964966461530887</c:v>
                </c:pt>
                <c:pt idx="28">
                  <c:v>9.6916228338400181</c:v>
                </c:pt>
                <c:pt idx="29">
                  <c:v>7.8502144954104152</c:v>
                </c:pt>
                <c:pt idx="30">
                  <c:v>6.3586737412824368</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73FE-4047-8C6D-1750199C0A53}"/>
            </c:ext>
          </c:extLst>
        </c:ser>
        <c:dLbls>
          <c:showLegendKey val="0"/>
          <c:showVal val="0"/>
          <c:showCatName val="0"/>
          <c:showSerName val="0"/>
          <c:showPercent val="0"/>
          <c:showBubbleSize val="0"/>
        </c:dLbls>
        <c:axId val="160283264"/>
        <c:axId val="160281344"/>
      </c:areaChart>
      <c:lineChart>
        <c:grouping val="standard"/>
        <c:varyColors val="0"/>
        <c:ser>
          <c:idx val="0"/>
          <c:order val="0"/>
          <c:tx>
            <c:strRef>
              <c:f>Charts!$E$128</c:f>
              <c:strCache>
                <c:ptCount val="1"/>
                <c:pt idx="0">
                  <c:v> Operating unit costs </c:v>
                </c:pt>
              </c:strCache>
            </c:strRef>
          </c:tx>
          <c:spPr>
            <a:ln w="28575" cap="rnd">
              <a:solidFill>
                <a:schemeClr val="accent1"/>
              </a:solidFill>
              <a:round/>
            </a:ln>
            <a:effectLst/>
          </c:spPr>
          <c:marker>
            <c:symbol val="none"/>
          </c:marker>
          <c:cat>
            <c:numRef>
              <c:f>Charts!$K$122:$AX$122</c:f>
              <c:numCache>
                <c:formatCode>###0_);\(###0\);"-  ";" "@" "</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Charts!$K$128:$AX$128</c:f>
              <c:numCache>
                <c:formatCode>#,##0_);\(#,##0\);"-  ";" "@" "</c:formatCode>
                <c:ptCount val="40"/>
                <c:pt idx="0">
                  <c:v>0</c:v>
                </c:pt>
                <c:pt idx="1">
                  <c:v>0</c:v>
                </c:pt>
                <c:pt idx="2">
                  <c:v>0</c:v>
                </c:pt>
                <c:pt idx="3">
                  <c:v>0</c:v>
                </c:pt>
                <c:pt idx="4">
                  <c:v>14.348448073641537</c:v>
                </c:pt>
                <c:pt idx="5">
                  <c:v>6.5753424657534243</c:v>
                </c:pt>
                <c:pt idx="6">
                  <c:v>4.7488584474885842</c:v>
                </c:pt>
                <c:pt idx="7">
                  <c:v>4.7488584474885842</c:v>
                </c:pt>
                <c:pt idx="8">
                  <c:v>4.7488584474885842</c:v>
                </c:pt>
                <c:pt idx="9">
                  <c:v>4.7488584474885842</c:v>
                </c:pt>
                <c:pt idx="10">
                  <c:v>4.7488584474885842</c:v>
                </c:pt>
                <c:pt idx="11">
                  <c:v>4.7488584474885842</c:v>
                </c:pt>
                <c:pt idx="12">
                  <c:v>4.7488584474885842</c:v>
                </c:pt>
                <c:pt idx="13">
                  <c:v>4.7488584474885842</c:v>
                </c:pt>
                <c:pt idx="14">
                  <c:v>4.7488584474885842</c:v>
                </c:pt>
                <c:pt idx="15">
                  <c:v>4.7488584474885842</c:v>
                </c:pt>
                <c:pt idx="16">
                  <c:v>5.8627882067760284</c:v>
                </c:pt>
                <c:pt idx="17">
                  <c:v>7.2380101318222581</c:v>
                </c:pt>
                <c:pt idx="18">
                  <c:v>5.1552778716682743</c:v>
                </c:pt>
                <c:pt idx="19">
                  <c:v>5.9402378768194097</c:v>
                </c:pt>
                <c:pt idx="20">
                  <c:v>6.2859660072163068</c:v>
                </c:pt>
                <c:pt idx="21">
                  <c:v>7.1784179712038059</c:v>
                </c:pt>
                <c:pt idx="22">
                  <c:v>7.9840039719762039</c:v>
                </c:pt>
                <c:pt idx="23">
                  <c:v>9.3639552757745594</c:v>
                </c:pt>
                <c:pt idx="24">
                  <c:v>10.951994474590128</c:v>
                </c:pt>
                <c:pt idx="25">
                  <c:v>12.769815231003582</c:v>
                </c:pt>
                <c:pt idx="26">
                  <c:v>14.837839048370171</c:v>
                </c:pt>
                <c:pt idx="27">
                  <c:v>17.173424824502515</c:v>
                </c:pt>
                <c:pt idx="28">
                  <c:v>19.788308439755983</c:v>
                </c:pt>
                <c:pt idx="29">
                  <c:v>24.430010419451829</c:v>
                </c:pt>
                <c:pt idx="30">
                  <c:v>28.006184784204031</c:v>
                </c:pt>
                <c:pt idx="31">
                  <c:v>0</c:v>
                </c:pt>
                <c:pt idx="32">
                  <c:v>0</c:v>
                </c:pt>
                <c:pt idx="33">
                  <c:v>0</c:v>
                </c:pt>
                <c:pt idx="34">
                  <c:v>0</c:v>
                </c:pt>
                <c:pt idx="35">
                  <c:v>0</c:v>
                </c:pt>
                <c:pt idx="36">
                  <c:v>0</c:v>
                </c:pt>
                <c:pt idx="37">
                  <c:v>0</c:v>
                </c:pt>
                <c:pt idx="38">
                  <c:v>0</c:v>
                </c:pt>
                <c:pt idx="39">
                  <c:v>0</c:v>
                </c:pt>
              </c:numCache>
            </c:numRef>
          </c:val>
          <c:smooth val="0"/>
          <c:extLst>
            <c:ext xmlns:c16="http://schemas.microsoft.com/office/drawing/2014/chart" uri="{C3380CC4-5D6E-409C-BE32-E72D297353CC}">
              <c16:uniqueId val="{00000001-73FE-4047-8C6D-1750199C0A53}"/>
            </c:ext>
          </c:extLst>
        </c:ser>
        <c:dLbls>
          <c:showLegendKey val="0"/>
          <c:showVal val="0"/>
          <c:showCatName val="0"/>
          <c:showSerName val="0"/>
          <c:showPercent val="0"/>
          <c:showBubbleSize val="0"/>
        </c:dLbls>
        <c:marker val="1"/>
        <c:smooth val="0"/>
        <c:axId val="158262016"/>
        <c:axId val="158263936"/>
      </c:lineChart>
      <c:catAx>
        <c:axId val="158262016"/>
        <c:scaling>
          <c:orientation val="minMax"/>
        </c:scaling>
        <c:delete val="0"/>
        <c:axPos val="b"/>
        <c:title>
          <c:tx>
            <c:strRef>
              <c:f>Charts!$F$118</c:f>
              <c:strCache>
                <c:ptCount val="1"/>
                <c:pt idx="0">
                  <c:v> Year </c:v>
                </c:pt>
              </c:strCache>
            </c:strRef>
          </c:tx>
          <c:overlay val="0"/>
          <c:spPr>
            <a:noFill/>
            <a:ln>
              <a:noFill/>
            </a:ln>
            <a:effectLst/>
          </c:spPr>
          <c:txPr>
            <a:bodyPr rot="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title>
        <c:numFmt formatCode="###0_);\(###0\);&quot;-  &quot;;&quot; &quot;@&quot; &quot;"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158263936"/>
        <c:crosses val="autoZero"/>
        <c:auto val="1"/>
        <c:lblAlgn val="ctr"/>
        <c:lblOffset val="100"/>
        <c:noMultiLvlLbl val="0"/>
      </c:catAx>
      <c:valAx>
        <c:axId val="158263936"/>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Charts!$F$119</c:f>
              <c:strCache>
                <c:ptCount val="1"/>
                <c:pt idx="0">
                  <c:v> US$ 2021 / bbl </c:v>
                </c:pt>
              </c:strCache>
            </c:strRef>
          </c:tx>
          <c:overlay val="0"/>
          <c:spPr>
            <a:noFill/>
            <a:ln>
              <a:noFill/>
            </a:ln>
            <a:effectLst/>
          </c:spPr>
          <c:txPr>
            <a:bodyPr rot="-54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158262016"/>
        <c:crosses val="autoZero"/>
        <c:crossBetween val="between"/>
      </c:valAx>
      <c:valAx>
        <c:axId val="160281344"/>
        <c:scaling>
          <c:orientation val="minMax"/>
        </c:scaling>
        <c:delete val="0"/>
        <c:axPos val="r"/>
        <c:title>
          <c:tx>
            <c:strRef>
              <c:f>Charts!$G$124</c:f>
              <c:strCache>
                <c:ptCount val="1"/>
                <c:pt idx="0">
                  <c:v> KBOPD </c:v>
                </c:pt>
              </c:strCache>
            </c:strRef>
          </c:tx>
          <c:overlay val="0"/>
          <c:spPr>
            <a:noFill/>
            <a:ln>
              <a:noFill/>
            </a:ln>
            <a:effectLst/>
          </c:spPr>
          <c:txPr>
            <a:bodyPr rot="-54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title>
        <c:numFmt formatCode="#,##0_);\(#,##0\);&quot;-  &quot;;&quot; &quot;@&quot; &quot;"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160283264"/>
        <c:crosses val="max"/>
        <c:crossBetween val="between"/>
      </c:valAx>
      <c:catAx>
        <c:axId val="160283264"/>
        <c:scaling>
          <c:orientation val="minMax"/>
        </c:scaling>
        <c:delete val="1"/>
        <c:axPos val="b"/>
        <c:majorTickMark val="out"/>
        <c:minorTickMark val="none"/>
        <c:tickLblPos val="nextTo"/>
        <c:crossAx val="160281344"/>
        <c:crosses val="autoZero"/>
        <c:auto val="1"/>
        <c:lblAlgn val="ctr"/>
        <c:lblOffset val="100"/>
        <c:noMultiLvlLbl val="0"/>
      </c:catAx>
      <c:spPr>
        <a:noFill/>
        <a:ln>
          <a:noFill/>
        </a:ln>
        <a:effectLst/>
      </c:spPr>
    </c:plotArea>
    <c:legend>
      <c:legendPos val="b"/>
      <c:layout>
        <c:manualLayout>
          <c:xMode val="edge"/>
          <c:yMode val="edge"/>
          <c:x val="4.9999885050864994E-2"/>
          <c:y val="0.86457916563935322"/>
          <c:w val="0.94087591240875912"/>
          <c:h val="9.7920815905913339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chemeClr val="tx1"/>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'800MMbbl_A'!$E$48</c:f>
              <c:strCache>
                <c:ptCount val="1"/>
                <c:pt idx="0">
                  <c:v> 800MMbbl_A Unit opex </c:v>
                </c:pt>
              </c:strCache>
            </c:strRef>
          </c:tx>
          <c:spPr>
            <a:ln w="28575" cap="rnd">
              <a:solidFill>
                <a:schemeClr val="accent1"/>
              </a:solidFill>
              <a:round/>
            </a:ln>
            <a:effectLst/>
          </c:spPr>
          <c:marker>
            <c:symbol val="none"/>
          </c:marker>
          <c:cat>
            <c:numRef>
              <c:f>'800MMbbl_A'!$K$1:$AX$1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'800MMbbl_A'!$K$48:$AX$48</c:f>
              <c:numCache>
                <c:formatCode>#,##0_);\(#,##0\);"-  ";" "@" "</c:formatCode>
                <c:ptCount val="40"/>
                <c:pt idx="0">
                  <c:v>0</c:v>
                </c:pt>
                <c:pt idx="1">
                  <c:v>0</c:v>
                </c:pt>
                <c:pt idx="2">
                  <c:v>0</c:v>
                </c:pt>
                <c:pt idx="3">
                  <c:v>0</c:v>
                </c:pt>
                <c:pt idx="4">
                  <c:v>14.348448073641537</c:v>
                </c:pt>
                <c:pt idx="5">
                  <c:v>6.5753424657534243</c:v>
                </c:pt>
                <c:pt idx="6">
                  <c:v>4.7488584474885842</c:v>
                </c:pt>
                <c:pt idx="7">
                  <c:v>4.7488584474885842</c:v>
                </c:pt>
                <c:pt idx="8">
                  <c:v>4.7488584474885842</c:v>
                </c:pt>
                <c:pt idx="9">
                  <c:v>4.7488584474885842</c:v>
                </c:pt>
                <c:pt idx="10">
                  <c:v>4.7488584474885842</c:v>
                </c:pt>
                <c:pt idx="11">
                  <c:v>4.7488584474885842</c:v>
                </c:pt>
                <c:pt idx="12">
                  <c:v>4.7488584474885842</c:v>
                </c:pt>
                <c:pt idx="13">
                  <c:v>4.7488584474885842</c:v>
                </c:pt>
                <c:pt idx="14">
                  <c:v>4.7488584474885842</c:v>
                </c:pt>
                <c:pt idx="15">
                  <c:v>4.7488584474885842</c:v>
                </c:pt>
                <c:pt idx="16">
                  <c:v>5.8627882067760284</c:v>
                </c:pt>
                <c:pt idx="17">
                  <c:v>7.2380101318222581</c:v>
                </c:pt>
                <c:pt idx="18">
                  <c:v>5.1552778716682743</c:v>
                </c:pt>
                <c:pt idx="19">
                  <c:v>5.9402378768194097</c:v>
                </c:pt>
                <c:pt idx="20">
                  <c:v>6.2859660072163059</c:v>
                </c:pt>
                <c:pt idx="21">
                  <c:v>7.1784179712038068</c:v>
                </c:pt>
                <c:pt idx="22">
                  <c:v>7.9840039719762039</c:v>
                </c:pt>
                <c:pt idx="23">
                  <c:v>9.3639552757745594</c:v>
                </c:pt>
                <c:pt idx="24">
                  <c:v>10.951994474590128</c:v>
                </c:pt>
                <c:pt idx="25">
                  <c:v>12.76981523100358</c:v>
                </c:pt>
                <c:pt idx="26">
                  <c:v>14.837839048370171</c:v>
                </c:pt>
                <c:pt idx="27">
                  <c:v>17.173424824502515</c:v>
                </c:pt>
                <c:pt idx="28">
                  <c:v>19.788308439755983</c:v>
                </c:pt>
                <c:pt idx="29">
                  <c:v>24.430010419451829</c:v>
                </c:pt>
                <c:pt idx="30">
                  <c:v>28.006184784204031</c:v>
                </c:pt>
                <c:pt idx="31">
                  <c:v>0</c:v>
                </c:pt>
                <c:pt idx="32">
                  <c:v>0</c:v>
                </c:pt>
                <c:pt idx="33">
                  <c:v>0</c:v>
                </c:pt>
                <c:pt idx="34">
                  <c:v>0</c:v>
                </c:pt>
                <c:pt idx="35">
                  <c:v>0</c:v>
                </c:pt>
                <c:pt idx="36">
                  <c:v>0</c:v>
                </c:pt>
                <c:pt idx="37">
                  <c:v>0</c:v>
                </c:pt>
                <c:pt idx="38">
                  <c:v>0</c:v>
                </c:pt>
                <c:pt idx="39">
                  <c:v>0</c:v>
                </c:pt>
              </c:numCache>
            </c:numRef>
          </c:val>
          <c:smooth val="0"/>
          <c:extLst>
            <c:ext xmlns:c16="http://schemas.microsoft.com/office/drawing/2014/chart" uri="{C3380CC4-5D6E-409C-BE32-E72D297353CC}">
              <c16:uniqueId val="{00000000-9C29-4858-ABF7-A2D2B40C15FB}"/>
            </c:ext>
          </c:extLst>
        </c:ser>
        <c:dLbls>
          <c:showLegendKey val="0"/>
          <c:showVal val="0"/>
          <c:showCatName val="0"/>
          <c:showSerName val="0"/>
          <c:showPercent val="0"/>
          <c:showBubbleSize val="0"/>
        </c:dLbls>
        <c:smooth val="0"/>
        <c:axId val="267223808"/>
        <c:axId val="267225728"/>
      </c:lineChart>
      <c:catAx>
        <c:axId val="26722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225728"/>
        <c:crosses val="autoZero"/>
        <c:auto val="1"/>
        <c:lblAlgn val="ctr"/>
        <c:lblOffset val="100"/>
        <c:noMultiLvlLbl val="0"/>
      </c:catAx>
      <c:valAx>
        <c:axId val="267225728"/>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'800MMbbl_A'!$G$48</c:f>
              <c:strCache>
                <c:ptCount val="1"/>
                <c:pt idx="0">
                  <c:v> US$ 2021 / bbl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223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'800MMbbl_A'!$A$1</c:f>
          <c:strCache>
            <c:ptCount val="1"/>
            <c:pt idx="0">
              <c:v>800MMbbl_A</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'800MMbbl_A'!$E$11</c:f>
              <c:strCache>
                <c:ptCount val="1"/>
                <c:pt idx="0">
                  <c:v> Exploration costs </c:v>
                </c:pt>
              </c:strCache>
            </c:strRef>
          </c:tx>
          <c:spPr>
            <a:solidFill>
              <a:schemeClr val="accent1"/>
            </a:solidFill>
            <a:ln>
              <a:noFill/>
            </a:ln>
            <a:effectLst/>
          </c:spPr>
          <c:invertIfNegative val="0"/>
          <c:cat>
            <c:numRef>
              <c:f>'800MMbbl_A'!$K$1:$AX$1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'800MMbbl_A'!$K$11:$AX$11</c:f>
              <c:numCache>
                <c:formatCode>#,##0_);\(#,##0\);"-  ";" "@" "</c:formatCode>
                <c:ptCount val="40"/>
                <c:pt idx="0">
                  <c:v>420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163C-4C49-A849-479FF6CAD45A}"/>
            </c:ext>
          </c:extLst>
        </c:ser>
        <c:ser>
          <c:idx val="1"/>
          <c:order val="1"/>
          <c:tx>
            <c:strRef>
              <c:f>'800MMbbl_A'!$E$12</c:f>
              <c:strCache>
                <c:ptCount val="1"/>
                <c:pt idx="0">
                  <c:v> Development costs </c:v>
                </c:pt>
              </c:strCache>
            </c:strRef>
          </c:tx>
          <c:spPr>
            <a:solidFill>
              <a:schemeClr val="accent2"/>
            </a:solidFill>
            <a:ln>
              <a:noFill/>
            </a:ln>
            <a:effectLst/>
          </c:spPr>
          <c:invertIfNegative val="0"/>
          <c:cat>
            <c:numRef>
              <c:f>'800MMbbl_A'!$K$1:$AX$1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'800MMbbl_A'!$K$12:$AX$12</c:f>
              <c:numCache>
                <c:formatCode>#,##0_);\(#,##0\);"-  ";" "@" "</c:formatCode>
                <c:ptCount val="40"/>
                <c:pt idx="1">
                  <c:v>50</c:v>
                </c:pt>
                <c:pt idx="2">
                  <c:v>300</c:v>
                </c:pt>
                <c:pt idx="3">
                  <c:v>1200</c:v>
                </c:pt>
                <c:pt idx="4">
                  <c:v>1200</c:v>
                </c:pt>
                <c:pt idx="5">
                  <c:v>2100</c:v>
                </c:pt>
                <c:pt idx="6">
                  <c:v>1100</c:v>
                </c:pt>
                <c:pt idx="7">
                  <c:v>450</c:v>
                </c:pt>
                <c:pt idx="8">
                  <c:v>250</c:v>
                </c:pt>
                <c:pt idx="9">
                  <c:v>250</c:v>
                </c:pt>
                <c:pt idx="10">
                  <c:v>250</c:v>
                </c:pt>
                <c:pt idx="11">
                  <c:v>250</c:v>
                </c:pt>
                <c:pt idx="12">
                  <c:v>250</c:v>
                </c:pt>
                <c:pt idx="13">
                  <c:v>250</c:v>
                </c:pt>
                <c:pt idx="14">
                  <c:v>250</c:v>
                </c:pt>
                <c:pt idx="15">
                  <c:v>250</c:v>
                </c:pt>
                <c:pt idx="16">
                  <c:v>250</c:v>
                </c:pt>
                <c:pt idx="17">
                  <c:v>0</c:v>
                </c:pt>
                <c:pt idx="18">
                  <c:v>0</c:v>
                </c:pt>
                <c:pt idx="19">
                  <c:v>200</c:v>
                </c:pt>
                <c:pt idx="20">
                  <c:v>200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163C-4C49-A849-479FF6CAD45A}"/>
            </c:ext>
          </c:extLst>
        </c:ser>
        <c:ser>
          <c:idx val="3"/>
          <c:order val="2"/>
          <c:tx>
            <c:strRef>
              <c:f>'800MMbbl_A'!$E$13</c:f>
              <c:strCache>
                <c:ptCount val="1"/>
                <c:pt idx="0">
                  <c:v> Replacement capital costs </c:v>
                </c:pt>
              </c:strCache>
            </c:strRef>
          </c:tx>
          <c:spPr>
            <a:solidFill>
              <a:schemeClr val="accent4"/>
            </a:solidFill>
            <a:ln>
              <a:noFill/>
            </a:ln>
            <a:effectLst/>
          </c:spPr>
          <c:invertIfNegative val="0"/>
          <c:cat>
            <c:numRef>
              <c:f>'800MMbbl_A'!$K$1:$AX$1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'800MMbbl_A'!$K$13:$AX$13</c:f>
              <c:numCache>
                <c:formatCode>#,##0_);\(#,##0\);"-  ";" "@" "</c:formatCode>
                <c:ptCount val="40"/>
              </c:numCache>
            </c:numRef>
          </c:val>
          <c:extLst>
            <c:ext xmlns:c16="http://schemas.microsoft.com/office/drawing/2014/chart" uri="{C3380CC4-5D6E-409C-BE32-E72D297353CC}">
              <c16:uniqueId val="{00000002-163C-4C49-A849-479FF6CAD45A}"/>
            </c:ext>
          </c:extLst>
        </c:ser>
        <c:ser>
          <c:idx val="4"/>
          <c:order val="3"/>
          <c:tx>
            <c:strRef>
              <c:f>'800MMbbl_A'!$E$14</c:f>
              <c:strCache>
                <c:ptCount val="1"/>
                <c:pt idx="0">
                  <c:v> Operating costs </c:v>
                </c:pt>
              </c:strCache>
            </c:strRef>
          </c:tx>
          <c:spPr>
            <a:solidFill>
              <a:schemeClr val="accent5"/>
            </a:solidFill>
            <a:ln>
              <a:noFill/>
            </a:ln>
            <a:effectLst/>
          </c:spPr>
          <c:invertIfNegative val="0"/>
          <c:cat>
            <c:numRef>
              <c:f>'800MMbbl_A'!$K$1:$AX$1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'800MMbbl_A'!$K$14:$AX$14</c:f>
              <c:numCache>
                <c:formatCode>#,##0_);\(#,##0\);"-  ";" "@" "</c:formatCode>
                <c:ptCount val="40"/>
                <c:pt idx="1">
                  <c:v>0</c:v>
                </c:pt>
                <c:pt idx="4">
                  <c:v>50</c:v>
                </c:pt>
                <c:pt idx="5">
                  <c:v>180</c:v>
                </c:pt>
                <c:pt idx="6">
                  <c:v>260</c:v>
                </c:pt>
                <c:pt idx="7">
                  <c:v>260</c:v>
                </c:pt>
                <c:pt idx="8">
                  <c:v>260</c:v>
                </c:pt>
                <c:pt idx="9">
                  <c:v>260</c:v>
                </c:pt>
                <c:pt idx="10">
                  <c:v>260</c:v>
                </c:pt>
                <c:pt idx="11">
                  <c:v>260</c:v>
                </c:pt>
                <c:pt idx="12">
                  <c:v>260</c:v>
                </c:pt>
                <c:pt idx="13">
                  <c:v>260</c:v>
                </c:pt>
                <c:pt idx="14">
                  <c:v>260</c:v>
                </c:pt>
                <c:pt idx="15">
                  <c:v>260</c:v>
                </c:pt>
                <c:pt idx="16">
                  <c:v>260</c:v>
                </c:pt>
                <c:pt idx="17">
                  <c:v>260</c:v>
                </c:pt>
                <c:pt idx="18">
                  <c:v>150</c:v>
                </c:pt>
                <c:pt idx="19">
                  <c:v>140</c:v>
                </c:pt>
                <c:pt idx="20">
                  <c:v>120</c:v>
                </c:pt>
                <c:pt idx="21">
                  <c:v>111</c:v>
                </c:pt>
                <c:pt idx="22">
                  <c:v>100</c:v>
                </c:pt>
                <c:pt idx="23">
                  <c:v>95</c:v>
                </c:pt>
                <c:pt idx="24">
                  <c:v>90</c:v>
                </c:pt>
                <c:pt idx="25">
                  <c:v>85</c:v>
                </c:pt>
                <c:pt idx="26">
                  <c:v>80</c:v>
                </c:pt>
                <c:pt idx="27">
                  <c:v>75</c:v>
                </c:pt>
                <c:pt idx="28">
                  <c:v>70</c:v>
                </c:pt>
                <c:pt idx="29">
                  <c:v>70</c:v>
                </c:pt>
                <c:pt idx="30">
                  <c:v>65</c:v>
                </c:pt>
              </c:numCache>
            </c:numRef>
          </c:val>
          <c:extLst>
            <c:ext xmlns:c16="http://schemas.microsoft.com/office/drawing/2014/chart" uri="{C3380CC4-5D6E-409C-BE32-E72D297353CC}">
              <c16:uniqueId val="{00000003-163C-4C49-A849-479FF6CAD45A}"/>
            </c:ext>
          </c:extLst>
        </c:ser>
        <c:ser>
          <c:idx val="5"/>
          <c:order val="4"/>
          <c:tx>
            <c:strRef>
              <c:f>'800MMbbl_A'!$E$15</c:f>
              <c:strCache>
                <c:ptCount val="1"/>
                <c:pt idx="0">
                  <c:v> Decommissioning costs </c:v>
                </c:pt>
              </c:strCache>
            </c:strRef>
          </c:tx>
          <c:spPr>
            <a:solidFill>
              <a:schemeClr val="accent6"/>
            </a:solidFill>
            <a:ln>
              <a:noFill/>
            </a:ln>
            <a:effectLst/>
          </c:spPr>
          <c:invertIfNegative val="0"/>
          <c:cat>
            <c:numRef>
              <c:f>'800MMbbl_A'!$K$1:$AX$1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'800MMbbl_A'!$K$15:$AW$15</c:f>
              <c:numCache>
                <c:formatCode>#,##0_);\(#,##0\);"-  ";" "@" "</c:formatCode>
                <c:ptCount val="39"/>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7">
                  <c:v>250</c:v>
                </c:pt>
                <c:pt idx="28">
                  <c:v>0</c:v>
                </c:pt>
                <c:pt idx="29">
                  <c:v>0</c:v>
                </c:pt>
                <c:pt idx="30">
                  <c:v>0</c:v>
                </c:pt>
                <c:pt idx="31">
                  <c:v>250</c:v>
                </c:pt>
                <c:pt idx="32">
                  <c:v>250</c:v>
                </c:pt>
              </c:numCache>
            </c:numRef>
          </c:val>
          <c:extLst>
            <c:ext xmlns:c16="http://schemas.microsoft.com/office/drawing/2014/chart" uri="{C3380CC4-5D6E-409C-BE32-E72D297353CC}">
              <c16:uniqueId val="{00000004-163C-4C49-A849-479FF6CAD45A}"/>
            </c:ext>
          </c:extLst>
        </c:ser>
        <c:dLbls>
          <c:showLegendKey val="0"/>
          <c:showVal val="0"/>
          <c:showCatName val="0"/>
          <c:showSerName val="0"/>
          <c:showPercent val="0"/>
          <c:showBubbleSize val="0"/>
        </c:dLbls>
        <c:gapWidth val="50"/>
        <c:overlap val="100"/>
        <c:axId val="268814976"/>
        <c:axId val="268824960"/>
      </c:barChart>
      <c:lineChart>
        <c:grouping val="standard"/>
        <c:varyColors val="0"/>
        <c:ser>
          <c:idx val="6"/>
          <c:order val="5"/>
          <c:tx>
            <c:strRef>
              <c:f>'800MMbbl_A'!$E$9</c:f>
              <c:strCache>
                <c:ptCount val="1"/>
                <c:pt idx="0">
                  <c:v> Oil production RATE </c:v>
                </c:pt>
              </c:strCache>
            </c:strRef>
          </c:tx>
          <c:spPr>
            <a:ln w="28575" cap="rnd">
              <a:solidFill>
                <a:schemeClr val="accent1">
                  <a:lumMod val="60000"/>
                </a:schemeClr>
              </a:solidFill>
              <a:round/>
            </a:ln>
            <a:effectLst/>
          </c:spPr>
          <c:marker>
            <c:symbol val="none"/>
          </c:marker>
          <c:val>
            <c:numRef>
              <c:f>'800MMbbl_A'!$K$9:$AX$9</c:f>
              <c:numCache>
                <c:formatCode>#,##0_);\(#,##0\);"-  ";" "@" "</c:formatCode>
                <c:ptCount val="40"/>
                <c:pt idx="0">
                  <c:v>0</c:v>
                </c:pt>
                <c:pt idx="1">
                  <c:v>0</c:v>
                </c:pt>
                <c:pt idx="2">
                  <c:v>0</c:v>
                </c:pt>
                <c:pt idx="3">
                  <c:v>0</c:v>
                </c:pt>
                <c:pt idx="4">
                  <c:v>9.5471162223815913</c:v>
                </c:pt>
                <c:pt idx="5">
                  <c:v>75</c:v>
                </c:pt>
                <c:pt idx="6">
                  <c:v>150</c:v>
                </c:pt>
                <c:pt idx="7">
                  <c:v>150</c:v>
                </c:pt>
                <c:pt idx="8">
                  <c:v>150</c:v>
                </c:pt>
                <c:pt idx="9">
                  <c:v>150</c:v>
                </c:pt>
                <c:pt idx="10">
                  <c:v>150</c:v>
                </c:pt>
                <c:pt idx="11">
                  <c:v>150</c:v>
                </c:pt>
                <c:pt idx="12">
                  <c:v>150</c:v>
                </c:pt>
                <c:pt idx="13">
                  <c:v>150</c:v>
                </c:pt>
                <c:pt idx="14">
                  <c:v>150</c:v>
                </c:pt>
                <c:pt idx="15">
                  <c:v>150</c:v>
                </c:pt>
                <c:pt idx="16">
                  <c:v>121.50000000000001</c:v>
                </c:pt>
                <c:pt idx="17">
                  <c:v>98.41500000000002</c:v>
                </c:pt>
                <c:pt idx="18">
                  <c:v>79.716150000000027</c:v>
                </c:pt>
                <c:pt idx="19">
                  <c:v>64.570081500000029</c:v>
                </c:pt>
                <c:pt idx="20">
                  <c:v>52.301766015000027</c:v>
                </c:pt>
                <c:pt idx="21">
                  <c:v>42.364430472150026</c:v>
                </c:pt>
                <c:pt idx="22">
                  <c:v>34.315188682441523</c:v>
                </c:pt>
                <c:pt idx="23">
                  <c:v>27.795302832777637</c:v>
                </c:pt>
                <c:pt idx="24">
                  <c:v>22.514195294549886</c:v>
                </c:pt>
                <c:pt idx="25">
                  <c:v>18.236498188585408</c:v>
                </c:pt>
                <c:pt idx="26">
                  <c:v>14.771563532754181</c:v>
                </c:pt>
                <c:pt idx="27">
                  <c:v>11.964966461530887</c:v>
                </c:pt>
                <c:pt idx="28">
                  <c:v>9.6916228338400181</c:v>
                </c:pt>
                <c:pt idx="29">
                  <c:v>7.8502144954104152</c:v>
                </c:pt>
                <c:pt idx="30">
                  <c:v>6.3586737412824368</c:v>
                </c:pt>
              </c:numCache>
            </c:numRef>
          </c:val>
          <c:smooth val="0"/>
          <c:extLst>
            <c:ext xmlns:c16="http://schemas.microsoft.com/office/drawing/2014/chart" uri="{C3380CC4-5D6E-409C-BE32-E72D297353CC}">
              <c16:uniqueId val="{00000005-163C-4C49-A849-479FF6CAD45A}"/>
            </c:ext>
          </c:extLst>
        </c:ser>
        <c:dLbls>
          <c:showLegendKey val="0"/>
          <c:showVal val="0"/>
          <c:showCatName val="0"/>
          <c:showSerName val="0"/>
          <c:showPercent val="0"/>
          <c:showBubbleSize val="0"/>
        </c:dLbls>
        <c:marker val="1"/>
        <c:smooth val="0"/>
        <c:axId val="268828032"/>
        <c:axId val="268826496"/>
      </c:lineChart>
      <c:catAx>
        <c:axId val="268814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24960"/>
        <c:crosses val="autoZero"/>
        <c:auto val="1"/>
        <c:lblAlgn val="ctr"/>
        <c:lblOffset val="100"/>
        <c:noMultiLvlLbl val="0"/>
      </c:catAx>
      <c:valAx>
        <c:axId val="268824960"/>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14976"/>
        <c:crosses val="autoZero"/>
        <c:crossBetween val="between"/>
      </c:valAx>
      <c:valAx>
        <c:axId val="268826496"/>
        <c:scaling>
          <c:orientation val="minMax"/>
        </c:scaling>
        <c:delete val="0"/>
        <c:axPos val="r"/>
        <c:numFmt formatCode="#,##0_);\(#,##0\);&quot;-  &quot;;&quot; &quot;@&quot; &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28032"/>
        <c:crosses val="max"/>
        <c:crossBetween val="between"/>
      </c:valAx>
      <c:catAx>
        <c:axId val="268828032"/>
        <c:scaling>
          <c:orientation val="minMax"/>
        </c:scaling>
        <c:delete val="1"/>
        <c:axPos val="b"/>
        <c:majorTickMark val="out"/>
        <c:minorTickMark val="none"/>
        <c:tickLblPos val="nextTo"/>
        <c:crossAx val="268826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'800MMbbl_B'!$E$48</c:f>
              <c:strCache>
                <c:ptCount val="1"/>
                <c:pt idx="0">
                  <c:v> 800MMbbl_B Unit opex </c:v>
                </c:pt>
              </c:strCache>
            </c:strRef>
          </c:tx>
          <c:spPr>
            <a:ln w="28575" cap="rnd">
              <a:solidFill>
                <a:schemeClr val="accent1"/>
              </a:solidFill>
              <a:round/>
            </a:ln>
            <a:effectLst/>
          </c:spPr>
          <c:marker>
            <c:symbol val="none"/>
          </c:marker>
          <c:cat>
            <c:numRef>
              <c:f>'800MMbbl_B'!$K$1:$AX$1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'800MMbbl_B'!$K$48:$AX$48</c:f>
              <c:numCache>
                <c:formatCode>#,##0_);\(#,##0\);"-  ";" "@" "</c:formatCode>
                <c:ptCount val="40"/>
                <c:pt idx="0">
                  <c:v>0</c:v>
                </c:pt>
                <c:pt idx="1">
                  <c:v>0</c:v>
                </c:pt>
                <c:pt idx="2">
                  <c:v>0</c:v>
                </c:pt>
                <c:pt idx="3">
                  <c:v>0</c:v>
                </c:pt>
                <c:pt idx="4">
                  <c:v>0</c:v>
                </c:pt>
                <c:pt idx="5">
                  <c:v>0</c:v>
                </c:pt>
                <c:pt idx="6">
                  <c:v>0</c:v>
                </c:pt>
                <c:pt idx="7">
                  <c:v>14.348448073641537</c:v>
                </c:pt>
                <c:pt idx="8">
                  <c:v>6.5753424657534243</c:v>
                </c:pt>
                <c:pt idx="9">
                  <c:v>4.7488584474885842</c:v>
                </c:pt>
                <c:pt idx="10">
                  <c:v>4.7488584474885842</c:v>
                </c:pt>
                <c:pt idx="11">
                  <c:v>4.7488584474885842</c:v>
                </c:pt>
                <c:pt idx="12">
                  <c:v>4.7488584474885842</c:v>
                </c:pt>
                <c:pt idx="13">
                  <c:v>4.7488584474885842</c:v>
                </c:pt>
                <c:pt idx="14">
                  <c:v>4.7488584474885842</c:v>
                </c:pt>
                <c:pt idx="15">
                  <c:v>4.7488584474885842</c:v>
                </c:pt>
                <c:pt idx="16">
                  <c:v>4.7488584474885842</c:v>
                </c:pt>
                <c:pt idx="17">
                  <c:v>4.7488584474885842</c:v>
                </c:pt>
                <c:pt idx="18">
                  <c:v>4.7488584474885842</c:v>
                </c:pt>
                <c:pt idx="19">
                  <c:v>5.8627882067760284</c:v>
                </c:pt>
                <c:pt idx="20">
                  <c:v>7.2380101318222581</c:v>
                </c:pt>
                <c:pt idx="21">
                  <c:v>5.1552778716682743</c:v>
                </c:pt>
                <c:pt idx="22">
                  <c:v>5.9402378768194097</c:v>
                </c:pt>
                <c:pt idx="23">
                  <c:v>6.2859660072163059</c:v>
                </c:pt>
                <c:pt idx="24">
                  <c:v>7.1784179712038068</c:v>
                </c:pt>
                <c:pt idx="25">
                  <c:v>7.9840039719762039</c:v>
                </c:pt>
                <c:pt idx="26">
                  <c:v>9.3639552757745594</c:v>
                </c:pt>
                <c:pt idx="27">
                  <c:v>10.951994474590128</c:v>
                </c:pt>
                <c:pt idx="28">
                  <c:v>12.76981523100358</c:v>
                </c:pt>
                <c:pt idx="29">
                  <c:v>14.837839048370171</c:v>
                </c:pt>
                <c:pt idx="30">
                  <c:v>17.173424824502515</c:v>
                </c:pt>
                <c:pt idx="31">
                  <c:v>19.788308439755983</c:v>
                </c:pt>
                <c:pt idx="32">
                  <c:v>24.430010419451829</c:v>
                </c:pt>
                <c:pt idx="33">
                  <c:v>28.006184784204031</c:v>
                </c:pt>
                <c:pt idx="34">
                  <c:v>0</c:v>
                </c:pt>
                <c:pt idx="35">
                  <c:v>0</c:v>
                </c:pt>
                <c:pt idx="36">
                  <c:v>0</c:v>
                </c:pt>
                <c:pt idx="37">
                  <c:v>0</c:v>
                </c:pt>
                <c:pt idx="38">
                  <c:v>0</c:v>
                </c:pt>
                <c:pt idx="39">
                  <c:v>0</c:v>
                </c:pt>
              </c:numCache>
            </c:numRef>
          </c:val>
          <c:smooth val="0"/>
          <c:extLst>
            <c:ext xmlns:c16="http://schemas.microsoft.com/office/drawing/2014/chart" uri="{C3380CC4-5D6E-409C-BE32-E72D297353CC}">
              <c16:uniqueId val="{00000000-99C9-4866-8878-7F4F773A8D3D}"/>
            </c:ext>
          </c:extLst>
        </c:ser>
        <c:dLbls>
          <c:showLegendKey val="0"/>
          <c:showVal val="0"/>
          <c:showCatName val="0"/>
          <c:showSerName val="0"/>
          <c:showPercent val="0"/>
          <c:showBubbleSize val="0"/>
        </c:dLbls>
        <c:smooth val="0"/>
        <c:axId val="267223808"/>
        <c:axId val="267225728"/>
      </c:lineChart>
      <c:catAx>
        <c:axId val="26722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225728"/>
        <c:crosses val="autoZero"/>
        <c:auto val="1"/>
        <c:lblAlgn val="ctr"/>
        <c:lblOffset val="100"/>
        <c:noMultiLvlLbl val="0"/>
      </c:catAx>
      <c:valAx>
        <c:axId val="267225728"/>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'800MMbbl_B'!$G$48</c:f>
              <c:strCache>
                <c:ptCount val="1"/>
                <c:pt idx="0">
                  <c:v> US$ 2021 / bbl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223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'800MMbbl_B'!$A$1</c:f>
          <c:strCache>
            <c:ptCount val="1"/>
            <c:pt idx="0">
              <c:v>800MMbbl_B</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'800MMbbl_B'!$E$11</c:f>
              <c:strCache>
                <c:ptCount val="1"/>
                <c:pt idx="0">
                  <c:v> Exploration costs </c:v>
                </c:pt>
              </c:strCache>
            </c:strRef>
          </c:tx>
          <c:spPr>
            <a:solidFill>
              <a:schemeClr val="accent1"/>
            </a:solidFill>
            <a:ln>
              <a:noFill/>
            </a:ln>
            <a:effectLst/>
          </c:spPr>
          <c:invertIfNegative val="0"/>
          <c:cat>
            <c:numRef>
              <c:f>'800MMbbl_B'!$K$1:$AX$1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'800MMbbl_B'!$K$11:$AX$11</c:f>
              <c:numCache>
                <c:formatCode>#,##0_);\(#,##0\);"-  ";" "@" "</c:formatCode>
                <c:ptCount val="40"/>
                <c:pt idx="0">
                  <c:v>50</c:v>
                </c:pt>
                <c:pt idx="1">
                  <c:v>200</c:v>
                </c:pt>
                <c:pt idx="2">
                  <c:v>150</c:v>
                </c:pt>
                <c:pt idx="3">
                  <c:v>20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Cache>
            </c:numRef>
          </c:val>
          <c:extLst>
            <c:ext xmlns:c16="http://schemas.microsoft.com/office/drawing/2014/chart" uri="{C3380CC4-5D6E-409C-BE32-E72D297353CC}">
              <c16:uniqueId val="{00000000-263B-46F4-A827-8EA959D6FA80}"/>
            </c:ext>
          </c:extLst>
        </c:ser>
        <c:ser>
          <c:idx val="1"/>
          <c:order val="1"/>
          <c:tx>
            <c:strRef>
              <c:f>'800MMbbl_B'!$E$12</c:f>
              <c:strCache>
                <c:ptCount val="1"/>
                <c:pt idx="0">
                  <c:v> Development costs </c:v>
                </c:pt>
              </c:strCache>
            </c:strRef>
          </c:tx>
          <c:spPr>
            <a:solidFill>
              <a:schemeClr val="accent2"/>
            </a:solidFill>
            <a:ln>
              <a:noFill/>
            </a:ln>
            <a:effectLst/>
          </c:spPr>
          <c:invertIfNegative val="0"/>
          <c:cat>
            <c:numRef>
              <c:f>'800MMbbl_B'!$K$1:$AX$1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'800MMbbl_B'!$K$12:$AX$12</c:f>
              <c:numCache>
                <c:formatCode>#,##0_);\(#,##0\);"-  ";" "@" "</c:formatCode>
                <c:ptCount val="40"/>
                <c:pt idx="0">
                  <c:v>0</c:v>
                </c:pt>
                <c:pt idx="1">
                  <c:v>0</c:v>
                </c:pt>
                <c:pt idx="2">
                  <c:v>0</c:v>
                </c:pt>
                <c:pt idx="3">
                  <c:v>0</c:v>
                </c:pt>
                <c:pt idx="4">
                  <c:v>50</c:v>
                </c:pt>
                <c:pt idx="5">
                  <c:v>300</c:v>
                </c:pt>
                <c:pt idx="6">
                  <c:v>1200</c:v>
                </c:pt>
                <c:pt idx="7">
                  <c:v>1200</c:v>
                </c:pt>
                <c:pt idx="8">
                  <c:v>2100</c:v>
                </c:pt>
                <c:pt idx="9">
                  <c:v>1100</c:v>
                </c:pt>
                <c:pt idx="10">
                  <c:v>450</c:v>
                </c:pt>
                <c:pt idx="11">
                  <c:v>250</c:v>
                </c:pt>
                <c:pt idx="12">
                  <c:v>250</c:v>
                </c:pt>
                <c:pt idx="13">
                  <c:v>250</c:v>
                </c:pt>
                <c:pt idx="14">
                  <c:v>250</c:v>
                </c:pt>
                <c:pt idx="15">
                  <c:v>250</c:v>
                </c:pt>
                <c:pt idx="16">
                  <c:v>250</c:v>
                </c:pt>
                <c:pt idx="17">
                  <c:v>250</c:v>
                </c:pt>
                <c:pt idx="18">
                  <c:v>250</c:v>
                </c:pt>
                <c:pt idx="19">
                  <c:v>250</c:v>
                </c:pt>
                <c:pt idx="20">
                  <c:v>0</c:v>
                </c:pt>
                <c:pt idx="21">
                  <c:v>0</c:v>
                </c:pt>
                <c:pt idx="22">
                  <c:v>200</c:v>
                </c:pt>
                <c:pt idx="23">
                  <c:v>200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1-263B-46F4-A827-8EA959D6FA80}"/>
            </c:ext>
          </c:extLst>
        </c:ser>
        <c:ser>
          <c:idx val="3"/>
          <c:order val="2"/>
          <c:tx>
            <c:strRef>
              <c:f>'800MMbbl_B'!$E$13</c:f>
              <c:strCache>
                <c:ptCount val="1"/>
                <c:pt idx="0">
                  <c:v> Replacement capital costs </c:v>
                </c:pt>
              </c:strCache>
            </c:strRef>
          </c:tx>
          <c:spPr>
            <a:solidFill>
              <a:schemeClr val="accent4"/>
            </a:solidFill>
            <a:ln>
              <a:noFill/>
            </a:ln>
            <a:effectLst/>
          </c:spPr>
          <c:invertIfNegative val="0"/>
          <c:cat>
            <c:numRef>
              <c:f>'800MMbbl_B'!$K$1:$AX$1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'800MMbbl_B'!$K$13:$AX$13</c:f>
              <c:numCache>
                <c:formatCode>#,##0_);\(#,##0\);"-  ";" "@" "</c:formatCode>
                <c:ptCount val="40"/>
              </c:numCache>
            </c:numRef>
          </c:val>
          <c:extLst>
            <c:ext xmlns:c16="http://schemas.microsoft.com/office/drawing/2014/chart" uri="{C3380CC4-5D6E-409C-BE32-E72D297353CC}">
              <c16:uniqueId val="{00000002-263B-46F4-A827-8EA959D6FA80}"/>
            </c:ext>
          </c:extLst>
        </c:ser>
        <c:ser>
          <c:idx val="4"/>
          <c:order val="3"/>
          <c:tx>
            <c:strRef>
              <c:f>'800MMbbl_B'!$E$14</c:f>
              <c:strCache>
                <c:ptCount val="1"/>
                <c:pt idx="0">
                  <c:v> Operating costs </c:v>
                </c:pt>
              </c:strCache>
            </c:strRef>
          </c:tx>
          <c:spPr>
            <a:solidFill>
              <a:schemeClr val="accent5"/>
            </a:solidFill>
            <a:ln>
              <a:noFill/>
            </a:ln>
            <a:effectLst/>
          </c:spPr>
          <c:invertIfNegative val="0"/>
          <c:cat>
            <c:numRef>
              <c:f>'800MMbbl_B'!$K$1:$AX$1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'800MMbbl_B'!$K$14:$AX$14</c:f>
              <c:numCache>
                <c:formatCode>#,##0_);\(#,##0\);"-  ";" "@" "</c:formatCode>
                <c:ptCount val="40"/>
                <c:pt idx="1">
                  <c:v>0</c:v>
                </c:pt>
                <c:pt idx="7">
                  <c:v>50</c:v>
                </c:pt>
                <c:pt idx="8">
                  <c:v>180</c:v>
                </c:pt>
                <c:pt idx="9">
                  <c:v>260</c:v>
                </c:pt>
                <c:pt idx="10">
                  <c:v>260</c:v>
                </c:pt>
                <c:pt idx="11">
                  <c:v>260</c:v>
                </c:pt>
                <c:pt idx="12">
                  <c:v>260</c:v>
                </c:pt>
                <c:pt idx="13">
                  <c:v>260</c:v>
                </c:pt>
                <c:pt idx="14">
                  <c:v>260</c:v>
                </c:pt>
                <c:pt idx="15">
                  <c:v>260</c:v>
                </c:pt>
                <c:pt idx="16">
                  <c:v>260</c:v>
                </c:pt>
                <c:pt idx="17">
                  <c:v>260</c:v>
                </c:pt>
                <c:pt idx="18">
                  <c:v>260</c:v>
                </c:pt>
                <c:pt idx="19">
                  <c:v>260</c:v>
                </c:pt>
                <c:pt idx="20">
                  <c:v>260</c:v>
                </c:pt>
                <c:pt idx="21">
                  <c:v>150</c:v>
                </c:pt>
                <c:pt idx="22">
                  <c:v>140</c:v>
                </c:pt>
                <c:pt idx="23">
                  <c:v>120</c:v>
                </c:pt>
                <c:pt idx="24">
                  <c:v>111</c:v>
                </c:pt>
                <c:pt idx="25">
                  <c:v>100</c:v>
                </c:pt>
                <c:pt idx="26">
                  <c:v>95</c:v>
                </c:pt>
                <c:pt idx="27">
                  <c:v>90</c:v>
                </c:pt>
                <c:pt idx="28">
                  <c:v>85</c:v>
                </c:pt>
                <c:pt idx="29">
                  <c:v>80</c:v>
                </c:pt>
                <c:pt idx="30">
                  <c:v>75</c:v>
                </c:pt>
                <c:pt idx="31">
                  <c:v>70</c:v>
                </c:pt>
                <c:pt idx="32">
                  <c:v>70</c:v>
                </c:pt>
                <c:pt idx="33">
                  <c:v>65</c:v>
                </c:pt>
              </c:numCache>
            </c:numRef>
          </c:val>
          <c:extLst>
            <c:ext xmlns:c16="http://schemas.microsoft.com/office/drawing/2014/chart" uri="{C3380CC4-5D6E-409C-BE32-E72D297353CC}">
              <c16:uniqueId val="{00000003-263B-46F4-A827-8EA959D6FA80}"/>
            </c:ext>
          </c:extLst>
        </c:ser>
        <c:ser>
          <c:idx val="5"/>
          <c:order val="4"/>
          <c:tx>
            <c:strRef>
              <c:f>'800MMbbl_B'!$E$15</c:f>
              <c:strCache>
                <c:ptCount val="1"/>
                <c:pt idx="0">
                  <c:v> Decommissioning costs </c:v>
                </c:pt>
              </c:strCache>
            </c:strRef>
          </c:tx>
          <c:spPr>
            <a:solidFill>
              <a:schemeClr val="accent6"/>
            </a:solidFill>
            <a:ln>
              <a:noFill/>
            </a:ln>
            <a:effectLst/>
          </c:spPr>
          <c:invertIfNegative val="0"/>
          <c:cat>
            <c:numRef>
              <c:f>'800MMbbl_B'!$K$1:$AX$1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'800MMbbl_B'!$K$15:$AW$15</c:f>
              <c:numCache>
                <c:formatCode>#,##0_);\(#,##0\);"-  ";" "@" "</c:formatCode>
                <c:ptCount val="39"/>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30">
                  <c:v>250</c:v>
                </c:pt>
                <c:pt idx="31">
                  <c:v>0</c:v>
                </c:pt>
                <c:pt idx="32">
                  <c:v>0</c:v>
                </c:pt>
                <c:pt idx="33">
                  <c:v>0</c:v>
                </c:pt>
                <c:pt idx="34">
                  <c:v>250</c:v>
                </c:pt>
                <c:pt idx="35">
                  <c:v>250</c:v>
                </c:pt>
                <c:pt idx="36">
                  <c:v>0</c:v>
                </c:pt>
                <c:pt idx="37">
                  <c:v>0</c:v>
                </c:pt>
                <c:pt idx="38">
                  <c:v>0</c:v>
                </c:pt>
              </c:numCache>
            </c:numRef>
          </c:val>
          <c:extLst>
            <c:ext xmlns:c16="http://schemas.microsoft.com/office/drawing/2014/chart" uri="{C3380CC4-5D6E-409C-BE32-E72D297353CC}">
              <c16:uniqueId val="{00000004-263B-46F4-A827-8EA959D6FA80}"/>
            </c:ext>
          </c:extLst>
        </c:ser>
        <c:dLbls>
          <c:showLegendKey val="0"/>
          <c:showVal val="0"/>
          <c:showCatName val="0"/>
          <c:showSerName val="0"/>
          <c:showPercent val="0"/>
          <c:showBubbleSize val="0"/>
        </c:dLbls>
        <c:gapWidth val="50"/>
        <c:overlap val="100"/>
        <c:axId val="268814976"/>
        <c:axId val="268824960"/>
      </c:barChart>
      <c:lineChart>
        <c:grouping val="standard"/>
        <c:varyColors val="0"/>
        <c:ser>
          <c:idx val="6"/>
          <c:order val="5"/>
          <c:tx>
            <c:strRef>
              <c:f>'800MMbbl_B'!$E$9</c:f>
              <c:strCache>
                <c:ptCount val="1"/>
                <c:pt idx="0">
                  <c:v> Oil production RATE </c:v>
                </c:pt>
              </c:strCache>
            </c:strRef>
          </c:tx>
          <c:spPr>
            <a:ln w="28575" cap="rnd">
              <a:solidFill>
                <a:schemeClr val="accent1">
                  <a:lumMod val="60000"/>
                </a:schemeClr>
              </a:solidFill>
              <a:round/>
            </a:ln>
            <a:effectLst/>
          </c:spPr>
          <c:marker>
            <c:symbol val="none"/>
          </c:marker>
          <c:val>
            <c:numRef>
              <c:f>'800MMbbl_B'!$K$9:$AX$9</c:f>
              <c:numCache>
                <c:formatCode>#,##0_);\(#,##0\);"-  ";" "@" "</c:formatCode>
                <c:ptCount val="40"/>
                <c:pt idx="0">
                  <c:v>0</c:v>
                </c:pt>
                <c:pt idx="1">
                  <c:v>0</c:v>
                </c:pt>
                <c:pt idx="2">
                  <c:v>0</c:v>
                </c:pt>
                <c:pt idx="3">
                  <c:v>0</c:v>
                </c:pt>
                <c:pt idx="4">
                  <c:v>0</c:v>
                </c:pt>
                <c:pt idx="5">
                  <c:v>0</c:v>
                </c:pt>
                <c:pt idx="6">
                  <c:v>0</c:v>
                </c:pt>
                <c:pt idx="7">
                  <c:v>9.5471162223815913</c:v>
                </c:pt>
                <c:pt idx="8">
                  <c:v>75</c:v>
                </c:pt>
                <c:pt idx="9">
                  <c:v>150</c:v>
                </c:pt>
                <c:pt idx="10">
                  <c:v>150</c:v>
                </c:pt>
                <c:pt idx="11">
                  <c:v>150</c:v>
                </c:pt>
                <c:pt idx="12">
                  <c:v>150</c:v>
                </c:pt>
                <c:pt idx="13">
                  <c:v>150</c:v>
                </c:pt>
                <c:pt idx="14">
                  <c:v>150</c:v>
                </c:pt>
                <c:pt idx="15">
                  <c:v>150</c:v>
                </c:pt>
                <c:pt idx="16">
                  <c:v>150</c:v>
                </c:pt>
                <c:pt idx="17">
                  <c:v>150</c:v>
                </c:pt>
                <c:pt idx="18">
                  <c:v>150</c:v>
                </c:pt>
                <c:pt idx="19">
                  <c:v>121.50000000000001</c:v>
                </c:pt>
                <c:pt idx="20">
                  <c:v>98.41500000000002</c:v>
                </c:pt>
                <c:pt idx="21">
                  <c:v>79.716150000000027</c:v>
                </c:pt>
                <c:pt idx="22">
                  <c:v>64.570081500000029</c:v>
                </c:pt>
                <c:pt idx="23">
                  <c:v>52.301766015000027</c:v>
                </c:pt>
                <c:pt idx="24">
                  <c:v>42.364430472150026</c:v>
                </c:pt>
                <c:pt idx="25">
                  <c:v>34.315188682441523</c:v>
                </c:pt>
                <c:pt idx="26">
                  <c:v>27.795302832777637</c:v>
                </c:pt>
                <c:pt idx="27">
                  <c:v>22.514195294549886</c:v>
                </c:pt>
                <c:pt idx="28">
                  <c:v>18.236498188585408</c:v>
                </c:pt>
                <c:pt idx="29">
                  <c:v>14.771563532754181</c:v>
                </c:pt>
                <c:pt idx="30">
                  <c:v>11.964966461530887</c:v>
                </c:pt>
                <c:pt idx="31">
                  <c:v>9.6916228338400181</c:v>
                </c:pt>
                <c:pt idx="32">
                  <c:v>7.8502144954104152</c:v>
                </c:pt>
                <c:pt idx="33">
                  <c:v>6.3586737412824368</c:v>
                </c:pt>
              </c:numCache>
            </c:numRef>
          </c:val>
          <c:smooth val="0"/>
          <c:extLst>
            <c:ext xmlns:c16="http://schemas.microsoft.com/office/drawing/2014/chart" uri="{C3380CC4-5D6E-409C-BE32-E72D297353CC}">
              <c16:uniqueId val="{00000005-263B-46F4-A827-8EA959D6FA80}"/>
            </c:ext>
          </c:extLst>
        </c:ser>
        <c:dLbls>
          <c:showLegendKey val="0"/>
          <c:showVal val="0"/>
          <c:showCatName val="0"/>
          <c:showSerName val="0"/>
          <c:showPercent val="0"/>
          <c:showBubbleSize val="0"/>
        </c:dLbls>
        <c:marker val="1"/>
        <c:smooth val="0"/>
        <c:axId val="268828032"/>
        <c:axId val="268826496"/>
      </c:lineChart>
      <c:catAx>
        <c:axId val="268814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24960"/>
        <c:crosses val="autoZero"/>
        <c:auto val="1"/>
        <c:lblAlgn val="ctr"/>
        <c:lblOffset val="100"/>
        <c:noMultiLvlLbl val="0"/>
      </c:catAx>
      <c:valAx>
        <c:axId val="268824960"/>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14976"/>
        <c:crosses val="autoZero"/>
        <c:crossBetween val="between"/>
      </c:valAx>
      <c:valAx>
        <c:axId val="268826496"/>
        <c:scaling>
          <c:orientation val="minMax"/>
        </c:scaling>
        <c:delete val="0"/>
        <c:axPos val="r"/>
        <c:numFmt formatCode="#,##0_);\(#,##0\);&quot;-  &quot;;&quot; &quot;@&quot; &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28032"/>
        <c:crosses val="max"/>
        <c:crossBetween val="between"/>
      </c:valAx>
      <c:catAx>
        <c:axId val="268828032"/>
        <c:scaling>
          <c:orientation val="minMax"/>
        </c:scaling>
        <c:delete val="1"/>
        <c:axPos val="b"/>
        <c:majorTickMark val="out"/>
        <c:minorTickMark val="none"/>
        <c:tickLblPos val="nextTo"/>
        <c:crossAx val="268826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'200MMbbl'!$E$53</c:f>
              <c:strCache>
                <c:ptCount val="1"/>
                <c:pt idx="0">
                  <c:v> 200MMbbl Unit opex </c:v>
                </c:pt>
              </c:strCache>
            </c:strRef>
          </c:tx>
          <c:spPr>
            <a:ln w="28575" cap="rnd">
              <a:solidFill>
                <a:schemeClr val="accent1"/>
              </a:solidFill>
              <a:round/>
            </a:ln>
            <a:effectLst/>
          </c:spPr>
          <c:marker>
            <c:symbol val="none"/>
          </c:marker>
          <c:cat>
            <c:numRef>
              <c:f>'200MMbbl'!$K$1:$AX$1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'200MMbbl'!$K$53:$AX$53</c:f>
              <c:numCache>
                <c:formatCode>#,##0_);\(#,##0\);"-  ";" "@" "</c:formatCode>
                <c:ptCount val="40"/>
                <c:pt idx="0">
                  <c:v>0</c:v>
                </c:pt>
                <c:pt idx="1">
                  <c:v>0</c:v>
                </c:pt>
                <c:pt idx="2">
                  <c:v>0</c:v>
                </c:pt>
                <c:pt idx="3">
                  <c:v>0</c:v>
                </c:pt>
                <c:pt idx="4">
                  <c:v>0</c:v>
                </c:pt>
                <c:pt idx="5">
                  <c:v>0</c:v>
                </c:pt>
                <c:pt idx="6">
                  <c:v>0</c:v>
                </c:pt>
                <c:pt idx="7">
                  <c:v>26.522672110462306</c:v>
                </c:pt>
                <c:pt idx="8">
                  <c:v>8.7359900373599011</c:v>
                </c:pt>
                <c:pt idx="9">
                  <c:v>8.7359900373599011</c:v>
                </c:pt>
                <c:pt idx="10">
                  <c:v>8.7359900373599011</c:v>
                </c:pt>
                <c:pt idx="11">
                  <c:v>8.7359900373599011</c:v>
                </c:pt>
                <c:pt idx="12">
                  <c:v>8.7359900373599011</c:v>
                </c:pt>
                <c:pt idx="13">
                  <c:v>9.2942414222527603</c:v>
                </c:pt>
                <c:pt idx="14">
                  <c:v>9.9359096807502976</c:v>
                </c:pt>
                <c:pt idx="15">
                  <c:v>10.673459403161262</c:v>
                </c:pt>
                <c:pt idx="16">
                  <c:v>11.52121770478306</c:v>
                </c:pt>
                <c:pt idx="17">
                  <c:v>12.495652534233399</c:v>
                </c:pt>
                <c:pt idx="18">
                  <c:v>13.61569256808437</c:v>
                </c:pt>
                <c:pt idx="19">
                  <c:v>14.903094905844103</c:v>
                </c:pt>
                <c:pt idx="20">
                  <c:v>16.382867707866783</c:v>
                </c:pt>
                <c:pt idx="21">
                  <c:v>18.083755986053777</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mooth val="0"/>
          <c:extLst>
            <c:ext xmlns:c16="http://schemas.microsoft.com/office/drawing/2014/chart" uri="{C3380CC4-5D6E-409C-BE32-E72D297353CC}">
              <c16:uniqueId val="{00000000-F357-4E90-A3F9-66E1976BF66D}"/>
            </c:ext>
          </c:extLst>
        </c:ser>
        <c:dLbls>
          <c:showLegendKey val="0"/>
          <c:showVal val="0"/>
          <c:showCatName val="0"/>
          <c:showSerName val="0"/>
          <c:showPercent val="0"/>
          <c:showBubbleSize val="0"/>
        </c:dLbls>
        <c:smooth val="0"/>
        <c:axId val="267223808"/>
        <c:axId val="267225728"/>
      </c:lineChart>
      <c:catAx>
        <c:axId val="26722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225728"/>
        <c:crosses val="autoZero"/>
        <c:auto val="1"/>
        <c:lblAlgn val="ctr"/>
        <c:lblOffset val="100"/>
        <c:noMultiLvlLbl val="0"/>
      </c:catAx>
      <c:valAx>
        <c:axId val="267225728"/>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'200MMbbl'!$G$53</c:f>
              <c:strCache>
                <c:ptCount val="1"/>
                <c:pt idx="0">
                  <c:v> US$ 2021 / bbl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223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'200MMbbl'!$A$1</c:f>
          <c:strCache>
            <c:ptCount val="1"/>
            <c:pt idx="0">
              <c:v>200MMbbl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'200MMbbl'!$E$11</c:f>
              <c:strCache>
                <c:ptCount val="1"/>
                <c:pt idx="0">
                  <c:v> Exploration costs </c:v>
                </c:pt>
              </c:strCache>
            </c:strRef>
          </c:tx>
          <c:spPr>
            <a:solidFill>
              <a:schemeClr val="accent1"/>
            </a:solidFill>
            <a:ln>
              <a:noFill/>
            </a:ln>
            <a:effectLst/>
          </c:spPr>
          <c:invertIfNegative val="0"/>
          <c:cat>
            <c:numRef>
              <c:f>'200MMbbl'!$K$1:$AX$1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'200MMbbl'!$K$11:$AX$11</c:f>
              <c:numCache>
                <c:formatCode>#,##0_);\(#,##0\);"-  ";" "@" "</c:formatCode>
                <c:ptCount val="40"/>
                <c:pt idx="0">
                  <c:v>50</c:v>
                </c:pt>
                <c:pt idx="1">
                  <c:v>200</c:v>
                </c:pt>
                <c:pt idx="2">
                  <c:v>150</c:v>
                </c:pt>
                <c:pt idx="3">
                  <c:v>20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Cache>
            </c:numRef>
          </c:val>
          <c:extLst>
            <c:ext xmlns:c16="http://schemas.microsoft.com/office/drawing/2014/chart" uri="{C3380CC4-5D6E-409C-BE32-E72D297353CC}">
              <c16:uniqueId val="{00000000-A3E5-41F6-B9BD-A1A1352B529A}"/>
            </c:ext>
          </c:extLst>
        </c:ser>
        <c:ser>
          <c:idx val="1"/>
          <c:order val="1"/>
          <c:tx>
            <c:strRef>
              <c:f>'200MMbbl'!$E$12</c:f>
              <c:strCache>
                <c:ptCount val="1"/>
                <c:pt idx="0">
                  <c:v> Development costs </c:v>
                </c:pt>
              </c:strCache>
            </c:strRef>
          </c:tx>
          <c:spPr>
            <a:solidFill>
              <a:schemeClr val="accent2"/>
            </a:solidFill>
            <a:ln>
              <a:noFill/>
            </a:ln>
            <a:effectLst/>
          </c:spPr>
          <c:invertIfNegative val="0"/>
          <c:cat>
            <c:numRef>
              <c:f>'200MMbbl'!$K$1:$AX$1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'200MMbbl'!$K$12:$AX$12</c:f>
              <c:numCache>
                <c:formatCode>#,##0_);\(#,##0\);"-  ";" "@" "</c:formatCode>
                <c:ptCount val="40"/>
                <c:pt idx="0">
                  <c:v>0</c:v>
                </c:pt>
                <c:pt idx="1">
                  <c:v>0</c:v>
                </c:pt>
                <c:pt idx="2">
                  <c:v>0</c:v>
                </c:pt>
                <c:pt idx="3">
                  <c:v>0</c:v>
                </c:pt>
                <c:pt idx="4">
                  <c:v>50</c:v>
                </c:pt>
                <c:pt idx="5">
                  <c:v>400</c:v>
                </c:pt>
                <c:pt idx="6">
                  <c:v>600</c:v>
                </c:pt>
                <c:pt idx="7">
                  <c:v>600</c:v>
                </c:pt>
              </c:numCache>
            </c:numRef>
          </c:val>
          <c:extLst>
            <c:ext xmlns:c16="http://schemas.microsoft.com/office/drawing/2014/chart" uri="{C3380CC4-5D6E-409C-BE32-E72D297353CC}">
              <c16:uniqueId val="{00000001-A3E5-41F6-B9BD-A1A1352B529A}"/>
            </c:ext>
          </c:extLst>
        </c:ser>
        <c:ser>
          <c:idx val="3"/>
          <c:order val="2"/>
          <c:tx>
            <c:strRef>
              <c:f>'200MMbbl'!$E$13</c:f>
              <c:strCache>
                <c:ptCount val="1"/>
                <c:pt idx="0">
                  <c:v> Replacement capital costs </c:v>
                </c:pt>
              </c:strCache>
            </c:strRef>
          </c:tx>
          <c:spPr>
            <a:solidFill>
              <a:schemeClr val="accent4"/>
            </a:solidFill>
            <a:ln>
              <a:noFill/>
            </a:ln>
            <a:effectLst/>
          </c:spPr>
          <c:invertIfNegative val="0"/>
          <c:cat>
            <c:numRef>
              <c:f>'200MMbbl'!$K$1:$AX$1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'200MMbbl'!$K$13:$AX$13</c:f>
              <c:numCache>
                <c:formatCode>#,##0_);\(#,##0\);"-  ";" "@" "</c:formatCode>
                <c:ptCount val="40"/>
              </c:numCache>
            </c:numRef>
          </c:val>
          <c:extLst>
            <c:ext xmlns:c16="http://schemas.microsoft.com/office/drawing/2014/chart" uri="{C3380CC4-5D6E-409C-BE32-E72D297353CC}">
              <c16:uniqueId val="{00000002-A3E5-41F6-B9BD-A1A1352B529A}"/>
            </c:ext>
          </c:extLst>
        </c:ser>
        <c:ser>
          <c:idx val="4"/>
          <c:order val="3"/>
          <c:tx>
            <c:strRef>
              <c:f>'200MMbbl'!$E$14</c:f>
              <c:strCache>
                <c:ptCount val="1"/>
                <c:pt idx="0">
                  <c:v> Operating costs </c:v>
                </c:pt>
              </c:strCache>
            </c:strRef>
          </c:tx>
          <c:spPr>
            <a:solidFill>
              <a:schemeClr val="accent5"/>
            </a:solidFill>
            <a:ln>
              <a:noFill/>
            </a:ln>
            <a:effectLst/>
          </c:spPr>
          <c:invertIfNegative val="0"/>
          <c:cat>
            <c:numRef>
              <c:f>'200MMbbl'!$K$1:$AX$1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'200MMbbl'!$K$14:$AX$14</c:f>
              <c:numCache>
                <c:formatCode>#,##0_);\(#,##0\);"-  ";" "@" "</c:formatCode>
                <c:ptCount val="40"/>
                <c:pt idx="0">
                  <c:v>0</c:v>
                </c:pt>
                <c:pt idx="1">
                  <c:v>0</c:v>
                </c:pt>
                <c:pt idx="2">
                  <c:v>0</c:v>
                </c:pt>
                <c:pt idx="3">
                  <c:v>0</c:v>
                </c:pt>
                <c:pt idx="4">
                  <c:v>0</c:v>
                </c:pt>
                <c:pt idx="5">
                  <c:v>0</c:v>
                </c:pt>
                <c:pt idx="6">
                  <c:v>0</c:v>
                </c:pt>
                <c:pt idx="7">
                  <c:v>92.423487105846405</c:v>
                </c:pt>
                <c:pt idx="8">
                  <c:v>175.375</c:v>
                </c:pt>
                <c:pt idx="9">
                  <c:v>175.375</c:v>
                </c:pt>
                <c:pt idx="10">
                  <c:v>175.375</c:v>
                </c:pt>
                <c:pt idx="11">
                  <c:v>175.375</c:v>
                </c:pt>
                <c:pt idx="12">
                  <c:v>175.375</c:v>
                </c:pt>
                <c:pt idx="13">
                  <c:v>162.32625000000002</c:v>
                </c:pt>
                <c:pt idx="14">
                  <c:v>150.9738375</c:v>
                </c:pt>
                <c:pt idx="15">
                  <c:v>141.09723862499999</c:v>
                </c:pt>
                <c:pt idx="16">
                  <c:v>132.50459760375</c:v>
                </c:pt>
                <c:pt idx="17">
                  <c:v>125.02899991526249</c:v>
                </c:pt>
                <c:pt idx="18">
                  <c:v>118.52522992627837</c:v>
                </c:pt>
                <c:pt idx="19">
                  <c:v>112.86695003586219</c:v>
                </c:pt>
                <c:pt idx="20">
                  <c:v>107.94424653120009</c:v>
                </c:pt>
                <c:pt idx="21">
                  <c:v>103.66149448214409</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3-A3E5-41F6-B9BD-A1A1352B529A}"/>
            </c:ext>
          </c:extLst>
        </c:ser>
        <c:ser>
          <c:idx val="5"/>
          <c:order val="4"/>
          <c:tx>
            <c:strRef>
              <c:f>'200MMbbl'!$E$15</c:f>
              <c:strCache>
                <c:ptCount val="1"/>
                <c:pt idx="0">
                  <c:v> Decommissioning costs </c:v>
                </c:pt>
              </c:strCache>
            </c:strRef>
          </c:tx>
          <c:spPr>
            <a:solidFill>
              <a:schemeClr val="accent6"/>
            </a:solidFill>
            <a:ln>
              <a:noFill/>
            </a:ln>
            <a:effectLst/>
          </c:spPr>
          <c:invertIfNegative val="0"/>
          <c:cat>
            <c:numRef>
              <c:f>'200MMbbl'!$K$1:$AX$1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'200MMbbl'!$K$15:$AW$15</c:f>
              <c:numCache>
                <c:formatCode>#,##0_);\(#,##0\);"-  ";" "@" "</c:formatCode>
                <c:ptCount val="39"/>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165</c:v>
                </c:pt>
                <c:pt idx="23">
                  <c:v>0</c:v>
                </c:pt>
                <c:pt idx="24">
                  <c:v>0</c:v>
                </c:pt>
                <c:pt idx="25">
                  <c:v>0</c:v>
                </c:pt>
                <c:pt idx="26">
                  <c:v>0</c:v>
                </c:pt>
                <c:pt idx="27">
                  <c:v>0</c:v>
                </c:pt>
                <c:pt idx="28">
                  <c:v>0</c:v>
                </c:pt>
                <c:pt idx="31">
                  <c:v>0</c:v>
                </c:pt>
                <c:pt idx="32">
                  <c:v>0</c:v>
                </c:pt>
                <c:pt idx="33">
                  <c:v>0</c:v>
                </c:pt>
                <c:pt idx="36">
                  <c:v>0</c:v>
                </c:pt>
                <c:pt idx="37">
                  <c:v>0</c:v>
                </c:pt>
                <c:pt idx="38">
                  <c:v>0</c:v>
                </c:pt>
              </c:numCache>
            </c:numRef>
          </c:val>
          <c:extLst>
            <c:ext xmlns:c16="http://schemas.microsoft.com/office/drawing/2014/chart" uri="{C3380CC4-5D6E-409C-BE32-E72D297353CC}">
              <c16:uniqueId val="{00000004-A3E5-41F6-B9BD-A1A1352B529A}"/>
            </c:ext>
          </c:extLst>
        </c:ser>
        <c:dLbls>
          <c:showLegendKey val="0"/>
          <c:showVal val="0"/>
          <c:showCatName val="0"/>
          <c:showSerName val="0"/>
          <c:showPercent val="0"/>
          <c:showBubbleSize val="0"/>
        </c:dLbls>
        <c:gapWidth val="50"/>
        <c:overlap val="100"/>
        <c:axId val="268814976"/>
        <c:axId val="268824960"/>
      </c:barChart>
      <c:lineChart>
        <c:grouping val="standard"/>
        <c:varyColors val="0"/>
        <c:ser>
          <c:idx val="6"/>
          <c:order val="5"/>
          <c:tx>
            <c:strRef>
              <c:f>'200MMbbl'!$E$9</c:f>
              <c:strCache>
                <c:ptCount val="1"/>
                <c:pt idx="0">
                  <c:v> Oil production RATE </c:v>
                </c:pt>
              </c:strCache>
            </c:strRef>
          </c:tx>
          <c:spPr>
            <a:ln w="28575" cap="rnd">
              <a:solidFill>
                <a:schemeClr val="accent1">
                  <a:lumMod val="60000"/>
                </a:schemeClr>
              </a:solidFill>
              <a:round/>
            </a:ln>
            <a:effectLst/>
          </c:spPr>
          <c:marker>
            <c:symbol val="none"/>
          </c:marker>
          <c:val>
            <c:numRef>
              <c:f>'200MMbbl'!$K$9:$AX$9</c:f>
              <c:numCache>
                <c:formatCode>#,##0_);\(#,##0\);"-  ";" "@" "</c:formatCode>
                <c:ptCount val="40"/>
                <c:pt idx="0">
                  <c:v>0</c:v>
                </c:pt>
                <c:pt idx="1">
                  <c:v>0</c:v>
                </c:pt>
                <c:pt idx="2">
                  <c:v>0</c:v>
                </c:pt>
                <c:pt idx="3">
                  <c:v>0</c:v>
                </c:pt>
                <c:pt idx="4">
                  <c:v>0</c:v>
                </c:pt>
                <c:pt idx="5">
                  <c:v>0</c:v>
                </c:pt>
                <c:pt idx="6">
                  <c:v>0</c:v>
                </c:pt>
                <c:pt idx="7">
                  <c:v>9.5471162223815913</c:v>
                </c:pt>
                <c:pt idx="8">
                  <c:v>55</c:v>
                </c:pt>
                <c:pt idx="9">
                  <c:v>55</c:v>
                </c:pt>
                <c:pt idx="10">
                  <c:v>55</c:v>
                </c:pt>
                <c:pt idx="11">
                  <c:v>55</c:v>
                </c:pt>
                <c:pt idx="12">
                  <c:v>55</c:v>
                </c:pt>
                <c:pt idx="13">
                  <c:v>47.85</c:v>
                </c:pt>
                <c:pt idx="14">
                  <c:v>41.6295</c:v>
                </c:pt>
                <c:pt idx="15">
                  <c:v>36.217664999999997</c:v>
                </c:pt>
                <c:pt idx="16">
                  <c:v>31.509368549999998</c:v>
                </c:pt>
                <c:pt idx="17">
                  <c:v>27.413150638499999</c:v>
                </c:pt>
                <c:pt idx="18">
                  <c:v>23.849441055494999</c:v>
                </c:pt>
                <c:pt idx="19">
                  <c:v>20.749013718280651</c:v>
                </c:pt>
                <c:pt idx="20">
                  <c:v>18.051641934904165</c:v>
                </c:pt>
                <c:pt idx="21">
                  <c:v>15.704928483366624</c:v>
                </c:pt>
              </c:numCache>
            </c:numRef>
          </c:val>
          <c:smooth val="0"/>
          <c:extLst>
            <c:ext xmlns:c16="http://schemas.microsoft.com/office/drawing/2014/chart" uri="{C3380CC4-5D6E-409C-BE32-E72D297353CC}">
              <c16:uniqueId val="{00000005-A3E5-41F6-B9BD-A1A1352B529A}"/>
            </c:ext>
          </c:extLst>
        </c:ser>
        <c:dLbls>
          <c:showLegendKey val="0"/>
          <c:showVal val="0"/>
          <c:showCatName val="0"/>
          <c:showSerName val="0"/>
          <c:showPercent val="0"/>
          <c:showBubbleSize val="0"/>
        </c:dLbls>
        <c:marker val="1"/>
        <c:smooth val="0"/>
        <c:axId val="268828032"/>
        <c:axId val="268826496"/>
      </c:lineChart>
      <c:catAx>
        <c:axId val="268814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24960"/>
        <c:crosses val="autoZero"/>
        <c:auto val="1"/>
        <c:lblAlgn val="ctr"/>
        <c:lblOffset val="100"/>
        <c:noMultiLvlLbl val="0"/>
      </c:catAx>
      <c:valAx>
        <c:axId val="268824960"/>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14976"/>
        <c:crosses val="autoZero"/>
        <c:crossBetween val="between"/>
      </c:valAx>
      <c:valAx>
        <c:axId val="268826496"/>
        <c:scaling>
          <c:orientation val="minMax"/>
        </c:scaling>
        <c:delete val="0"/>
        <c:axPos val="r"/>
        <c:numFmt formatCode="#,##0_);\(#,##0\);&quot;-  &quot;;&quot; &quot;@&quot; &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28032"/>
        <c:crosses val="max"/>
        <c:crossBetween val="between"/>
      </c:valAx>
      <c:catAx>
        <c:axId val="268828032"/>
        <c:scaling>
          <c:orientation val="minMax"/>
        </c:scaling>
        <c:delete val="1"/>
        <c:axPos val="b"/>
        <c:majorTickMark val="out"/>
        <c:minorTickMark val="none"/>
        <c:tickLblPos val="nextTo"/>
        <c:crossAx val="268826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1974850</xdr:colOff>
          <xdr:row>20</xdr:row>
          <xdr:rowOff>31750</xdr:rowOff>
        </xdr:from>
        <xdr:to>
          <xdr:col>3</xdr:col>
          <xdr:colOff>469900</xdr:colOff>
          <xdr:row>23</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sng" strike="noStrike" baseline="0">
                  <a:solidFill>
                    <a:srgbClr val="339966"/>
                  </a:solidFill>
                  <a:latin typeface="Calibri"/>
                  <a:cs typeface="Calibri"/>
                </a:rPr>
                <a:t>Accept Terms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20</xdr:row>
          <xdr:rowOff>31750</xdr:rowOff>
        </xdr:from>
        <xdr:to>
          <xdr:col>8</xdr:col>
          <xdr:colOff>114300</xdr:colOff>
          <xdr:row>23</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sng" strike="noStrike" baseline="0">
                  <a:solidFill>
                    <a:srgbClr val="FF0000"/>
                  </a:solidFill>
                  <a:latin typeface="Calibri"/>
                  <a:cs typeface="Calibri"/>
                </a:rPr>
                <a:t>Don't Accept Terms</a:t>
              </a:r>
            </a:p>
          </xdr:txBody>
        </xdr:sp>
        <xdr:clientData fPrintsWithSheet="0"/>
      </xdr:twoCellAnchor>
    </mc:Choice>
    <mc:Fallback/>
  </mc:AlternateContent>
  <xdr:twoCellAnchor editAs="oneCell">
    <xdr:from>
      <xdr:col>3</xdr:col>
      <xdr:colOff>480466</xdr:colOff>
      <xdr:row>2</xdr:row>
      <xdr:rowOff>64508</xdr:rowOff>
    </xdr:from>
    <xdr:to>
      <xdr:col>5</xdr:col>
      <xdr:colOff>162828</xdr:colOff>
      <xdr:row>7</xdr:row>
      <xdr:rowOff>23115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2231" y="445508"/>
          <a:ext cx="892597" cy="91110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161925</xdr:colOff>
          <xdr:row>3</xdr:row>
          <xdr:rowOff>66675</xdr:rowOff>
        </xdr:from>
        <xdr:to>
          <xdr:col>4</xdr:col>
          <xdr:colOff>814090</xdr:colOff>
          <xdr:row>5</xdr:row>
          <xdr:rowOff>145676</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a:extLst>
                <a:ext uri="{84589F7E-364E-4C9E-8A38-B11213B215E9}">
                  <a14:cameraTool cellRange="Dashboard!$A$1:$R$46" spid="_x0000_s32152"/>
                </a:ext>
              </a:extLst>
            </xdr:cNvPicPr>
          </xdr:nvPicPr>
          <xdr:blipFill>
            <a:blip xmlns:r="http://schemas.openxmlformats.org/officeDocument/2006/relationships" r:embed="rId1"/>
            <a:srcRect/>
            <a:stretch>
              <a:fillRect/>
            </a:stretch>
          </xdr:blipFill>
          <xdr:spPr bwMode="auto">
            <a:xfrm>
              <a:off x="1503708" y="624371"/>
              <a:ext cx="884077" cy="44343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107950</xdr:colOff>
          <xdr:row>3</xdr:row>
          <xdr:rowOff>44450</xdr:rowOff>
        </xdr:from>
        <xdr:to>
          <xdr:col>4</xdr:col>
          <xdr:colOff>539750</xdr:colOff>
          <xdr:row>5</xdr:row>
          <xdr:rowOff>95250</xdr:rowOff>
        </xdr:to>
        <xdr:pic>
          <xdr:nvPicPr>
            <xdr:cNvPr id="32114" name="Picture 1">
              <a:extLst>
                <a:ext uri="{FF2B5EF4-FFF2-40B4-BE49-F238E27FC236}">
                  <a16:creationId xmlns:a16="http://schemas.microsoft.com/office/drawing/2014/main" id="{00000000-0008-0000-0200-0000727D0000}"/>
                </a:ext>
              </a:extLst>
            </xdr:cNvPr>
            <xdr:cNvPicPr>
              <a:picLocks noChangeAspect="1" noChangeArrowheads="1"/>
              <a:extLst>
                <a:ext uri="{84589F7E-364E-4C9E-8A38-B11213B215E9}">
                  <a14:cameraTool cellRange="Dashboard!$A$1:$R$46" spid="_x0000_s32153"/>
                </a:ext>
              </a:extLst>
            </xdr:cNvPicPr>
          </xdr:nvPicPr>
          <xdr:blipFill>
            <a:blip xmlns:r="http://schemas.openxmlformats.org/officeDocument/2006/relationships" r:embed="rId2"/>
            <a:srcRect/>
            <a:stretch>
              <a:fillRect/>
            </a:stretch>
          </xdr:blipFill>
          <xdr:spPr bwMode="auto">
            <a:xfrm>
              <a:off x="1809750" y="603250"/>
              <a:ext cx="622300" cy="4191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7</xdr:col>
      <xdr:colOff>973931</xdr:colOff>
      <xdr:row>2</xdr:row>
      <xdr:rowOff>19051</xdr:rowOff>
    </xdr:from>
    <xdr:to>
      <xdr:col>7</xdr:col>
      <xdr:colOff>2081214</xdr:colOff>
      <xdr:row>7</xdr:row>
      <xdr:rowOff>114302</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26931" y="411957"/>
          <a:ext cx="1107283" cy="110728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9525</xdr:colOff>
      <xdr:row>18</xdr:row>
      <xdr:rowOff>13606</xdr:rowOff>
    </xdr:from>
    <xdr:to>
      <xdr:col>13</xdr:col>
      <xdr:colOff>0</xdr:colOff>
      <xdr:row>43</xdr:row>
      <xdr:rowOff>121729</xdr:rowOff>
    </xdr:to>
    <xdr:graphicFrame macro="">
      <xdr:nvGraphicFramePr>
        <xdr:cNvPr id="19" name="Chart 18">
          <a:extLst>
            <a:ext uri="{FF2B5EF4-FFF2-40B4-BE49-F238E27FC236}">
              <a16:creationId xmlns:a16="http://schemas.microsoft.com/office/drawing/2014/main" id="{00000000-0008-0000-05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33619</xdr:colOff>
      <xdr:row>23</xdr:row>
      <xdr:rowOff>27215</xdr:rowOff>
    </xdr:from>
    <xdr:to>
      <xdr:col>4</xdr:col>
      <xdr:colOff>304800</xdr:colOff>
      <xdr:row>44</xdr:row>
      <xdr:rowOff>152525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191862</xdr:colOff>
      <xdr:row>32</xdr:row>
      <xdr:rowOff>32657</xdr:rowOff>
    </xdr:from>
    <xdr:to>
      <xdr:col>15</xdr:col>
      <xdr:colOff>702130</xdr:colOff>
      <xdr:row>44</xdr:row>
      <xdr:rowOff>132069</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136071</xdr:colOff>
      <xdr:row>94</xdr:row>
      <xdr:rowOff>49944</xdr:rowOff>
    </xdr:from>
    <xdr:to>
      <xdr:col>16</xdr:col>
      <xdr:colOff>67234</xdr:colOff>
      <xdr:row>116</xdr:row>
      <xdr:rowOff>142503</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1224644</xdr:colOff>
      <xdr:row>61</xdr:row>
      <xdr:rowOff>106935</xdr:rowOff>
    </xdr:from>
    <xdr:to>
      <xdr:col>11</xdr:col>
      <xdr:colOff>123264</xdr:colOff>
      <xdr:row>89</xdr:row>
      <xdr:rowOff>67234</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605118</xdr:colOff>
      <xdr:row>61</xdr:row>
      <xdr:rowOff>67234</xdr:rowOff>
    </xdr:from>
    <xdr:to>
      <xdr:col>17</xdr:col>
      <xdr:colOff>56030</xdr:colOff>
      <xdr:row>89</xdr:row>
      <xdr:rowOff>11205</xdr:rowOff>
    </xdr:to>
    <xdr:graphicFrame macro="">
      <xdr:nvGraphicFramePr>
        <xdr:cNvPr id="9" name="Chart 8">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795617</xdr:colOff>
      <xdr:row>143</xdr:row>
      <xdr:rowOff>78441</xdr:rowOff>
    </xdr:from>
    <xdr:to>
      <xdr:col>15</xdr:col>
      <xdr:colOff>616324</xdr:colOff>
      <xdr:row>165</xdr:row>
      <xdr:rowOff>44824</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167</xdr:row>
          <xdr:rowOff>88900</xdr:rowOff>
        </xdr:from>
        <xdr:to>
          <xdr:col>1</xdr:col>
          <xdr:colOff>723900</xdr:colOff>
          <xdr:row>169</xdr:row>
          <xdr:rowOff>31750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500-000010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FF0000"/>
                  </a:solidFill>
                  <a:latin typeface="Arial"/>
                  <a:cs typeface="Arial"/>
                </a:rPr>
                <a:t>Breakeven</a:t>
              </a:r>
            </a:p>
          </xdr:txBody>
        </xdr:sp>
        <xdr:clientData fPrintsWithSheet="0"/>
      </xdr:twoCellAnchor>
    </mc:Choice>
    <mc:Fallback/>
  </mc:AlternateContent>
  <xdr:twoCellAnchor>
    <xdr:from>
      <xdr:col>5</xdr:col>
      <xdr:colOff>683557</xdr:colOff>
      <xdr:row>167</xdr:row>
      <xdr:rowOff>89648</xdr:rowOff>
    </xdr:from>
    <xdr:to>
      <xdr:col>15</xdr:col>
      <xdr:colOff>605117</xdr:colOff>
      <xdr:row>187</xdr:row>
      <xdr:rowOff>67236</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974911</xdr:colOff>
      <xdr:row>118</xdr:row>
      <xdr:rowOff>29501</xdr:rowOff>
    </xdr:from>
    <xdr:to>
      <xdr:col>16</xdr:col>
      <xdr:colOff>56029</xdr:colOff>
      <xdr:row>141</xdr:row>
      <xdr:rowOff>134471</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257175</xdr:colOff>
      <xdr:row>19</xdr:row>
      <xdr:rowOff>47626</xdr:rowOff>
    </xdr:from>
    <xdr:to>
      <xdr:col>11</xdr:col>
      <xdr:colOff>695325</xdr:colOff>
      <xdr:row>29</xdr:row>
      <xdr:rowOff>47626</xdr:rowOff>
    </xdr:to>
    <xdr:graphicFrame macro="">
      <xdr:nvGraphicFramePr>
        <xdr:cNvPr id="14" name="Chart 13">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661148</xdr:colOff>
      <xdr:row>189</xdr:row>
      <xdr:rowOff>77693</xdr:rowOff>
    </xdr:from>
    <xdr:to>
      <xdr:col>16</xdr:col>
      <xdr:colOff>44822</xdr:colOff>
      <xdr:row>210</xdr:row>
      <xdr:rowOff>155417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215</xdr:row>
      <xdr:rowOff>86591</xdr:rowOff>
    </xdr:from>
    <xdr:to>
      <xdr:col>8</xdr:col>
      <xdr:colOff>173182</xdr:colOff>
      <xdr:row>219</xdr:row>
      <xdr:rowOff>8284</xdr:rowOff>
    </xdr:to>
    <xdr:cxnSp macro="">
      <xdr:nvCxnSpPr>
        <xdr:cNvPr id="20" name="Straight Connector 19">
          <a:extLst>
            <a:ext uri="{FF2B5EF4-FFF2-40B4-BE49-F238E27FC236}">
              <a16:creationId xmlns:a16="http://schemas.microsoft.com/office/drawing/2014/main" id="{00000000-0008-0000-0500-000014000000}"/>
            </a:ext>
          </a:extLst>
        </xdr:cNvPr>
        <xdr:cNvCxnSpPr/>
      </xdr:nvCxnSpPr>
      <xdr:spPr>
        <a:xfrm flipV="1">
          <a:off x="8156864" y="42827864"/>
          <a:ext cx="883227" cy="683693"/>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8282</xdr:colOff>
      <xdr:row>219</xdr:row>
      <xdr:rowOff>157370</xdr:rowOff>
    </xdr:from>
    <xdr:to>
      <xdr:col>8</xdr:col>
      <xdr:colOff>173182</xdr:colOff>
      <xdr:row>222</xdr:row>
      <xdr:rowOff>138546</xdr:rowOff>
    </xdr:to>
    <xdr:cxnSp macro="">
      <xdr:nvCxnSpPr>
        <xdr:cNvPr id="21" name="Straight Connector 20">
          <a:extLst>
            <a:ext uri="{FF2B5EF4-FFF2-40B4-BE49-F238E27FC236}">
              <a16:creationId xmlns:a16="http://schemas.microsoft.com/office/drawing/2014/main" id="{00000000-0008-0000-0500-000015000000}"/>
            </a:ext>
          </a:extLst>
        </xdr:cNvPr>
        <xdr:cNvCxnSpPr/>
      </xdr:nvCxnSpPr>
      <xdr:spPr>
        <a:xfrm>
          <a:off x="8165146" y="43660643"/>
          <a:ext cx="874945" cy="691221"/>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c:userShapes xmlns:c="http://schemas.openxmlformats.org/drawingml/2006/chart">
  <cdr:relSizeAnchor xmlns:cdr="http://schemas.openxmlformats.org/drawingml/2006/chartDrawing">
    <cdr:from>
      <cdr:x>0.79397</cdr:x>
      <cdr:y>0.00927</cdr:y>
    </cdr:from>
    <cdr:to>
      <cdr:x>0.98937</cdr:x>
      <cdr:y>0.07324</cdr:y>
    </cdr:to>
    <cdr:sp macro="" textlink="Dashboard!$B$100">
      <cdr:nvSpPr>
        <cdr:cNvPr id="2" name="TextBox 1">
          <a:extLst xmlns:a="http://schemas.openxmlformats.org/drawingml/2006/main">
            <a:ext uri="{FF2B5EF4-FFF2-40B4-BE49-F238E27FC236}">
              <a16:creationId xmlns:a16="http://schemas.microsoft.com/office/drawing/2014/main" id="{B5B06335-63F6-410A-ACA7-0BDA8D4B13AB}"/>
            </a:ext>
          </a:extLst>
        </cdr:cNvPr>
        <cdr:cNvSpPr txBox="1"/>
      </cdr:nvSpPr>
      <cdr:spPr>
        <a:xfrm xmlns:a="http://schemas.openxmlformats.org/drawingml/2006/main">
          <a:off x="8534808" y="39709"/>
          <a:ext cx="2100422" cy="27402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fld id="{738989F2-99DA-482F-A0AD-B4C3F285C589}" type="TxLink">
            <a:rPr lang="en-US" sz="1100" b="0" i="0" u="none" strike="noStrike">
              <a:solidFill>
                <a:schemeClr val="tx1"/>
              </a:solidFill>
              <a:latin typeface="Calibri"/>
              <a:cs typeface="Calibri"/>
            </a:rPr>
            <a:pPr algn="r"/>
            <a:t>Project: 800MMbbl_A</a:t>
          </a:fld>
          <a:endParaRPr lang="en-US" sz="1100">
            <a:solidFill>
              <a:schemeClr val="tx1"/>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0.77193</cdr:x>
      <cdr:y>0.00822</cdr:y>
    </cdr:from>
    <cdr:to>
      <cdr:x>0.99043</cdr:x>
      <cdr:y>0.05062</cdr:y>
    </cdr:to>
    <cdr:sp macro="" textlink="Dashboard!$B$69">
      <cdr:nvSpPr>
        <cdr:cNvPr id="2" name="TextBox 1">
          <a:extLst xmlns:a="http://schemas.openxmlformats.org/drawingml/2006/main">
            <a:ext uri="{FF2B5EF4-FFF2-40B4-BE49-F238E27FC236}">
              <a16:creationId xmlns:a16="http://schemas.microsoft.com/office/drawing/2014/main" id="{106C2333-5B91-4A4C-B477-1321CA042071}"/>
            </a:ext>
          </a:extLst>
        </cdr:cNvPr>
        <cdr:cNvSpPr txBox="1"/>
      </cdr:nvSpPr>
      <cdr:spPr>
        <a:xfrm xmlns:a="http://schemas.openxmlformats.org/drawingml/2006/main">
          <a:off x="5423649" y="49946"/>
          <a:ext cx="1535206" cy="2577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fld id="{9CE633B3-B5CF-418B-8D8B-2A470B1A0BC9}" type="TxLink">
            <a:rPr lang="en-US" sz="1100" b="0" i="0" u="none" strike="noStrike">
              <a:solidFill>
                <a:schemeClr val="tx1"/>
              </a:solidFill>
              <a:latin typeface="Calibri"/>
              <a:cs typeface="Calibri"/>
            </a:rPr>
            <a:pPr algn="r"/>
            <a:t>Project: 800MMbbl_A</a:t>
          </a:fld>
          <a:endParaRPr lang="en-US" sz="1100">
            <a:solidFill>
              <a:schemeClr val="tx1"/>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0.74908</cdr:x>
      <cdr:y>0.01113</cdr:y>
    </cdr:from>
    <cdr:to>
      <cdr:x>0.99634</cdr:x>
      <cdr:y>0.06122</cdr:y>
    </cdr:to>
    <cdr:sp macro="" textlink="Dashboard!$B$76">
      <cdr:nvSpPr>
        <cdr:cNvPr id="2" name="TextBox 1">
          <a:extLst xmlns:a="http://schemas.openxmlformats.org/drawingml/2006/main">
            <a:ext uri="{FF2B5EF4-FFF2-40B4-BE49-F238E27FC236}">
              <a16:creationId xmlns:a16="http://schemas.microsoft.com/office/drawing/2014/main" id="{CE613595-F652-4035-A4EA-1562C5499A80}"/>
            </a:ext>
          </a:extLst>
        </cdr:cNvPr>
        <cdr:cNvSpPr txBox="1"/>
      </cdr:nvSpPr>
      <cdr:spPr>
        <a:xfrm xmlns:a="http://schemas.openxmlformats.org/drawingml/2006/main">
          <a:off x="4583206" y="67237"/>
          <a:ext cx="1512794" cy="30255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fld id="{CD31E48F-B865-455E-8DB1-7571BCE3FED7}" type="TxLink">
            <a:rPr lang="en-US" sz="1100" b="0" i="0" u="none" strike="noStrike">
              <a:solidFill>
                <a:srgbClr val="000000"/>
              </a:solidFill>
              <a:latin typeface="Calibri"/>
              <a:cs typeface="Calibri"/>
            </a:rPr>
            <a:pPr algn="r"/>
            <a:t>Project: 800MMbbl_A</a:t>
          </a:fld>
          <a:endParaRPr lang="en-US" sz="1100"/>
        </a:p>
      </cdr:txBody>
    </cdr:sp>
  </cdr:relSizeAnchor>
</c:userShapes>
</file>

<file path=xl/drawings/drawing8.xml><?xml version="1.0" encoding="utf-8"?>
<c:userShapes xmlns:c="http://schemas.openxmlformats.org/drawingml/2006/chart">
  <cdr:relSizeAnchor xmlns:cdr="http://schemas.openxmlformats.org/drawingml/2006/chartDrawing">
    <cdr:from>
      <cdr:x>0.82674</cdr:x>
      <cdr:y>0.00785</cdr:y>
    </cdr:from>
    <cdr:to>
      <cdr:x>0.9946</cdr:x>
      <cdr:y>0.07258</cdr:y>
    </cdr:to>
    <cdr:sp macro="" textlink="Dashboard!$B$164">
      <cdr:nvSpPr>
        <cdr:cNvPr id="2" name="TextBox 1">
          <a:extLst xmlns:a="http://schemas.openxmlformats.org/drawingml/2006/main">
            <a:ext uri="{FF2B5EF4-FFF2-40B4-BE49-F238E27FC236}">
              <a16:creationId xmlns:a16="http://schemas.microsoft.com/office/drawing/2014/main" id="{D5CDEDD5-BD08-4680-86D1-43A20DE579CB}"/>
            </a:ext>
          </a:extLst>
        </cdr:cNvPr>
        <cdr:cNvSpPr txBox="1"/>
      </cdr:nvSpPr>
      <cdr:spPr>
        <a:xfrm xmlns:a="http://schemas.openxmlformats.org/drawingml/2006/main">
          <a:off x="8642792" y="36440"/>
          <a:ext cx="1754827" cy="3005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fld id="{DA346756-BB8B-46B2-AC6E-86DF25D8BD71}" type="TxLink">
            <a:rPr lang="en-US" sz="1100" b="0" i="0" u="none" strike="noStrike">
              <a:solidFill>
                <a:schemeClr val="tx1"/>
              </a:solidFill>
              <a:latin typeface="Calibri"/>
              <a:cs typeface="Calibri"/>
            </a:rPr>
            <a:pPr algn="r"/>
            <a:t>Project: 800MMbbl_A</a:t>
          </a:fld>
          <a:endParaRPr lang="en-US" sz="1100">
            <a:solidFill>
              <a:schemeClr val="tx1"/>
            </a:solidFill>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0.82618</cdr:x>
      <cdr:y>0</cdr:y>
    </cdr:from>
    <cdr:to>
      <cdr:x>1</cdr:x>
      <cdr:y>0.07235</cdr:y>
    </cdr:to>
    <cdr:sp macro="" textlink="Dashboard!$B$176">
      <cdr:nvSpPr>
        <cdr:cNvPr id="2" name="TextBox 1">
          <a:extLst xmlns:a="http://schemas.openxmlformats.org/drawingml/2006/main">
            <a:ext uri="{FF2B5EF4-FFF2-40B4-BE49-F238E27FC236}">
              <a16:creationId xmlns:a16="http://schemas.microsoft.com/office/drawing/2014/main" id="{4F5E6F1F-A0FE-435A-B08D-508584AB4E67}"/>
            </a:ext>
          </a:extLst>
        </cdr:cNvPr>
        <cdr:cNvSpPr txBox="1"/>
      </cdr:nvSpPr>
      <cdr:spPr>
        <a:xfrm xmlns:a="http://schemas.openxmlformats.org/drawingml/2006/main">
          <a:off x="8720216" y="0"/>
          <a:ext cx="1834708" cy="2740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fld id="{325B90A2-87B6-4CFC-B15A-685FBB849728}" type="TxLink">
            <a:rPr lang="en-US" sz="1100" b="0" i="0" u="none" strike="noStrike">
              <a:solidFill>
                <a:srgbClr val="000000"/>
              </a:solidFill>
              <a:latin typeface="Calibri"/>
              <a:cs typeface="Calibri"/>
            </a:rPr>
            <a:pPr algn="r"/>
            <a:t>Project: 800MMbbl_A</a:t>
          </a:fld>
          <a:endParaRPr lang="en-US" sz="1100"/>
        </a:p>
      </cdr:txBody>
    </cdr:sp>
  </cdr:relSizeAnchor>
</c:userShapes>
</file>

<file path=xl/drawings/drawing10.xml><?xml version="1.0" encoding="utf-8"?>
<c:userShapes xmlns:c="http://schemas.openxmlformats.org/drawingml/2006/chart">
  <cdr:relSizeAnchor xmlns:cdr="http://schemas.openxmlformats.org/drawingml/2006/chartDrawing">
    <cdr:from>
      <cdr:x>0.79693</cdr:x>
      <cdr:y>0.01854</cdr:y>
    </cdr:from>
    <cdr:to>
      <cdr:x>0.99643</cdr:x>
      <cdr:y>0.07118</cdr:y>
    </cdr:to>
    <cdr:sp macro="" textlink="Dashboard!$B$125">
      <cdr:nvSpPr>
        <cdr:cNvPr id="2" name="TextBox 1">
          <a:extLst xmlns:a="http://schemas.openxmlformats.org/drawingml/2006/main">
            <a:ext uri="{FF2B5EF4-FFF2-40B4-BE49-F238E27FC236}">
              <a16:creationId xmlns:a16="http://schemas.microsoft.com/office/drawing/2014/main" id="{767A0E02-D9F8-44F9-97C7-42ECB2566C4E}"/>
            </a:ext>
          </a:extLst>
        </cdr:cNvPr>
        <cdr:cNvSpPr txBox="1"/>
      </cdr:nvSpPr>
      <cdr:spPr>
        <a:xfrm xmlns:a="http://schemas.openxmlformats.org/drawingml/2006/main">
          <a:off x="8307634" y="82537"/>
          <a:ext cx="2079677" cy="23432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fld id="{667C2C9F-A410-4BFD-A771-D31351CF1C17}" type="TxLink">
            <a:rPr lang="en-US" sz="1100" b="0" i="0" u="none" strike="noStrike">
              <a:solidFill>
                <a:schemeClr val="tx1"/>
              </a:solidFill>
              <a:latin typeface="Calibri"/>
              <a:cs typeface="Calibri"/>
            </a:rPr>
            <a:pPr algn="r"/>
            <a:t>Project: 800MMbbl_A</a:t>
          </a:fld>
          <a:endParaRPr lang="en-US" sz="1100">
            <a:solidFill>
              <a:schemeClr val="tx1"/>
            </a:solidFill>
          </a:endParaRPr>
        </a:p>
      </cdr:txBody>
    </cdr:sp>
  </cdr:relSizeAnchor>
</c:userShapes>
</file>

<file path=xl/drawings/drawing11.xml><?xml version="1.0" encoding="utf-8"?>
<c:userShapes xmlns:c="http://schemas.openxmlformats.org/drawingml/2006/chart">
  <cdr:relSizeAnchor xmlns:cdr="http://schemas.openxmlformats.org/drawingml/2006/chartDrawing">
    <cdr:from>
      <cdr:x>0.85214</cdr:x>
      <cdr:y>0.00568</cdr:y>
    </cdr:from>
    <cdr:to>
      <cdr:x>1</cdr:x>
      <cdr:y>0.06163</cdr:y>
    </cdr:to>
    <cdr:sp macro="" textlink="Dashboard!$B$196">
      <cdr:nvSpPr>
        <cdr:cNvPr id="2" name="TextBox 1">
          <a:extLst xmlns:a="http://schemas.openxmlformats.org/drawingml/2006/main">
            <a:ext uri="{FF2B5EF4-FFF2-40B4-BE49-F238E27FC236}">
              <a16:creationId xmlns:a16="http://schemas.microsoft.com/office/drawing/2014/main" id="{7A5DA033-CA6A-4978-9206-15D5FFF8A8C1}"/>
            </a:ext>
          </a:extLst>
        </cdr:cNvPr>
        <cdr:cNvSpPr txBox="1"/>
      </cdr:nvSpPr>
      <cdr:spPr>
        <a:xfrm xmlns:a="http://schemas.openxmlformats.org/drawingml/2006/main">
          <a:off x="9140944" y="23164"/>
          <a:ext cx="1586139" cy="22818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fld id="{DCF9E976-522B-42EC-B3E2-8C78BD0DD32E}" type="TxLink">
            <a:rPr lang="en-US" sz="1100" b="0" i="0" u="none" strike="noStrike">
              <a:solidFill>
                <a:srgbClr val="000000"/>
              </a:solidFill>
              <a:latin typeface="Calibri"/>
              <a:cs typeface="Calibri"/>
            </a:rPr>
            <a:pPr algn="r"/>
            <a:t>Project: 800MMbbl_A</a:t>
          </a:fld>
          <a:endParaRPr lang="en-US" sz="1100"/>
        </a:p>
      </cdr:txBody>
    </cdr:sp>
  </cdr:relSizeAnchor>
  <cdr:relSizeAnchor xmlns:cdr="http://schemas.openxmlformats.org/drawingml/2006/chartDrawing">
    <cdr:from>
      <cdr:x>0.00403</cdr:x>
      <cdr:y>0.01246</cdr:y>
    </cdr:from>
    <cdr:to>
      <cdr:x>0.17246</cdr:x>
      <cdr:y>0.06163</cdr:y>
    </cdr:to>
    <cdr:sp macro="" textlink="Dashboard!$B$197">
      <cdr:nvSpPr>
        <cdr:cNvPr id="3" name="TextBox 1">
          <a:extLst xmlns:a="http://schemas.openxmlformats.org/drawingml/2006/main">
            <a:ext uri="{FF2B5EF4-FFF2-40B4-BE49-F238E27FC236}">
              <a16:creationId xmlns:a16="http://schemas.microsoft.com/office/drawing/2014/main" id="{901D6E08-8EF8-4911-B363-1321E5C7D5C0}"/>
            </a:ext>
          </a:extLst>
        </cdr:cNvPr>
        <cdr:cNvSpPr txBox="1"/>
      </cdr:nvSpPr>
      <cdr:spPr>
        <a:xfrm xmlns:a="http://schemas.openxmlformats.org/drawingml/2006/main">
          <a:off x="43230" y="50815"/>
          <a:ext cx="1806758" cy="20053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C716581-E4C0-4353-B99C-1D44784FD110}" type="TxLink">
            <a:rPr lang="en-US" sz="1100" b="0" i="0" u="none" strike="noStrike">
              <a:solidFill>
                <a:schemeClr val="tx1"/>
              </a:solidFill>
              <a:latin typeface="Calibri"/>
              <a:cs typeface="Calibri"/>
            </a:rPr>
            <a:pPr algn="l"/>
            <a:t>Regime: Royalty + CIT</a:t>
          </a:fld>
          <a:endParaRPr lang="en-US" sz="1100">
            <a:solidFill>
              <a:schemeClr val="tx1"/>
            </a:solidFill>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4</xdr:col>
      <xdr:colOff>27215</xdr:colOff>
      <xdr:row>38</xdr:row>
      <xdr:rowOff>16329</xdr:rowOff>
    </xdr:from>
    <xdr:to>
      <xdr:col>9</xdr:col>
      <xdr:colOff>231321</xdr:colOff>
      <xdr:row>58</xdr:row>
      <xdr:rowOff>166329</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34016</xdr:colOff>
      <xdr:row>38</xdr:row>
      <xdr:rowOff>16329</xdr:rowOff>
    </xdr:from>
    <xdr:to>
      <xdr:col>20</xdr:col>
      <xdr:colOff>134470</xdr:colOff>
      <xdr:row>58</xdr:row>
      <xdr:rowOff>166329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27212</xdr:colOff>
      <xdr:row>92</xdr:row>
      <xdr:rowOff>13607</xdr:rowOff>
    </xdr:from>
    <xdr:to>
      <xdr:col>10</xdr:col>
      <xdr:colOff>0</xdr:colOff>
      <xdr:row>113</xdr:row>
      <xdr:rowOff>3041</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81641</xdr:colOff>
      <xdr:row>128</xdr:row>
      <xdr:rowOff>190499</xdr:rowOff>
    </xdr:from>
    <xdr:to>
      <xdr:col>9</xdr:col>
      <xdr:colOff>244927</xdr:colOff>
      <xdr:row>145</xdr:row>
      <xdr:rowOff>176892</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39087</xdr:colOff>
      <xdr:row>52</xdr:row>
      <xdr:rowOff>34138</xdr:rowOff>
    </xdr:from>
    <xdr:to>
      <xdr:col>18</xdr:col>
      <xdr:colOff>174172</xdr:colOff>
      <xdr:row>73</xdr:row>
      <xdr:rowOff>112815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69271</xdr:colOff>
      <xdr:row>52</xdr:row>
      <xdr:rowOff>51954</xdr:rowOff>
    </xdr:from>
    <xdr:to>
      <xdr:col>8</xdr:col>
      <xdr:colOff>620484</xdr:colOff>
      <xdr:row>73</xdr:row>
      <xdr:rowOff>106382</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39087</xdr:colOff>
      <xdr:row>52</xdr:row>
      <xdr:rowOff>34138</xdr:rowOff>
    </xdr:from>
    <xdr:to>
      <xdr:col>18</xdr:col>
      <xdr:colOff>174172</xdr:colOff>
      <xdr:row>73</xdr:row>
      <xdr:rowOff>112815</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69271</xdr:colOff>
      <xdr:row>52</xdr:row>
      <xdr:rowOff>51954</xdr:rowOff>
    </xdr:from>
    <xdr:to>
      <xdr:col>8</xdr:col>
      <xdr:colOff>620484</xdr:colOff>
      <xdr:row>73</xdr:row>
      <xdr:rowOff>106382</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10</xdr:col>
      <xdr:colOff>39087</xdr:colOff>
      <xdr:row>57</xdr:row>
      <xdr:rowOff>34138</xdr:rowOff>
    </xdr:from>
    <xdr:to>
      <xdr:col>18</xdr:col>
      <xdr:colOff>174172</xdr:colOff>
      <xdr:row>78</xdr:row>
      <xdr:rowOff>112815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69271</xdr:colOff>
      <xdr:row>57</xdr:row>
      <xdr:rowOff>51954</xdr:rowOff>
    </xdr:from>
    <xdr:to>
      <xdr:col>8</xdr:col>
      <xdr:colOff>620484</xdr:colOff>
      <xdr:row>78</xdr:row>
      <xdr:rowOff>106382</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tbenninger@imf.org"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tint="-0.34998626667073579"/>
    <pageSetUpPr autoPageBreaks="0"/>
  </sheetPr>
  <dimension ref="A1:M25"/>
  <sheetViews>
    <sheetView showGridLines="0" zoomScale="70" zoomScaleNormal="70" workbookViewId="0">
      <selection activeCell="B13" sqref="B13:K13"/>
    </sheetView>
  </sheetViews>
  <sheetFormatPr defaultColWidth="9.1796875" defaultRowHeight="15" customHeight="1" x14ac:dyDescent="0.25"/>
  <cols>
    <col min="1" max="1" width="3.7265625" style="27" customWidth="1"/>
    <col min="2" max="2" width="37.54296875" style="27" customWidth="1"/>
    <col min="3" max="11" width="9.1796875" style="27" customWidth="1"/>
    <col min="12" max="12" width="3.453125" style="27" customWidth="1"/>
    <col min="13" max="16384" width="9.1796875" style="27"/>
  </cols>
  <sheetData>
    <row r="1" spans="1:12" ht="15" customHeight="1" x14ac:dyDescent="0.25">
      <c r="A1" s="2" t="str">
        <f ca="1" xml:space="preserve"> RIGHT( CELL("filename",$A$1), LEN( CELL("filename",$A$1)) - SEARCH("]", CELL("filename",$A$1)))</f>
        <v>Terms</v>
      </c>
      <c r="B1" s="2"/>
      <c r="C1" s="2" t="str">
        <f xml:space="preserve"> Inputs!$E$75</f>
        <v>Simplified Petroleum FARI model: April 2022</v>
      </c>
      <c r="D1" s="2"/>
      <c r="E1" s="2"/>
      <c r="F1" s="2"/>
      <c r="G1" s="2"/>
      <c r="H1" s="2"/>
      <c r="I1" s="2"/>
      <c r="J1" s="2"/>
      <c r="K1" s="2"/>
      <c r="L1" s="2"/>
    </row>
    <row r="2" spans="1:12" ht="15" customHeight="1" x14ac:dyDescent="0.25">
      <c r="A2" s="16"/>
      <c r="B2" s="1023"/>
      <c r="C2" s="1023"/>
      <c r="D2" s="1023"/>
      <c r="E2" s="1023"/>
      <c r="F2" s="1023"/>
      <c r="G2" s="1023"/>
      <c r="H2" s="1023"/>
      <c r="I2" s="1023"/>
      <c r="J2" s="1023"/>
      <c r="K2" s="1023"/>
      <c r="L2" s="2"/>
    </row>
    <row r="3" spans="1:12" ht="15" customHeight="1" x14ac:dyDescent="0.25">
      <c r="A3" s="16"/>
      <c r="B3" s="1023"/>
      <c r="C3" s="1023"/>
      <c r="D3" s="1023"/>
      <c r="E3" s="1023"/>
      <c r="F3" s="1023"/>
      <c r="G3" s="1023"/>
      <c r="H3" s="1023"/>
      <c r="I3" s="1023"/>
      <c r="J3" s="1023"/>
      <c r="K3" s="1023"/>
      <c r="L3" s="2"/>
    </row>
    <row r="4" spans="1:12" ht="15" customHeight="1" x14ac:dyDescent="0.25">
      <c r="A4" s="16"/>
      <c r="B4" s="1023"/>
      <c r="C4" s="1023"/>
      <c r="D4" s="1023"/>
      <c r="E4" s="1023"/>
      <c r="F4" s="1023"/>
      <c r="G4" s="1023"/>
      <c r="H4" s="1023"/>
      <c r="I4" s="1023"/>
      <c r="J4" s="1023"/>
      <c r="K4" s="1023"/>
      <c r="L4" s="2"/>
    </row>
    <row r="5" spans="1:12" ht="15" customHeight="1" x14ac:dyDescent="0.25">
      <c r="A5" s="16"/>
      <c r="B5" s="1023"/>
      <c r="C5" s="1023"/>
      <c r="D5" s="1023"/>
      <c r="E5" s="1023"/>
      <c r="F5" s="1023"/>
      <c r="G5" s="1023"/>
      <c r="H5" s="1023"/>
      <c r="I5" s="1023"/>
      <c r="J5" s="1023"/>
      <c r="K5" s="1023"/>
      <c r="L5" s="2"/>
    </row>
    <row r="6" spans="1:12" ht="15" customHeight="1" x14ac:dyDescent="0.25">
      <c r="A6" s="16"/>
      <c r="B6" s="1023"/>
      <c r="C6" s="1023"/>
      <c r="D6" s="1023"/>
      <c r="E6" s="1023"/>
      <c r="F6" s="1023"/>
      <c r="G6" s="1023"/>
      <c r="H6" s="1023"/>
      <c r="I6" s="1023"/>
      <c r="J6" s="1023"/>
      <c r="K6" s="1023"/>
      <c r="L6" s="2"/>
    </row>
    <row r="7" spans="1:12" ht="15" customHeight="1" x14ac:dyDescent="0.25">
      <c r="A7" s="16"/>
      <c r="B7" s="1023"/>
      <c r="C7" s="1023"/>
      <c r="D7" s="1023"/>
      <c r="E7" s="1023"/>
      <c r="F7" s="1023"/>
      <c r="G7" s="1023"/>
      <c r="H7" s="1023"/>
      <c r="I7" s="1023"/>
      <c r="J7" s="1023"/>
      <c r="K7" s="1023"/>
      <c r="L7" s="2"/>
    </row>
    <row r="8" spans="1:12" ht="26.25" customHeight="1" x14ac:dyDescent="0.35">
      <c r="A8" s="16"/>
      <c r="B8" s="1085" t="str">
        <f xml:space="preserve"> Translate!E$816</f>
        <v>FARI TERMS OF USE</v>
      </c>
      <c r="C8" s="1085"/>
      <c r="D8" s="1085"/>
      <c r="E8" s="1085"/>
      <c r="F8" s="1085"/>
      <c r="G8" s="1085"/>
      <c r="H8" s="1085"/>
      <c r="I8" s="1085"/>
      <c r="J8" s="1085"/>
      <c r="K8" s="1085"/>
      <c r="L8" s="2"/>
    </row>
    <row r="9" spans="1:12" ht="15" customHeight="1" x14ac:dyDescent="0.25">
      <c r="A9" s="16"/>
      <c r="B9" s="1023"/>
      <c r="C9" s="1023"/>
      <c r="D9" s="1023"/>
      <c r="E9" s="1023"/>
      <c r="F9" s="1023"/>
      <c r="G9" s="1023"/>
      <c r="H9" s="1023"/>
      <c r="I9" s="1023"/>
      <c r="J9" s="1023"/>
      <c r="K9" s="1023"/>
      <c r="L9" s="2"/>
    </row>
    <row r="10" spans="1:12" ht="53.25" customHeight="1" x14ac:dyDescent="0.25">
      <c r="A10" s="16"/>
      <c r="B10" s="1086" t="str">
        <f xml:space="preserve"> Translate!E$906</f>
        <v xml:space="preserve">The Fiscal Analysis of Resource Industries (FARI or the “Methodology”) is made available to User by the International Monetary Fund (IMF) and subject to the following terms and conditions of use (“Terms”).  By proceeding to use of the Methodology, User agrees and accepts the Terms. </v>
      </c>
      <c r="C10" s="1086"/>
      <c r="D10" s="1086"/>
      <c r="E10" s="1086"/>
      <c r="F10" s="1086"/>
      <c r="G10" s="1086"/>
      <c r="H10" s="1086"/>
      <c r="I10" s="1086"/>
      <c r="J10" s="1086"/>
      <c r="K10" s="1086"/>
      <c r="L10" s="2"/>
    </row>
    <row r="11" spans="1:12" ht="14.5" x14ac:dyDescent="0.35">
      <c r="A11" s="16"/>
      <c r="B11" s="1067"/>
      <c r="C11" s="1067"/>
      <c r="D11" s="1067"/>
      <c r="E11" s="1067"/>
      <c r="F11" s="1067"/>
      <c r="G11" s="1067"/>
      <c r="H11" s="1067"/>
      <c r="I11" s="1067"/>
      <c r="J11" s="1067"/>
      <c r="K11" s="1067"/>
      <c r="L11" s="2"/>
    </row>
    <row r="12" spans="1:12" ht="15" customHeight="1" x14ac:dyDescent="0.35">
      <c r="A12" s="16"/>
      <c r="B12" s="1088" t="str">
        <f xml:space="preserve"> Translate!E$907</f>
        <v>TERMS</v>
      </c>
      <c r="C12" s="1088"/>
      <c r="D12" s="1088"/>
      <c r="E12" s="1088"/>
      <c r="F12" s="1088"/>
      <c r="G12" s="1088"/>
      <c r="H12" s="1088"/>
      <c r="I12" s="1088"/>
      <c r="J12" s="1088"/>
      <c r="K12" s="1088"/>
      <c r="L12" s="2"/>
    </row>
    <row r="13" spans="1:12" ht="76.5" customHeight="1" x14ac:dyDescent="0.25">
      <c r="A13" s="16"/>
      <c r="B13" s="1086" t="str">
        <f xml:space="preserve"> Translate!E$908</f>
        <v>1. The Methodology is intended as a tool to perform economic and fiscal analysis of extractive industries projects and to support general capacity building for government officials and civil society. User may adapt, modify or alter the Methodology to the extent necessary to fit the purpose of User’s internal use, provided that such adaptations, modifications or alterations shall not affect the integrity of the Methodology.</v>
      </c>
      <c r="C13" s="1086"/>
      <c r="D13" s="1086"/>
      <c r="E13" s="1086"/>
      <c r="F13" s="1086"/>
      <c r="G13" s="1086"/>
      <c r="H13" s="1086"/>
      <c r="I13" s="1086"/>
      <c r="J13" s="1086"/>
      <c r="K13" s="1086"/>
      <c r="L13" s="2"/>
    </row>
    <row r="14" spans="1:12" ht="57" customHeight="1" x14ac:dyDescent="0.25">
      <c r="A14" s="16"/>
      <c r="B14" s="1086" t="str">
        <f xml:space="preserve"> Translate!E$909</f>
        <v>2. The Methodology has not been configured as a formal forecasting tool and is not designed or intended for such use. The Methodology is made available “as is” and the IMF makes no warranty or representation of the accuracy, adequacy or fitness for a particular purpose of the Methodology.</v>
      </c>
      <c r="C14" s="1086"/>
      <c r="D14" s="1086"/>
      <c r="E14" s="1086"/>
      <c r="F14" s="1086"/>
      <c r="G14" s="1086"/>
      <c r="H14" s="1086"/>
      <c r="I14" s="1086"/>
      <c r="J14" s="1086"/>
      <c r="K14" s="1086"/>
      <c r="L14" s="2"/>
    </row>
    <row r="15" spans="1:12" ht="58.5" customHeight="1" x14ac:dyDescent="0.25">
      <c r="A15" s="16"/>
      <c r="B15" s="1086" t="str">
        <f xml:space="preserve"> Translate!E$910</f>
        <v xml:space="preserve">3. All proprietary rights in the Methodology, including intellectual property rights, belong to the IMF. All other rights, whether now existing or which may hereafter come into existence which are not expressly authorized by these Terms, are hereby reserved to and by the IMF. </v>
      </c>
      <c r="C15" s="1086"/>
      <c r="D15" s="1086"/>
      <c r="E15" s="1086"/>
      <c r="F15" s="1086"/>
      <c r="G15" s="1086"/>
      <c r="H15" s="1086"/>
      <c r="I15" s="1086"/>
      <c r="J15" s="1086"/>
      <c r="K15" s="1086"/>
      <c r="L15" s="2"/>
    </row>
    <row r="16" spans="1:12" ht="45" customHeight="1" x14ac:dyDescent="0.25">
      <c r="A16" s="16"/>
      <c r="B16" s="1086" t="str">
        <f xml:space="preserve"> Translate!E$911</f>
        <v>4. User shall give appropriate credit to the IMF in all applications and outputs derived from the use of the Methodology, in a way which does not suggest that the IMF endorses User or any User's use of the Methodology and the outputs deriving thereof.</v>
      </c>
      <c r="C16" s="1086"/>
      <c r="D16" s="1086"/>
      <c r="E16" s="1086"/>
      <c r="F16" s="1086"/>
      <c r="G16" s="1086"/>
      <c r="H16" s="1086"/>
      <c r="I16" s="1086"/>
      <c r="J16" s="1086"/>
      <c r="K16" s="1086"/>
      <c r="L16" s="2"/>
    </row>
    <row r="17" spans="1:13" ht="52.5" customHeight="1" x14ac:dyDescent="0.25">
      <c r="A17" s="16"/>
      <c r="B17" s="1086" t="str">
        <f xml:space="preserve"> Translate!E$912</f>
        <v>5. Access to and use of the Methodology are at the User's own risk and responsibility. The IMF bears no responsibility or liability for damage of any kind, also for indirect or consequential damages resulting from access to or use of this Methodology.</v>
      </c>
      <c r="C17" s="1086"/>
      <c r="D17" s="1086"/>
      <c r="E17" s="1086"/>
      <c r="F17" s="1086"/>
      <c r="G17" s="1086"/>
      <c r="H17" s="1086"/>
      <c r="I17" s="1086"/>
      <c r="J17" s="1086"/>
      <c r="K17" s="1086"/>
      <c r="L17" s="2"/>
      <c r="M17" s="1023"/>
    </row>
    <row r="18" spans="1:13" ht="14.5" x14ac:dyDescent="0.35">
      <c r="A18" s="16"/>
      <c r="B18" s="1067"/>
      <c r="C18" s="1067"/>
      <c r="D18" s="1067"/>
      <c r="E18" s="1067"/>
      <c r="F18" s="1067"/>
      <c r="G18" s="1067"/>
      <c r="H18" s="1067"/>
      <c r="I18" s="1067"/>
      <c r="J18" s="1067"/>
      <c r="K18" s="1067"/>
      <c r="L18" s="2"/>
      <c r="M18" s="1023"/>
    </row>
    <row r="19" spans="1:13" ht="14.5" x14ac:dyDescent="0.25">
      <c r="A19" s="16"/>
      <c r="B19" s="1087" t="str">
        <f xml:space="preserve"> Translate!E$913</f>
        <v>Accept terms of use to continue.</v>
      </c>
      <c r="C19" s="1087"/>
      <c r="D19" s="1087"/>
      <c r="E19" s="1087"/>
      <c r="F19" s="1087"/>
      <c r="G19" s="1087"/>
      <c r="H19" s="1087"/>
      <c r="I19" s="1087"/>
      <c r="J19" s="1087"/>
      <c r="K19" s="1087"/>
      <c r="L19" s="2"/>
      <c r="M19" s="1023"/>
    </row>
    <row r="20" spans="1:13" ht="14.5" x14ac:dyDescent="0.35">
      <c r="A20" s="16"/>
      <c r="B20" s="1068"/>
      <c r="C20" s="1068"/>
      <c r="D20" s="1068"/>
      <c r="E20" s="1068"/>
      <c r="F20" s="1068"/>
      <c r="G20" s="1068"/>
      <c r="H20" s="1068"/>
      <c r="I20" s="1068"/>
      <c r="J20" s="1068"/>
      <c r="K20" s="1068"/>
      <c r="L20" s="2"/>
      <c r="M20" s="1023"/>
    </row>
    <row r="21" spans="1:13" ht="15" customHeight="1" x14ac:dyDescent="0.25">
      <c r="A21" s="16"/>
      <c r="B21" s="1023"/>
      <c r="C21" s="1023"/>
      <c r="D21" s="1023"/>
      <c r="E21" s="1023"/>
      <c r="F21" s="1023"/>
      <c r="G21" s="1023"/>
      <c r="H21" s="1023"/>
      <c r="I21" s="1023"/>
      <c r="J21" s="1023"/>
      <c r="K21" s="1023"/>
      <c r="L21" s="2"/>
      <c r="M21" s="1023"/>
    </row>
    <row r="22" spans="1:13" ht="15" customHeight="1" x14ac:dyDescent="0.25">
      <c r="A22" s="16"/>
      <c r="B22" s="1023"/>
      <c r="C22" s="1023"/>
      <c r="D22" s="1023"/>
      <c r="E22" s="1023"/>
      <c r="F22" s="1023"/>
      <c r="G22" s="1023"/>
      <c r="H22" s="1023"/>
      <c r="I22" s="1023"/>
      <c r="J22" s="1023"/>
      <c r="K22" s="1023"/>
      <c r="L22" s="2"/>
      <c r="M22" s="1023"/>
    </row>
    <row r="23" spans="1:13" ht="15" customHeight="1" x14ac:dyDescent="0.25">
      <c r="A23" s="16"/>
      <c r="B23" s="1023"/>
      <c r="C23" s="1023"/>
      <c r="D23" s="1023"/>
      <c r="E23" s="1023"/>
      <c r="F23" s="1023"/>
      <c r="G23" s="1023"/>
      <c r="H23" s="1023"/>
      <c r="I23" s="1023"/>
      <c r="J23" s="1023"/>
      <c r="K23" s="1023"/>
      <c r="L23" s="2"/>
      <c r="M23" s="1023"/>
    </row>
    <row r="24" spans="1:13" ht="15" customHeight="1" x14ac:dyDescent="0.25">
      <c r="A24" s="16"/>
      <c r="B24" s="1023"/>
      <c r="C24" s="1023"/>
      <c r="D24" s="1023"/>
      <c r="E24" s="1023"/>
      <c r="F24" s="1023"/>
      <c r="G24" s="1023"/>
      <c r="H24" s="1023"/>
      <c r="I24" s="1023"/>
      <c r="J24" s="1023"/>
      <c r="K24" s="1023"/>
      <c r="L24" s="2"/>
      <c r="M24" s="1023"/>
    </row>
    <row r="25" spans="1:13" ht="15" customHeight="1" x14ac:dyDescent="0.25">
      <c r="A25" s="16"/>
      <c r="B25" s="16"/>
      <c r="C25" s="16"/>
      <c r="D25" s="16"/>
      <c r="E25" s="16"/>
      <c r="F25" s="16"/>
      <c r="G25" s="16"/>
      <c r="H25" s="16"/>
      <c r="I25" s="16"/>
      <c r="J25" s="16"/>
      <c r="K25" s="16"/>
      <c r="L25" s="16"/>
      <c r="M25" s="720"/>
    </row>
  </sheetData>
  <sheetProtection formatCells="0" formatColumns="0" formatRows="0" insertColumns="0" insertRows="0" insertHyperlinks="0" deleteColumns="0" deleteRows="0" sort="0" autoFilter="0"/>
  <mergeCells count="9">
    <mergeCell ref="B8:K8"/>
    <mergeCell ref="B16:K16"/>
    <mergeCell ref="B17:K17"/>
    <mergeCell ref="B19:K19"/>
    <mergeCell ref="B10:K10"/>
    <mergeCell ref="B13:K13"/>
    <mergeCell ref="B14:K14"/>
    <mergeCell ref="B15:K15"/>
    <mergeCell ref="B12:K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ccept">
                <anchor moveWithCells="1" sizeWithCells="1">
                  <from>
                    <xdr:col>1</xdr:col>
                    <xdr:colOff>1974850</xdr:colOff>
                    <xdr:row>20</xdr:row>
                    <xdr:rowOff>31750</xdr:rowOff>
                  </from>
                  <to>
                    <xdr:col>3</xdr:col>
                    <xdr:colOff>469900</xdr:colOff>
                    <xdr:row>23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Quit">
                <anchor moveWithCells="1" sizeWithCells="1">
                  <from>
                    <xdr:col>5</xdr:col>
                    <xdr:colOff>381000</xdr:colOff>
                    <xdr:row>20</xdr:row>
                    <xdr:rowOff>31750</xdr:rowOff>
                  </from>
                  <to>
                    <xdr:col>8</xdr:col>
                    <xdr:colOff>114300</xdr:colOff>
                    <xdr:row>23</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D70AD-6C70-48D1-8743-BDA0DB6A5FE6}">
  <sheetPr codeName="Sheet11">
    <tabColor theme="0" tint="-0.34998626667073579"/>
  </sheetPr>
  <dimension ref="A1:AB103"/>
  <sheetViews>
    <sheetView showGridLines="0" topLeftCell="A43" zoomScale="55" zoomScaleNormal="55" workbookViewId="0">
      <selection activeCell="F52" sqref="F52"/>
    </sheetView>
  </sheetViews>
  <sheetFormatPr defaultColWidth="9.1796875" defaultRowHeight="12.5" zeroHeight="1" x14ac:dyDescent="0.25"/>
  <cols>
    <col min="1" max="1" width="3.7265625" customWidth="1"/>
    <col min="2" max="2" width="7.1796875" customWidth="1"/>
    <col min="3" max="3" width="56.26953125" customWidth="1"/>
    <col min="4" max="4" width="9.26953125" customWidth="1"/>
    <col min="5" max="5" width="9.1796875" customWidth="1"/>
    <col min="6" max="6" width="67.1796875" customWidth="1"/>
    <col min="8" max="8" width="3.7265625" customWidth="1"/>
    <col min="10" max="10" width="43" customWidth="1"/>
    <col min="12" max="12" width="13.7265625" customWidth="1"/>
    <col min="14" max="14" width="32.81640625" customWidth="1"/>
    <col min="16" max="16" width="15.81640625" customWidth="1"/>
    <col min="28" max="28" width="3.7265625" customWidth="1"/>
  </cols>
  <sheetData>
    <row r="1" spans="1:28" ht="14.5" x14ac:dyDescent="0.25">
      <c r="A1" s="2" t="str">
        <f ca="1" xml:space="preserve"> RIGHT( CELL("filename",$A$1), LEN( CELL("filename",$A$1)) - SEARCH("]", CELL("filename",$A$1)))</f>
        <v>ReadMe</v>
      </c>
      <c r="B1" s="2"/>
      <c r="C1" s="2"/>
      <c r="D1" s="2" t="str">
        <f xml:space="preserve"> Inputs!$E$75</f>
        <v>Simplified Petroleum FARI model: April 2022</v>
      </c>
      <c r="E1" s="2"/>
      <c r="F1" s="2"/>
      <c r="G1" s="2"/>
      <c r="H1" s="16"/>
      <c r="I1" s="16"/>
      <c r="J1" s="16"/>
      <c r="K1" s="16"/>
      <c r="L1" s="16"/>
      <c r="M1" s="16"/>
      <c r="N1" s="16"/>
      <c r="O1" s="16"/>
      <c r="P1" s="16"/>
      <c r="Q1" s="16"/>
      <c r="R1" s="16"/>
      <c r="S1" s="16"/>
      <c r="T1" s="16"/>
      <c r="U1" s="16"/>
      <c r="V1" s="16"/>
      <c r="W1" s="16"/>
      <c r="X1" s="16"/>
      <c r="Y1" s="16"/>
      <c r="Z1" s="16"/>
      <c r="AA1" s="16"/>
      <c r="AB1" s="16"/>
    </row>
    <row r="2" spans="1:28" ht="15" thickBot="1" x14ac:dyDescent="0.3">
      <c r="A2" s="16"/>
      <c r="H2" s="16"/>
      <c r="AB2" s="16"/>
    </row>
    <row r="3" spans="1:28" ht="14.5" x14ac:dyDescent="0.25">
      <c r="A3" s="16"/>
      <c r="C3" s="365" t="str">
        <f>Translate!E3</f>
        <v>Authors</v>
      </c>
      <c r="D3" s="366"/>
      <c r="E3" s="9" t="str">
        <f xml:space="preserve"> Translate!E$800</f>
        <v>IMF Fiscal Affairs Department, Tax Policy Division</v>
      </c>
      <c r="F3" s="721"/>
      <c r="H3" s="16"/>
      <c r="J3" s="14" t="str">
        <f xml:space="preserve"> Translate!E$804</f>
        <v>Sheets</v>
      </c>
      <c r="K3" s="8" t="str">
        <f xml:space="preserve"> Translate!E$7</f>
        <v>Checks</v>
      </c>
      <c r="L3" s="15"/>
      <c r="N3" s="14" t="str">
        <f xml:space="preserve"> Translate!E$606</f>
        <v>Translation of options</v>
      </c>
      <c r="O3" s="8" t="str">
        <f xml:space="preserve"> Translate!E$7</f>
        <v>Checks</v>
      </c>
      <c r="P3" s="15"/>
      <c r="AB3" s="16"/>
    </row>
    <row r="4" spans="1:28" ht="14.5" x14ac:dyDescent="0.25">
      <c r="A4" s="16"/>
      <c r="C4" s="367" t="str">
        <f>Translate!E4</f>
        <v>Contact in IMF FAD</v>
      </c>
      <c r="D4" s="98"/>
      <c r="E4" s="347" t="s">
        <v>0</v>
      </c>
      <c r="F4" s="963"/>
      <c r="H4" s="16"/>
      <c r="J4" s="318" t="str">
        <f xml:space="preserve"> Translate!E$805</f>
        <v>top row</v>
      </c>
      <c r="K4" s="319"/>
      <c r="L4" s="320"/>
      <c r="N4" s="318" t="str">
        <f xml:space="preserve"> Translate!E$805</f>
        <v>top row</v>
      </c>
      <c r="O4" s="319"/>
      <c r="P4" s="320"/>
      <c r="AB4" s="16"/>
    </row>
    <row r="5" spans="1:28" ht="14.5" x14ac:dyDescent="0.25">
      <c r="A5" s="16"/>
      <c r="C5" s="367" t="str">
        <f>Translate!E5</f>
        <v>Owner</v>
      </c>
      <c r="D5" s="98"/>
      <c r="E5" s="10" t="str">
        <f xml:space="preserve"> Translate!E$801</f>
        <v>© IMF Fiscal Affairs Department. All rights reserved</v>
      </c>
      <c r="F5" s="964"/>
      <c r="H5" s="16"/>
      <c r="J5" s="361" t="str">
        <f ca="1" xml:space="preserve"> Dashboard!F56</f>
        <v>Check: Dashboard</v>
      </c>
      <c r="K5" s="466">
        <f ca="1" xml:space="preserve"> Dashboard!K56</f>
        <v>0</v>
      </c>
      <c r="L5" s="362" t="str">
        <f xml:space="preserve"> Dashboard!L56</f>
        <v>Check</v>
      </c>
      <c r="N5" s="1004" t="str">
        <f>Inputs!E41</f>
        <v>Check:  ELT applies</v>
      </c>
      <c r="O5" s="466">
        <f>Inputs!F41</f>
        <v>0</v>
      </c>
      <c r="P5" s="362" t="str">
        <f>Inputs!G41</f>
        <v>Check</v>
      </c>
      <c r="AB5" s="16"/>
    </row>
    <row r="6" spans="1:28" ht="14.5" x14ac:dyDescent="0.25">
      <c r="A6" s="16"/>
      <c r="C6" s="368"/>
      <c r="D6" s="98"/>
      <c r="E6" s="13"/>
      <c r="F6" s="964"/>
      <c r="H6" s="16"/>
      <c r="J6" s="361" t="str">
        <f ca="1" xml:space="preserve"> Inputs!E$108</f>
        <v>Check: Inputs</v>
      </c>
      <c r="K6" s="466">
        <f xml:space="preserve"> Inputs!F$108</f>
        <v>0</v>
      </c>
      <c r="L6" s="362" t="str">
        <f xml:space="preserve"> Inputs!G$108</f>
        <v>Check</v>
      </c>
      <c r="N6" s="1005" t="str">
        <f>Dashboard!B152</f>
        <v>Check:  Select metric</v>
      </c>
      <c r="O6" s="466">
        <f>Dashboard!C152</f>
        <v>0</v>
      </c>
      <c r="P6" s="362" t="str">
        <f>Dashboard!D152</f>
        <v>Check</v>
      </c>
      <c r="AB6" s="16"/>
    </row>
    <row r="7" spans="1:28" ht="14.5" x14ac:dyDescent="0.25">
      <c r="A7" s="16"/>
      <c r="C7" s="367" t="str">
        <f>Translate!E6</f>
        <v>Overall checks</v>
      </c>
      <c r="D7" s="466">
        <f ca="1" xml:space="preserve"> SUM(ReadMe!K4:K13)</f>
        <v>0</v>
      </c>
      <c r="E7" s="13" t="str">
        <f>Translate!E7</f>
        <v>Checks</v>
      </c>
      <c r="F7" s="964"/>
      <c r="H7" s="16"/>
      <c r="J7" s="361" t="str">
        <f ca="1" xml:space="preserve"> FiscalModel!E1186</f>
        <v>Check: FiscalModel</v>
      </c>
      <c r="K7" s="466">
        <f ca="1" xml:space="preserve"> FiscalModel!F1186</f>
        <v>0</v>
      </c>
      <c r="L7" s="362" t="str">
        <f xml:space="preserve"> FiscalModel!G1186</f>
        <v>Check</v>
      </c>
      <c r="N7" s="1032" t="str">
        <f>FiscalModel!E7</f>
        <v>Check:  Translation of options</v>
      </c>
      <c r="O7" s="466">
        <f>FiscalModel!F7</f>
        <v>0</v>
      </c>
      <c r="P7" s="362" t="str">
        <f>FiscalModel!G7</f>
        <v>Check</v>
      </c>
      <c r="AB7" s="16"/>
    </row>
    <row r="8" spans="1:28" ht="15" thickBot="1" x14ac:dyDescent="0.3">
      <c r="A8" s="16"/>
      <c r="C8" s="1069" t="str">
        <f xml:space="preserve"> Track!G$1</f>
        <v>Track changes</v>
      </c>
      <c r="D8" s="467">
        <f ca="1" xml:space="preserve"> Track!F$1</f>
        <v>0</v>
      </c>
      <c r="E8" s="1070" t="str">
        <f>Translate!E8</f>
        <v>Changes</v>
      </c>
      <c r="F8" s="722"/>
      <c r="H8" s="16"/>
      <c r="J8" s="361" t="str">
        <f ca="1" xml:space="preserve"> Analysis!E329</f>
        <v>Check: Analysis</v>
      </c>
      <c r="K8" s="466">
        <f ca="1" xml:space="preserve"> Analysis!F329</f>
        <v>0</v>
      </c>
      <c r="L8" s="362" t="str">
        <f xml:space="preserve"> Analysis!G329</f>
        <v>Check</v>
      </c>
      <c r="N8" s="321" t="str">
        <f xml:space="preserve"> Translate!E$806</f>
        <v>bottow row</v>
      </c>
      <c r="O8" s="322"/>
      <c r="P8" s="323"/>
      <c r="AB8" s="16"/>
    </row>
    <row r="9" spans="1:28" ht="14.5" x14ac:dyDescent="0.25">
      <c r="A9" s="16"/>
      <c r="C9" s="1023"/>
      <c r="D9" s="1023"/>
      <c r="E9" s="1023"/>
      <c r="F9" s="1023"/>
      <c r="H9" s="16"/>
      <c r="J9" s="361" t="str">
        <f ca="1" xml:space="preserve"> Charts!E153</f>
        <v>Check: Charts</v>
      </c>
      <c r="K9" s="466">
        <f ca="1" xml:space="preserve"> Charts!F153</f>
        <v>0</v>
      </c>
      <c r="L9" s="362" t="str">
        <f xml:space="preserve"> Charts!G153</f>
        <v>Check</v>
      </c>
      <c r="AB9" s="16"/>
    </row>
    <row r="10" spans="1:28" ht="14.5" x14ac:dyDescent="0.25">
      <c r="A10" s="16"/>
      <c r="F10" s="1023"/>
      <c r="H10" s="16"/>
      <c r="J10" s="361" t="str">
        <f ca="1" xml:space="preserve"> ProjectCashflows!E$291</f>
        <v>Check: ProjectCashflows</v>
      </c>
      <c r="K10" s="466">
        <f ca="1" xml:space="preserve"> ProjectCashflows!F$291</f>
        <v>0</v>
      </c>
      <c r="L10" s="362" t="str">
        <f xml:space="preserve"> ProjectCashflows!G$291</f>
        <v>Check</v>
      </c>
      <c r="AB10" s="16"/>
    </row>
    <row r="11" spans="1:28" ht="14.5" x14ac:dyDescent="0.25">
      <c r="A11" s="16"/>
      <c r="F11" s="1023"/>
      <c r="H11" s="16"/>
      <c r="J11" s="361" t="str">
        <f ca="1" xml:space="preserve"> '800MMbbl_A'!E$81</f>
        <v>Check: 800MMbbl_A</v>
      </c>
      <c r="K11" s="466">
        <f xml:space="preserve"> '800MMbbl_A'!F$81</f>
        <v>0</v>
      </c>
      <c r="L11" s="362" t="str">
        <f xml:space="preserve"> '800MMbbl_A'!G$81</f>
        <v>Check</v>
      </c>
      <c r="AB11" s="16"/>
    </row>
    <row r="12" spans="1:28" ht="14.5" x14ac:dyDescent="0.25">
      <c r="A12" s="16"/>
      <c r="F12" s="1023"/>
      <c r="H12" s="16"/>
      <c r="J12" s="361" t="str">
        <f ca="1" xml:space="preserve"> '800MMbbl_B'!E$81</f>
        <v>Check: 800MMbbl_B</v>
      </c>
      <c r="K12" s="466">
        <f xml:space="preserve"> '800MMbbl_B'!F$81</f>
        <v>0</v>
      </c>
      <c r="L12" s="362" t="str">
        <f xml:space="preserve"> '800MMbbl_B'!G$81</f>
        <v>Check</v>
      </c>
      <c r="AB12" s="16"/>
    </row>
    <row r="13" spans="1:28" ht="15" thickBot="1" x14ac:dyDescent="0.3">
      <c r="A13" s="16"/>
      <c r="F13" s="1023"/>
      <c r="H13" s="16"/>
      <c r="J13" s="321" t="str">
        <f xml:space="preserve"> Translate!E$806</f>
        <v>bottow row</v>
      </c>
      <c r="K13" s="322"/>
      <c r="L13" s="323"/>
      <c r="AB13" s="16"/>
    </row>
    <row r="14" spans="1:28" ht="14.5" x14ac:dyDescent="0.25">
      <c r="A14" s="16"/>
      <c r="F14" s="1023"/>
      <c r="H14" s="16"/>
      <c r="AB14" s="16"/>
    </row>
    <row r="15" spans="1:28" ht="14.5" x14ac:dyDescent="0.25">
      <c r="A15" s="16"/>
      <c r="B15" s="370" t="str">
        <f xml:space="preserve"> Translate!E$803</f>
        <v>This model is accompanied by an IMF Technical Note and Manual, which should also be read before using the model.</v>
      </c>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row>
    <row r="16" spans="1:28" ht="14.5" x14ac:dyDescent="0.25">
      <c r="B16" s="1023"/>
      <c r="C16" s="1023"/>
      <c r="D16" s="1023"/>
      <c r="E16" s="1023"/>
      <c r="F16" s="1023"/>
    </row>
    <row r="17" spans="1:28" ht="14.5" x14ac:dyDescent="0.25">
      <c r="A17" s="369" t="str">
        <f xml:space="preserve"> Translate!E$802</f>
        <v>USER GUIDE</v>
      </c>
      <c r="B17" s="369"/>
      <c r="C17" s="369"/>
      <c r="D17" s="369"/>
      <c r="E17" s="369"/>
      <c r="F17" s="369"/>
      <c r="G17" s="369"/>
      <c r="H17" s="369"/>
      <c r="I17" s="369"/>
      <c r="J17" s="369"/>
      <c r="K17" s="369"/>
      <c r="L17" s="369"/>
      <c r="M17" s="369"/>
      <c r="N17" s="369"/>
      <c r="O17" s="369"/>
      <c r="P17" s="369"/>
      <c r="Q17" s="369"/>
      <c r="R17" s="369"/>
      <c r="S17" s="369"/>
      <c r="T17" s="369"/>
      <c r="U17" s="369"/>
      <c r="V17" s="369"/>
      <c r="W17" s="369"/>
      <c r="X17" s="369"/>
      <c r="Y17" s="369"/>
      <c r="Z17" s="369"/>
      <c r="AA17" s="369"/>
      <c r="AB17" s="369"/>
    </row>
    <row r="18" spans="1:28" ht="34.5" customHeight="1" x14ac:dyDescent="0.25">
      <c r="A18" s="16"/>
      <c r="B18" s="1023"/>
      <c r="C18" s="953" t="str">
        <f xml:space="preserve"> Translate!E$833</f>
        <v>Model structure</v>
      </c>
      <c r="D18" s="1086" t="str">
        <f xml:space="preserve"> Translate!E$834</f>
        <v>The model applies user-configured fiscal regimes to user-configured oil project examples. This simplified model is currently configured only to handle oil projects but could readily be refined to include gas. The model structure is set out in the MODELMAP sheet.</v>
      </c>
      <c r="E18" s="1086"/>
      <c r="F18" s="1086"/>
      <c r="G18" s="1086"/>
      <c r="H18" s="1086"/>
      <c r="I18" s="1086"/>
      <c r="J18" s="1086"/>
      <c r="K18" s="1086"/>
      <c r="L18" s="1086"/>
      <c r="M18" s="1086"/>
      <c r="N18" s="1086"/>
      <c r="O18" s="1086"/>
      <c r="P18" s="1086"/>
      <c r="Q18" s="1086"/>
      <c r="R18" s="1086"/>
      <c r="S18" s="1086"/>
      <c r="T18" s="1086"/>
      <c r="U18" s="1086"/>
      <c r="V18" s="1086"/>
      <c r="W18" s="1086"/>
      <c r="X18" s="1086"/>
      <c r="Y18" s="1086"/>
      <c r="Z18" s="1086"/>
      <c r="AA18" s="1086"/>
      <c r="AB18" s="369"/>
    </row>
    <row r="19" spans="1:28" ht="28.5" customHeight="1" x14ac:dyDescent="0.25">
      <c r="A19" s="16"/>
      <c r="B19" s="1023"/>
      <c r="C19" s="953" t="str">
        <f xml:space="preserve"> Translate!E$7</f>
        <v>Checks</v>
      </c>
      <c r="D19" s="1086" t="str">
        <f xml:space="preserve"> Translate!E$835</f>
        <v>The model has a number of checks to test its internal consistency. These checks will remain green. If the master check cell is red, there is a problem in the model. Either an error needs to be corrected, or the check itself refined. In either case, red checks must be addressed.</v>
      </c>
      <c r="E19" s="1086"/>
      <c r="F19" s="1086"/>
      <c r="G19" s="1086"/>
      <c r="H19" s="1086"/>
      <c r="I19" s="1086"/>
      <c r="J19" s="1086"/>
      <c r="K19" s="1086"/>
      <c r="L19" s="1086"/>
      <c r="M19" s="1086"/>
      <c r="N19" s="1086"/>
      <c r="O19" s="1086"/>
      <c r="P19" s="1086"/>
      <c r="Q19" s="1086"/>
      <c r="R19" s="1086"/>
      <c r="S19" s="1086"/>
      <c r="T19" s="1086"/>
      <c r="U19" s="1086"/>
      <c r="V19" s="1086"/>
      <c r="W19" s="1086"/>
      <c r="X19" s="1086"/>
      <c r="Y19" s="1086"/>
      <c r="Z19" s="1086"/>
      <c r="AA19" s="1086"/>
      <c r="AB19" s="369"/>
    </row>
    <row r="20" spans="1:28" ht="14.5" x14ac:dyDescent="0.25">
      <c r="A20" s="16"/>
      <c r="B20" s="1023"/>
      <c r="C20" s="953" t="str">
        <f xml:space="preserve"> Translate!E$925</f>
        <v>Change model language</v>
      </c>
      <c r="D20" t="str">
        <f xml:space="preserve"> Translate!E$926</f>
        <v>Select language on DASHBOARD</v>
      </c>
      <c r="AB20" s="369"/>
    </row>
    <row r="21" spans="1:28" ht="28.5" customHeight="1" x14ac:dyDescent="0.25">
      <c r="A21" s="16"/>
      <c r="B21" s="1023"/>
      <c r="C21" s="953"/>
      <c r="D21" s="1086" t="str">
        <f xml:space="preserve"> Translate!E$924</f>
        <v>All checks related to the translation of options need to be green before using the model. After changing the language of the model, all drop-down options need to be re-selected for the model to function properly. Please click on each check to verify that the correct options are selected. All checks should be green.</v>
      </c>
      <c r="E21" s="1086"/>
      <c r="F21" s="1086"/>
      <c r="G21" s="1086"/>
      <c r="H21" s="1086"/>
      <c r="I21" s="1086"/>
      <c r="J21" s="1086"/>
      <c r="K21" s="1086"/>
      <c r="L21" s="1086"/>
      <c r="M21" s="1086"/>
      <c r="N21" s="1086"/>
      <c r="O21" s="1086"/>
      <c r="P21" s="1086"/>
      <c r="Q21" s="1086"/>
      <c r="R21" s="1086"/>
      <c r="S21" s="1086"/>
      <c r="T21" s="1086"/>
      <c r="U21" s="1086"/>
      <c r="V21" s="1086"/>
      <c r="W21" s="1086"/>
      <c r="X21" s="1086"/>
      <c r="Y21" s="1086"/>
      <c r="Z21" s="1086"/>
      <c r="AA21" s="1086"/>
      <c r="AB21" s="369"/>
    </row>
    <row r="22" spans="1:28" ht="14.5" x14ac:dyDescent="0.25">
      <c r="A22" s="16"/>
      <c r="B22" s="1023"/>
      <c r="C22" s="953" t="str">
        <f xml:space="preserve"> Translate!E$836</f>
        <v>FAST modeling standard</v>
      </c>
      <c r="D22" s="10" t="str">
        <f xml:space="preserve"> Translate!E$837</f>
        <v>This model has been structured broadly in line with the FAST modeling standard (www.fast-standard.org/). Color coding: is set out in the KEY sheet cells.  The user should only need to change cells with yellow background. See KEY sheet</v>
      </c>
      <c r="E22" s="1023"/>
      <c r="F22" s="1023"/>
      <c r="AB22" s="369"/>
    </row>
    <row r="23" spans="1:28" ht="14.5" x14ac:dyDescent="0.25">
      <c r="A23" s="16"/>
      <c r="B23" s="955" t="str">
        <f xml:space="preserve"> Translate!E$33</f>
        <v>Inputs</v>
      </c>
      <c r="C23" s="1071"/>
      <c r="D23" s="1023"/>
      <c r="E23" s="1023"/>
      <c r="F23" s="1023"/>
      <c r="AB23" s="369"/>
    </row>
    <row r="24" spans="1:28" ht="27.75" customHeight="1" x14ac:dyDescent="0.25">
      <c r="A24" s="16"/>
      <c r="B24" s="954"/>
      <c r="C24" s="953" t="str">
        <f xml:space="preserve"> Translate!E$838</f>
        <v>Fiscal regime assumptions</v>
      </c>
      <c r="D24" s="1086" t="str">
        <f xml:space="preserve"> Translate!E$839</f>
        <v>Fiscal regime inputs, including tax parameters and rates, are entered in the yellow cells in INPUTS sheet. Either amend an existing set of parameters or use a blank column to create a new regime. Give the regime a name, as this becomes the label used to select the regime from the DASHBOARD.</v>
      </c>
      <c r="E24" s="1086"/>
      <c r="F24" s="1086"/>
      <c r="G24" s="1086"/>
      <c r="H24" s="1086"/>
      <c r="I24" s="1086"/>
      <c r="J24" s="1086"/>
      <c r="K24" s="1086"/>
      <c r="L24" s="1086"/>
      <c r="M24" s="1086"/>
      <c r="N24" s="1086"/>
      <c r="O24" s="1086"/>
      <c r="P24" s="1086"/>
      <c r="Q24" s="1086"/>
      <c r="R24" s="1086"/>
      <c r="S24" s="1086"/>
      <c r="T24" s="1086"/>
      <c r="U24" s="1086"/>
      <c r="V24" s="1086"/>
      <c r="W24" s="1086"/>
      <c r="X24" s="1086"/>
      <c r="Y24" s="1086"/>
      <c r="Z24" s="1086"/>
      <c r="AA24" s="1086"/>
      <c r="AB24" s="369"/>
    </row>
    <row r="25" spans="1:28" ht="14.5" x14ac:dyDescent="0.25">
      <c r="A25" s="16"/>
      <c r="C25" s="953" t="str">
        <f xml:space="preserve"> Translate!E$840</f>
        <v>Financing and economic assumptions</v>
      </c>
      <c r="D25" s="10" t="str">
        <f xml:space="preserve"> Translate!E$841</f>
        <v>Debt financing can have a significant impact on government revenues. Financing inputs are included in each fiscal regime, making it straight-forward to compare the incremental effect of financing by having the duplicate fiscal regimes with and without financing.</v>
      </c>
      <c r="AB25" s="369"/>
    </row>
    <row r="26" spans="1:28" ht="14.5" x14ac:dyDescent="0.25">
      <c r="A26" s="16"/>
      <c r="C26" s="951"/>
      <c r="D26" s="10" t="str">
        <f xml:space="preserve"> Translate!E$842</f>
        <v>LIBOR real terms interest rates and inflation rates are entered in the INPUT sheet. Proportion of costs financed, interest rate and repayment period are included in fiscal regime parameters.</v>
      </c>
      <c r="AB26" s="369"/>
    </row>
    <row r="27" spans="1:28" ht="29.25" customHeight="1" x14ac:dyDescent="0.25">
      <c r="A27" s="16"/>
      <c r="C27" s="951"/>
      <c r="D27" s="1086" t="str">
        <f xml:space="preserve"> Translate!E$843</f>
        <v xml:space="preserve">The model is currently set up assuming joint financing for the International Oil Company (IOC) and State-Owned Contractor (SOC), as if the debt finance was provided in the first instance by the IOC parent company. Results are presented for the IOC and SOC equity, plus the lender, plus the aggregate of the IOC equity plus lender. The latter is the parent company perspective and is used in the model as the primary investor evaluation metric for breakeven price analysis.  </v>
      </c>
      <c r="E27" s="1086"/>
      <c r="F27" s="1086"/>
      <c r="G27" s="1086"/>
      <c r="H27" s="1086"/>
      <c r="I27" s="1086"/>
      <c r="J27" s="1086"/>
      <c r="K27" s="1086"/>
      <c r="L27" s="1086"/>
      <c r="M27" s="1086"/>
      <c r="N27" s="1086"/>
      <c r="O27" s="1086"/>
      <c r="P27" s="1086"/>
      <c r="Q27" s="1086"/>
      <c r="R27" s="1086"/>
      <c r="S27" s="1086"/>
      <c r="T27" s="1086"/>
      <c r="U27" s="1086"/>
      <c r="V27" s="1086"/>
      <c r="W27" s="1086"/>
      <c r="X27" s="1086"/>
      <c r="Y27" s="1086"/>
      <c r="Z27" s="1086"/>
      <c r="AA27" s="1086"/>
      <c r="AB27" s="369"/>
    </row>
    <row r="28" spans="1:28" ht="33" customHeight="1" x14ac:dyDescent="0.25">
      <c r="A28" s="16"/>
      <c r="C28" s="953" t="str">
        <f xml:space="preserve"> Translate!E$726</f>
        <v>Project data</v>
      </c>
      <c r="D28" s="1086" t="str">
        <f xml:space="preserve"> Translate!E$844</f>
        <v>Projects are defined in separate project sheets. New projects can be created simply by (1) copying an existing project sheet (2) renaming the sheet tab (3) modifying production and cost profiles; then (4) add the new project sheet tab name to the project list in the INPUT sheet. This last step makes the new project available for selection using the parameter on the DASHBOARD</v>
      </c>
      <c r="E28" s="1086"/>
      <c r="F28" s="1086"/>
      <c r="G28" s="1086"/>
      <c r="H28" s="1086"/>
      <c r="I28" s="1086"/>
      <c r="J28" s="1086"/>
      <c r="K28" s="1086"/>
      <c r="L28" s="1086"/>
      <c r="M28" s="1086"/>
      <c r="N28" s="1086"/>
      <c r="O28" s="1086"/>
      <c r="P28" s="1086"/>
      <c r="Q28" s="1086"/>
      <c r="R28" s="1086"/>
      <c r="S28" s="1086"/>
      <c r="T28" s="1086"/>
      <c r="U28" s="1086"/>
      <c r="V28" s="1086"/>
      <c r="W28" s="1086"/>
      <c r="X28" s="1086"/>
      <c r="Y28" s="1086"/>
      <c r="Z28" s="1086"/>
      <c r="AA28" s="1086"/>
      <c r="AB28" s="369"/>
    </row>
    <row r="29" spans="1:28" ht="29.25" customHeight="1" x14ac:dyDescent="0.25">
      <c r="A29" s="16"/>
      <c r="C29" s="951"/>
      <c r="D29" s="10" t="str">
        <f xml:space="preserve"> Translate!E$845</f>
        <v>In each project example:</v>
      </c>
      <c r="AB29" s="369"/>
    </row>
    <row r="30" spans="1:28" ht="14.5" x14ac:dyDescent="0.25">
      <c r="A30" s="16"/>
      <c r="C30" s="951"/>
      <c r="E30" s="10" t="str">
        <f xml:space="preserve"> Translate!E$846</f>
        <v>1.    Annual costs are entered in constant terms of the model start year.</v>
      </c>
      <c r="AB30" s="369"/>
    </row>
    <row r="31" spans="1:28" ht="14.5" x14ac:dyDescent="0.25">
      <c r="A31" s="16"/>
      <c r="C31" s="951"/>
      <c r="E31" s="10" t="str">
        <f xml:space="preserve"> Translate!E$847</f>
        <v>2.    Oil production is entered as a daily rate of production.</v>
      </c>
      <c r="AB31" s="369"/>
    </row>
    <row r="32" spans="1:28" ht="30.75" customHeight="1" x14ac:dyDescent="0.25">
      <c r="A32" s="16"/>
      <c r="C32" s="951"/>
      <c r="E32" s="1086" t="str">
        <f xml:space="preserve"> Translate!E$848</f>
        <v>3.    Costs are broken down into Exploration; Development; Sustaining capital; Operating costs and Decommissioning, to enable different fiscal treatment for each. For example, in the petroleum model, exploration costs are expensed for income tax while development costs are depreciated.</v>
      </c>
      <c r="F32" s="1086"/>
      <c r="G32" s="1086"/>
      <c r="H32" s="1086"/>
      <c r="I32" s="1086"/>
      <c r="J32" s="1086"/>
      <c r="K32" s="1086"/>
      <c r="L32" s="1086"/>
      <c r="M32" s="1086"/>
      <c r="N32" s="1086"/>
      <c r="O32" s="1086"/>
      <c r="P32" s="1086"/>
      <c r="Q32" s="1086"/>
      <c r="R32" s="1086"/>
      <c r="S32" s="1086"/>
      <c r="T32" s="1086"/>
      <c r="U32" s="1086"/>
      <c r="V32" s="1086"/>
      <c r="W32" s="1086"/>
      <c r="X32" s="1086"/>
      <c r="Y32" s="1086"/>
      <c r="Z32" s="1086"/>
      <c r="AA32" s="1086"/>
      <c r="AB32" s="369"/>
    </row>
    <row r="33" spans="1:28" ht="14.5" x14ac:dyDescent="0.25">
      <c r="A33" s="16"/>
      <c r="B33" s="955" t="str">
        <f xml:space="preserve"> Translate!E$849</f>
        <v>Workings/calculations</v>
      </c>
      <c r="C33" s="951"/>
      <c r="AB33" s="369"/>
    </row>
    <row r="34" spans="1:28" ht="14.5" x14ac:dyDescent="0.25">
      <c r="A34" s="16"/>
      <c r="C34" s="953"/>
      <c r="D34" s="10" t="str">
        <f xml:space="preserve"> Translate!E$850</f>
        <v>The logic flow in the model is as set out in the MODELMAP:</v>
      </c>
      <c r="AB34" s="369"/>
    </row>
    <row r="35" spans="1:28" ht="14.5" x14ac:dyDescent="0.25">
      <c r="A35" s="16"/>
      <c r="C35" s="951"/>
      <c r="D35" s="10" t="str">
        <f xml:space="preserve"> Translate!E$851</f>
        <v>1.    Select project example</v>
      </c>
      <c r="AB35" s="369"/>
    </row>
    <row r="36" spans="1:28" ht="14.5" x14ac:dyDescent="0.25">
      <c r="A36" s="16"/>
      <c r="C36" s="951"/>
      <c r="D36" s="10" t="str">
        <f xml:space="preserve"> Translate!E$852</f>
        <v>2.    Select applicable fiscal regime</v>
      </c>
      <c r="AB36" s="369"/>
    </row>
    <row r="37" spans="1:28" ht="14.5" x14ac:dyDescent="0.25">
      <c r="A37" s="16"/>
      <c r="C37" s="951"/>
      <c r="D37" s="10" t="str">
        <f xml:space="preserve"> Translate!E$853</f>
        <v>3.    Set oil price</v>
      </c>
      <c r="AB37" s="369"/>
    </row>
    <row r="38" spans="1:28" ht="14.5" x14ac:dyDescent="0.25">
      <c r="A38" s="16"/>
      <c r="C38" s="951"/>
      <c r="D38" s="10" t="str">
        <f xml:space="preserve"> Translate!E$854</f>
        <v>4.    The PROJECTCASHFLOWS sheet imports project data from the selected project example sheet</v>
      </c>
      <c r="AB38" s="369"/>
    </row>
    <row r="39" spans="1:28" ht="14.5" x14ac:dyDescent="0.25">
      <c r="A39" s="16"/>
      <c r="C39" s="951"/>
      <c r="D39" s="10" t="str">
        <f xml:space="preserve"> Translate!E$855</f>
        <v>5.    Most calculations are done in the FISCALMODEL sheet</v>
      </c>
      <c r="AB39" s="369"/>
    </row>
    <row r="40" spans="1:28" ht="14.5" x14ac:dyDescent="0.25">
      <c r="A40" s="16"/>
      <c r="C40" s="951"/>
      <c r="E40" s="10" t="str">
        <f xml:space="preserve"> Translate!E$856</f>
        <v>a.    Import project data</v>
      </c>
      <c r="AB40" s="369"/>
    </row>
    <row r="41" spans="1:28" ht="14.5" x14ac:dyDescent="0.25">
      <c r="A41" s="16"/>
      <c r="C41" s="951"/>
      <c r="E41" s="10" t="str">
        <f xml:space="preserve"> Translate!E$857</f>
        <v>b.    Build real terms project cashflows (before fiscal regime)</v>
      </c>
      <c r="AB41" s="369"/>
    </row>
    <row r="42" spans="1:28" ht="14.5" x14ac:dyDescent="0.25">
      <c r="A42" s="16"/>
      <c r="C42" s="951"/>
      <c r="E42" s="10" t="str">
        <f xml:space="preserve"> Translate!E$858</f>
        <v>c.     Add inflation to revenues and costs (Annual Inflation is entered in INPUTS)</v>
      </c>
      <c r="AB42" s="369"/>
    </row>
    <row r="43" spans="1:28" ht="14.5" x14ac:dyDescent="0.25">
      <c r="A43" s="16"/>
      <c r="C43" s="951"/>
      <c r="E43" s="10" t="str">
        <f xml:space="preserve"> Translate!E$859</f>
        <v>d.    Decommissioning fund calculations. Assuming an annual annuity cash contribution to a fund which earns interest</v>
      </c>
      <c r="AB43" s="369"/>
    </row>
    <row r="44" spans="1:28" ht="14.5" x14ac:dyDescent="0.25">
      <c r="A44" s="16"/>
      <c r="C44" s="951"/>
      <c r="E44" s="10" t="str">
        <f xml:space="preserve"> Translate!E$860</f>
        <v>e.    Royalty: simple ad-valorem royalty</v>
      </c>
      <c r="AB44" s="369"/>
    </row>
    <row r="45" spans="1:28" ht="14.5" x14ac:dyDescent="0.25">
      <c r="A45" s="16"/>
      <c r="C45" s="951"/>
      <c r="E45" s="10" t="str">
        <f xml:space="preserve"> Translate!E$861</f>
        <v>f.      Bonus: production bonus</v>
      </c>
      <c r="AB45" s="369"/>
    </row>
    <row r="46" spans="1:28" ht="14.5" x14ac:dyDescent="0.25">
      <c r="A46" s="16"/>
      <c r="C46" s="951"/>
      <c r="E46" s="10" t="str">
        <f xml:space="preserve"> Translate!E$862</f>
        <v>g.    Debt financing, jointly taken out by IOC and SOC as described above</v>
      </c>
      <c r="AB46" s="369"/>
    </row>
    <row r="47" spans="1:28" ht="14.5" x14ac:dyDescent="0.25">
      <c r="A47" s="16"/>
      <c r="C47" s="951"/>
      <c r="E47" s="10" t="str">
        <f xml:space="preserve"> Translate!E$863</f>
        <v>h.    Production Sharing cost recovery</v>
      </c>
      <c r="AB47" s="369"/>
    </row>
    <row r="48" spans="1:28" ht="14.5" x14ac:dyDescent="0.25">
      <c r="A48" s="16"/>
      <c r="C48" s="951"/>
      <c r="E48" s="10" t="str">
        <f xml:space="preserve"> Translate!E$864</f>
        <v>i.      Production sharing profit sharing under Daily Rate of Production (DROP) method</v>
      </c>
      <c r="AB48" s="369"/>
    </row>
    <row r="49" spans="1:28" ht="14.5" x14ac:dyDescent="0.25">
      <c r="A49" s="16"/>
      <c r="C49" s="951"/>
      <c r="E49" s="10" t="str">
        <f xml:space="preserve"> Translate!E$865</f>
        <v>j.      Production sharing under R-Factor method</v>
      </c>
      <c r="AB49" s="369"/>
    </row>
    <row r="50" spans="1:28" ht="14.5" x14ac:dyDescent="0.25">
      <c r="A50" s="16"/>
      <c r="C50" s="951"/>
      <c r="E50" s="10" t="str">
        <f xml:space="preserve"> Translate!E$866</f>
        <v>k.     Profit oil sharing using method determined for the selected fiscal regime</v>
      </c>
      <c r="AB50" s="369"/>
    </row>
    <row r="51" spans="1:28" ht="14.5" x14ac:dyDescent="0.25">
      <c r="A51" s="16"/>
      <c r="C51" s="951"/>
      <c r="E51" s="10" t="str">
        <f xml:space="preserve"> Translate!E$867</f>
        <v>l.     IOC income tax depreciation</v>
      </c>
      <c r="AB51" s="369"/>
    </row>
    <row r="52" spans="1:28" ht="14.5" x14ac:dyDescent="0.25">
      <c r="A52" s="16"/>
      <c r="C52" s="951"/>
      <c r="E52" s="10" t="str">
        <f xml:space="preserve"> Translate!E$868</f>
        <v>m.   IOC income tax calculation</v>
      </c>
      <c r="AB52" s="369"/>
    </row>
    <row r="53" spans="1:28" ht="14.5" x14ac:dyDescent="0.25">
      <c r="A53" s="16"/>
      <c r="C53" s="951"/>
      <c r="E53" s="10" t="str">
        <f xml:space="preserve"> Translate!E$869</f>
        <v>n.    IOC Resource Rent Tax</v>
      </c>
      <c r="AB53" s="369"/>
    </row>
    <row r="54" spans="1:28" ht="14.5" x14ac:dyDescent="0.25">
      <c r="A54" s="16"/>
      <c r="C54" s="951"/>
      <c r="E54" s="10" t="str">
        <f xml:space="preserve"> Translate!E$870</f>
        <v>o.    IOC cashflows and dividends</v>
      </c>
      <c r="AB54" s="369"/>
    </row>
    <row r="55" spans="1:28" ht="14.5" x14ac:dyDescent="0.25">
      <c r="A55" s="16"/>
      <c r="C55" s="951"/>
      <c r="E55" s="10" t="str">
        <f xml:space="preserve"> Translate!E$871</f>
        <v>p.    SOC cashflows. Note it is assumed the SOC is not subject to income tax and that 100 percent of SOC are included in government revenues. In practice this may not be the case.</v>
      </c>
      <c r="AB55" s="369"/>
    </row>
    <row r="56" spans="1:28" ht="14.5" x14ac:dyDescent="0.25">
      <c r="A56" s="16"/>
      <c r="C56" s="951"/>
      <c r="E56" s="10" t="str">
        <f xml:space="preserve"> Translate!E$872</f>
        <v>q.    Government revenues summarized</v>
      </c>
      <c r="AB56" s="369"/>
    </row>
    <row r="57" spans="1:28" ht="14.5" x14ac:dyDescent="0.25">
      <c r="A57" s="16"/>
      <c r="C57" s="951"/>
      <c r="E57" s="10" t="str">
        <f xml:space="preserve"> Translate!E$873</f>
        <v>r.     Overall reconciliation: Project cashflow = sum of (IOC + SOC + Government + Lender)</v>
      </c>
      <c r="AB57" s="369"/>
    </row>
    <row r="58" spans="1:28" ht="33" customHeight="1" x14ac:dyDescent="0.25">
      <c r="A58" s="16"/>
      <c r="C58" s="951"/>
      <c r="D58" s="1086" t="str">
        <f xml:space="preserve"> Translate!E$874</f>
        <v xml:space="preserve">6.    The ANALYSIS sheet compiles results from the model and derives outcomes for each participant on a (1) Full-cycle basis (from the start of exploration) and (2) from the Final Investment Decision (in practice when development costs are first incurred). Comprehensive IRR and NPNV calculations are undertaken for each project participant from both perspectives.  </v>
      </c>
      <c r="E58" s="1086"/>
      <c r="F58" s="1086"/>
      <c r="G58" s="1086"/>
      <c r="H58" s="1086"/>
      <c r="I58" s="1086"/>
      <c r="J58" s="1086"/>
      <c r="K58" s="1086"/>
      <c r="L58" s="1086"/>
      <c r="M58" s="1086"/>
      <c r="N58" s="1086"/>
      <c r="O58" s="1086"/>
      <c r="P58" s="1086"/>
      <c r="Q58" s="1086"/>
      <c r="R58" s="1086"/>
      <c r="S58" s="1086"/>
      <c r="T58" s="1086"/>
      <c r="U58" s="1086"/>
      <c r="V58" s="1086"/>
      <c r="W58" s="1086"/>
      <c r="X58" s="1086"/>
      <c r="Y58" s="1086"/>
      <c r="Z58" s="1086"/>
      <c r="AA58" s="1086"/>
      <c r="AB58" s="369"/>
    </row>
    <row r="59" spans="1:28" ht="14.5" x14ac:dyDescent="0.25">
      <c r="A59" s="16"/>
      <c r="B59" s="955" t="str">
        <f xml:space="preserve"> Translate!E$23</f>
        <v>Dashboard</v>
      </c>
      <c r="C59" s="951"/>
      <c r="AB59" s="369"/>
    </row>
    <row r="60" spans="1:28" ht="14.5" x14ac:dyDescent="0.25">
      <c r="A60" s="16"/>
      <c r="C60" s="953"/>
      <c r="D60" s="10" t="str">
        <f xml:space="preserve"> Translate!E$875</f>
        <v xml:space="preserve">The DASHBOARD is where the user will spend most time driving the model. </v>
      </c>
      <c r="AB60" s="369"/>
    </row>
    <row r="61" spans="1:28" ht="14.5" x14ac:dyDescent="0.25">
      <c r="A61" s="16"/>
      <c r="C61" s="951"/>
      <c r="D61" s="10" t="str">
        <f xml:space="preserve"> Translate!E$876</f>
        <v xml:space="preserve">1.    Select fiscal regime: drop-down list on top left </v>
      </c>
      <c r="AB61" s="369"/>
    </row>
    <row r="62" spans="1:28" ht="14.5" x14ac:dyDescent="0.25">
      <c r="A62" s="16"/>
      <c r="C62" s="951"/>
      <c r="E62" s="10" t="str">
        <f xml:space="preserve"> Translate!E$877</f>
        <v>a.    Fiscal regime parameters are entered in INPUTS</v>
      </c>
      <c r="AB62" s="369"/>
    </row>
    <row r="63" spans="1:28" ht="14.5" x14ac:dyDescent="0.25">
      <c r="A63" s="16"/>
      <c r="C63" s="951"/>
      <c r="D63" s="10" t="str">
        <f xml:space="preserve"> Translate!E$878</f>
        <v>2.    Select project: drop-down list on top left</v>
      </c>
      <c r="AB63" s="369"/>
    </row>
    <row r="64" spans="1:28" ht="14.5" x14ac:dyDescent="0.25">
      <c r="A64" s="16"/>
      <c r="C64" s="951"/>
      <c r="E64" s="10" t="str">
        <f xml:space="preserve"> Translate!E$879</f>
        <v>a.    Project data is entered in individual project example sheets</v>
      </c>
      <c r="AB64" s="369"/>
    </row>
    <row r="65" spans="1:28" ht="14.5" x14ac:dyDescent="0.25">
      <c r="A65" s="16"/>
      <c r="C65" s="951"/>
      <c r="D65" s="10" t="str">
        <f xml:space="preserve"> Translate!E$880</f>
        <v>3.    Change oil price: entered top left</v>
      </c>
      <c r="AB65" s="369"/>
    </row>
    <row r="66" spans="1:28" ht="14.5" x14ac:dyDescent="0.25">
      <c r="A66" s="16"/>
      <c r="C66" s="953" t="str">
        <f xml:space="preserve"> Translate!E$881</f>
        <v>Dashboard results</v>
      </c>
      <c r="E66" s="10"/>
      <c r="AB66" s="369"/>
    </row>
    <row r="67" spans="1:28" ht="14.5" x14ac:dyDescent="0.25">
      <c r="A67" s="16"/>
      <c r="C67" s="951"/>
      <c r="D67" s="10" t="str">
        <f xml:space="preserve"> Translate!E$882</f>
        <v>1.    Participant cashflows (Table top-centre)</v>
      </c>
      <c r="AB67" s="369"/>
    </row>
    <row r="68" spans="1:28" ht="14.5" x14ac:dyDescent="0.25">
      <c r="A68" s="16"/>
      <c r="C68" s="951"/>
      <c r="E68" s="10" t="str">
        <f xml:space="preserve"> Translate!E$883</f>
        <v>a.    IRR; undiscounted and NPV cashflows for (1) Project; (2) IOC; (3) Lender; IOC + Lender (parent company perspective assuming parent provides the debt financing; (4) Government excluding state participation; (5) SOC (pre-tax net cashflows)</v>
      </c>
      <c r="AB68" s="369"/>
    </row>
    <row r="69" spans="1:28" ht="14.5" x14ac:dyDescent="0.25">
      <c r="A69" s="16"/>
      <c r="C69" s="951"/>
      <c r="E69" s="10" t="str">
        <f xml:space="preserve"> Translate!E$884</f>
        <v>b.     Average Effective Tax Rates and Government Share of Project Benefits (see technical note and manual)</v>
      </c>
      <c r="AB69" s="369"/>
    </row>
    <row r="70" spans="1:28" ht="14.5" x14ac:dyDescent="0.25">
      <c r="A70" s="16"/>
      <c r="C70" s="951"/>
      <c r="D70" s="10" t="str">
        <f xml:space="preserve"> Translate!E$885</f>
        <v xml:space="preserve">2.    Project cashflows (Table top-right). Breakdown of revenues and costs on undiscounted real dollars and US$ / Bbl. </v>
      </c>
      <c r="AB70" s="369"/>
    </row>
    <row r="71" spans="1:28" ht="14.5" x14ac:dyDescent="0.25">
      <c r="A71" s="16"/>
      <c r="C71" s="951"/>
      <c r="D71" s="10" t="str">
        <f xml:space="preserve"> Translate!E$886</f>
        <v>3.    Government revenues. Table Centre-right. Summary of government revenues by category.</v>
      </c>
      <c r="AB71" s="369"/>
    </row>
    <row r="72" spans="1:28" ht="14.5" x14ac:dyDescent="0.25">
      <c r="A72" s="16"/>
      <c r="C72" s="951"/>
      <c r="D72" s="10" t="str">
        <f xml:space="preserve"> Translate!E$887</f>
        <v>4.    Project statistics: (Table and chart Lower-Left)</v>
      </c>
      <c r="AB72" s="369"/>
    </row>
    <row r="73" spans="1:28" ht="14.5" x14ac:dyDescent="0.25">
      <c r="A73" s="16"/>
      <c r="C73" s="951"/>
      <c r="D73" s="10" t="str">
        <f xml:space="preserve"> Translate!E$888</f>
        <v>5.    Production profile and unit operating costs (Chart lower-right)</v>
      </c>
      <c r="AB73" s="369"/>
    </row>
    <row r="74" spans="1:28" ht="14.5" x14ac:dyDescent="0.25">
      <c r="A74" s="16"/>
      <c r="C74" s="951"/>
      <c r="D74" s="10" t="str">
        <f xml:space="preserve"> Translate!E$889</f>
        <v>6.    Government revenue profile: Chart in centre. Annual revenues by category, plus pie chart showing breakdown over project life.</v>
      </c>
      <c r="AB74" s="369"/>
    </row>
    <row r="75" spans="1:28" ht="14.5" x14ac:dyDescent="0.25">
      <c r="A75" s="16"/>
      <c r="B75" s="955" t="str">
        <f xml:space="preserve"> Translate!E$614</f>
        <v>Dashboard analytical routines</v>
      </c>
      <c r="C75" s="951"/>
      <c r="AB75" s="369"/>
    </row>
    <row r="76" spans="1:28" ht="14.5" x14ac:dyDescent="0.25">
      <c r="A76" s="16"/>
      <c r="C76" s="953" t="str">
        <f xml:space="preserve"> Translate!E$615</f>
        <v>Results from selected fiscal regimes</v>
      </c>
      <c r="D76" s="10"/>
      <c r="AB76" s="369"/>
    </row>
    <row r="77" spans="1:28" ht="14.5" x14ac:dyDescent="0.25">
      <c r="A77" s="16"/>
      <c r="C77" s="959"/>
      <c r="D77" s="10" t="str">
        <f xml:space="preserve"> Translate!E$890</f>
        <v>1.    Compares key results for regimes selected by user. User chooses regimes to compare from drop-down lists in yellow cells at the top of the table. Then press F9 to update.</v>
      </c>
      <c r="AB77" s="369"/>
    </row>
    <row r="78" spans="1:28" ht="14.5" x14ac:dyDescent="0.25">
      <c r="A78" s="16"/>
      <c r="C78" s="959"/>
      <c r="D78" s="10" t="str">
        <f xml:space="preserve"> Translate!E$891</f>
        <v>2.    If cells are left blank results are zero or #NA, enabling only two regimes to be compared side by side</v>
      </c>
      <c r="AB78" s="369"/>
    </row>
    <row r="79" spans="1:28" ht="14.5" x14ac:dyDescent="0.25">
      <c r="A79" s="16"/>
      <c r="C79" s="959"/>
      <c r="D79" s="10" t="str">
        <f xml:space="preserve"> Translate!E$892</f>
        <v>3.    Press F9 to ensure table updates</v>
      </c>
      <c r="AB79" s="369"/>
    </row>
    <row r="80" spans="1:28" ht="14.5" x14ac:dyDescent="0.25">
      <c r="A80" s="16"/>
      <c r="C80" s="953" t="str">
        <f xml:space="preserve"> Translate!E$616</f>
        <v>Government revenue profiles under alternative regimes</v>
      </c>
      <c r="AB80" s="369"/>
    </row>
    <row r="81" spans="1:28" ht="14.5" x14ac:dyDescent="0.25">
      <c r="A81" s="16"/>
      <c r="C81" s="959"/>
      <c r="D81" s="10" t="str">
        <f xml:space="preserve"> Translate!E$893</f>
        <v>1.    Compares annual revenue profile for regimes selected by user. Select regimes using drop-down list at left of the table</v>
      </c>
      <c r="AB81" s="369"/>
    </row>
    <row r="82" spans="1:28" ht="14.5" x14ac:dyDescent="0.25">
      <c r="A82" s="16"/>
      <c r="C82" s="959"/>
      <c r="D82" s="10" t="str">
        <f xml:space="preserve"> Translate!E$894</f>
        <v>2.    Press F9 to ensure table updates</v>
      </c>
      <c r="AB82" s="369"/>
    </row>
    <row r="83" spans="1:28" ht="14.5" x14ac:dyDescent="0.25">
      <c r="A83" s="16"/>
      <c r="C83" s="953" t="str">
        <f xml:space="preserve"> Translate!E$617</f>
        <v>Government share of profit oil</v>
      </c>
      <c r="AB83" s="369"/>
    </row>
    <row r="84" spans="1:28" ht="14.5" x14ac:dyDescent="0.25">
      <c r="A84" s="16"/>
      <c r="C84" s="959"/>
      <c r="D84" s="10" t="str">
        <f xml:space="preserve"> Translate!E$895</f>
        <v>1.    Compares profit oil shares for selected regimes. This is useful for understanding differences in results between regimes using different profit sharing mechanisms or parameters.</v>
      </c>
      <c r="AB84" s="369"/>
    </row>
    <row r="85" spans="1:28" ht="14.5" x14ac:dyDescent="0.25">
      <c r="A85" s="16"/>
      <c r="C85" s="960"/>
      <c r="D85" s="10" t="str">
        <f xml:space="preserve"> Translate!E$894</f>
        <v>2.    Press F9 to ensure table updates</v>
      </c>
      <c r="AB85" s="369"/>
    </row>
    <row r="86" spans="1:28" ht="14.5" x14ac:dyDescent="0.25">
      <c r="A86" s="16"/>
      <c r="C86" s="953" t="str">
        <f xml:space="preserve"> Translate!E$618</f>
        <v>Progressivity analysis across a range of oil prices</v>
      </c>
      <c r="D86" s="10"/>
      <c r="AB86" s="369"/>
    </row>
    <row r="87" spans="1:28" ht="14.5" x14ac:dyDescent="0.25">
      <c r="A87" s="16"/>
      <c r="C87" s="960"/>
      <c r="D87" s="10" t="str">
        <f xml:space="preserve"> Translate!E$896</f>
        <v>1.    Sensitivity analysis showing results for user-selected metric across a user-defined range of oil prices</v>
      </c>
      <c r="AB87" s="369"/>
    </row>
    <row r="88" spans="1:28" ht="14.5" x14ac:dyDescent="0.25">
      <c r="A88" s="16"/>
      <c r="C88" s="960"/>
      <c r="D88" s="10" t="str">
        <f xml:space="preserve"> Translate!E$897</f>
        <v>2.    Select metric from drop-down list. Either AETR or Share of Project Benefits, undiscounted or NPV.</v>
      </c>
      <c r="AB88" s="369"/>
    </row>
    <row r="89" spans="1:28" ht="14.5" x14ac:dyDescent="0.25">
      <c r="A89" s="16"/>
      <c r="C89" s="960"/>
      <c r="D89" s="10" t="str">
        <f xml:space="preserve"> Translate!E$898</f>
        <v>3.    Enter start oil price and increment to create range for analysis.</v>
      </c>
      <c r="AB89" s="369"/>
    </row>
    <row r="90" spans="1:28" ht="14.5" x14ac:dyDescent="0.25">
      <c r="A90" s="16"/>
      <c r="C90" s="960"/>
      <c r="D90" s="10" t="str">
        <f xml:space="preserve"> Translate!E$899</f>
        <v>4.    Press F9 to ensure table updates</v>
      </c>
      <c r="AB90" s="369"/>
    </row>
    <row r="91" spans="1:28" ht="14.5" x14ac:dyDescent="0.25">
      <c r="A91" s="16"/>
      <c r="C91" s="953" t="str">
        <f xml:space="preserve"> Translate!E$619</f>
        <v>Breakeven oil price and marginal effective tax rate</v>
      </c>
      <c r="AB91" s="369"/>
    </row>
    <row r="92" spans="1:28" ht="14.5" x14ac:dyDescent="0.25">
      <c r="A92" s="16"/>
      <c r="C92" s="960"/>
      <c r="D92" s="10" t="str">
        <f xml:space="preserve"> Translate!E$900</f>
        <v>1.    Determines the oil price necessary under each regime to achieve a user-specified after-tax IRR</v>
      </c>
      <c r="AB92" s="369"/>
    </row>
    <row r="93" spans="1:28" ht="14.5" x14ac:dyDescent="0.25">
      <c r="A93" s="16"/>
      <c r="C93" s="960"/>
      <c r="D93" s="10" t="str">
        <f xml:space="preserve"> Translate!E$901</f>
        <v>2.    Pressing the button marked “breakeven” initiates a macro that determines the breakeven price for each selected regime using Excel’s GOAL-SEEK mechanism.</v>
      </c>
      <c r="AB93" s="369"/>
    </row>
    <row r="94" spans="1:28" ht="14.5" x14ac:dyDescent="0.25">
      <c r="A94" s="16"/>
      <c r="C94" s="960"/>
      <c r="D94" s="10" t="str">
        <f xml:space="preserve"> Translate!E$902</f>
        <v xml:space="preserve">3.    METR is the proportion of pre-tax IRR taken by the fiscal regime, at the breakeven point, as described in the FAD Technical Note </v>
      </c>
      <c r="AB94" s="369"/>
    </row>
    <row r="95" spans="1:28" ht="14.5" x14ac:dyDescent="0.25">
      <c r="A95" s="16"/>
      <c r="C95" s="961" t="str">
        <f xml:space="preserve"> Dashboard!A$189</f>
        <v>Net present value table: full-cycle, real</v>
      </c>
      <c r="AB95" s="369"/>
    </row>
    <row r="96" spans="1:28" ht="14.5" x14ac:dyDescent="0.25">
      <c r="A96" s="16"/>
      <c r="C96" s="960"/>
      <c r="D96" s="10" t="str">
        <f xml:space="preserve"> Translate!E$903</f>
        <v xml:space="preserve">1.    Sharing of project post-tax net present value and average effective tax rate between government, investors, and SOC at different discount rates. </v>
      </c>
      <c r="AB96" s="369"/>
    </row>
    <row r="97" spans="1:28" ht="14.5" x14ac:dyDescent="0.25">
      <c r="A97" s="16"/>
      <c r="C97" s="960"/>
      <c r="D97" s="10" t="str">
        <f xml:space="preserve"> Translate!E$894</f>
        <v>2.    Press F9 to ensure table updates</v>
      </c>
      <c r="AB97" s="369"/>
    </row>
    <row r="98" spans="1:28" ht="14.5" x14ac:dyDescent="0.25">
      <c r="A98" s="16"/>
      <c r="C98" s="953" t="str">
        <f xml:space="preserve"> Translate!E$627</f>
        <v>Expected monetary value</v>
      </c>
      <c r="AB98" s="369"/>
    </row>
    <row r="99" spans="1:28" ht="14.5" x14ac:dyDescent="0.25">
      <c r="A99" s="16"/>
      <c r="D99" s="10" t="str">
        <f xml:space="preserve"> Translate!E$904</f>
        <v>1.    Enter minimum exploration spend and chance of success</v>
      </c>
      <c r="AB99" s="369"/>
    </row>
    <row r="100" spans="1:28" ht="14.5" x14ac:dyDescent="0.25">
      <c r="A100" s="16"/>
      <c r="D100" s="10" t="str">
        <f xml:space="preserve"> Translate!E$905</f>
        <v>2.    EMV calculated based on NPV of success case, chance of success and minimum exploration cost</v>
      </c>
      <c r="AB100" s="369"/>
    </row>
    <row r="101" spans="1:28" ht="14.5" x14ac:dyDescent="0.25">
      <c r="A101" s="16"/>
      <c r="B101" s="16"/>
      <c r="C101" s="16"/>
      <c r="D101" s="16"/>
      <c r="E101" s="16"/>
      <c r="F101" s="16"/>
      <c r="G101" s="16"/>
      <c r="H101" s="16"/>
      <c r="I101" s="16"/>
      <c r="J101" s="16"/>
      <c r="K101" s="16"/>
      <c r="L101" s="16"/>
      <c r="M101" s="16"/>
      <c r="N101" s="16"/>
      <c r="O101" s="16"/>
      <c r="P101" s="16"/>
      <c r="Q101" s="16"/>
      <c r="R101" s="16"/>
      <c r="S101" s="16"/>
      <c r="T101" s="16"/>
      <c r="U101" s="16"/>
      <c r="V101" s="16"/>
      <c r="W101" s="16"/>
      <c r="X101" s="16"/>
      <c r="Y101" s="16"/>
      <c r="Z101" s="16"/>
      <c r="AA101" s="16"/>
      <c r="AB101" s="16"/>
    </row>
    <row r="102" spans="1:28" x14ac:dyDescent="0.25"/>
    <row r="103" spans="1:28" x14ac:dyDescent="0.25"/>
  </sheetData>
  <mergeCells count="8">
    <mergeCell ref="D58:AA58"/>
    <mergeCell ref="D18:AA18"/>
    <mergeCell ref="D19:AA19"/>
    <mergeCell ref="D24:AA24"/>
    <mergeCell ref="D27:AA27"/>
    <mergeCell ref="D28:AA28"/>
    <mergeCell ref="E32:AA32"/>
    <mergeCell ref="D21:AA21"/>
  </mergeCells>
  <conditionalFormatting sqref="K5">
    <cfRule type="cellIs" dxfId="329" priority="53" stopIfTrue="1" operator="notEqual">
      <formula>0</formula>
    </cfRule>
    <cfRule type="cellIs" dxfId="328" priority="54" stopIfTrue="1" operator="equal">
      <formula>""</formula>
    </cfRule>
  </conditionalFormatting>
  <conditionalFormatting sqref="K5">
    <cfRule type="cellIs" dxfId="327" priority="51" stopIfTrue="1" operator="notEqual">
      <formula>0</formula>
    </cfRule>
    <cfRule type="cellIs" dxfId="326" priority="52" stopIfTrue="1" operator="equal">
      <formula>""</formula>
    </cfRule>
  </conditionalFormatting>
  <conditionalFormatting sqref="K6">
    <cfRule type="cellIs" dxfId="325" priority="49" stopIfTrue="1" operator="notEqual">
      <formula>0</formula>
    </cfRule>
    <cfRule type="cellIs" dxfId="324" priority="50" stopIfTrue="1" operator="equal">
      <formula>""</formula>
    </cfRule>
  </conditionalFormatting>
  <conditionalFormatting sqref="K6">
    <cfRule type="cellIs" dxfId="323" priority="47" stopIfTrue="1" operator="notEqual">
      <formula>0</formula>
    </cfRule>
    <cfRule type="cellIs" dxfId="322" priority="48" stopIfTrue="1" operator="equal">
      <formula>""</formula>
    </cfRule>
  </conditionalFormatting>
  <conditionalFormatting sqref="K7">
    <cfRule type="cellIs" dxfId="321" priority="45" stopIfTrue="1" operator="notEqual">
      <formula>0</formula>
    </cfRule>
    <cfRule type="cellIs" dxfId="320" priority="46" stopIfTrue="1" operator="equal">
      <formula>""</formula>
    </cfRule>
  </conditionalFormatting>
  <conditionalFormatting sqref="K7">
    <cfRule type="cellIs" dxfId="319" priority="43" stopIfTrue="1" operator="notEqual">
      <formula>0</formula>
    </cfRule>
    <cfRule type="cellIs" dxfId="318" priority="44" stopIfTrue="1" operator="equal">
      <formula>""</formula>
    </cfRule>
  </conditionalFormatting>
  <conditionalFormatting sqref="K8">
    <cfRule type="cellIs" dxfId="317" priority="41" stopIfTrue="1" operator="notEqual">
      <formula>0</formula>
    </cfRule>
    <cfRule type="cellIs" dxfId="316" priority="42" stopIfTrue="1" operator="equal">
      <formula>""</formula>
    </cfRule>
  </conditionalFormatting>
  <conditionalFormatting sqref="K8">
    <cfRule type="cellIs" dxfId="315" priority="39" stopIfTrue="1" operator="notEqual">
      <formula>0</formula>
    </cfRule>
    <cfRule type="cellIs" dxfId="314" priority="40" stopIfTrue="1" operator="equal">
      <formula>""</formula>
    </cfRule>
  </conditionalFormatting>
  <conditionalFormatting sqref="K9:K12">
    <cfRule type="cellIs" dxfId="313" priority="37" stopIfTrue="1" operator="notEqual">
      <formula>0</formula>
    </cfRule>
    <cfRule type="cellIs" dxfId="312" priority="38" stopIfTrue="1" operator="equal">
      <formula>""</formula>
    </cfRule>
  </conditionalFormatting>
  <conditionalFormatting sqref="K9:K12">
    <cfRule type="cellIs" dxfId="311" priority="35" stopIfTrue="1" operator="notEqual">
      <formula>0</formula>
    </cfRule>
    <cfRule type="cellIs" dxfId="310" priority="36" stopIfTrue="1" operator="equal">
      <formula>""</formula>
    </cfRule>
  </conditionalFormatting>
  <conditionalFormatting sqref="D7">
    <cfRule type="cellIs" dxfId="309" priority="33" stopIfTrue="1" operator="notEqual">
      <formula>0</formula>
    </cfRule>
    <cfRule type="cellIs" dxfId="308" priority="34" stopIfTrue="1" operator="equal">
      <formula>""</formula>
    </cfRule>
  </conditionalFormatting>
  <conditionalFormatting sqref="D7">
    <cfRule type="cellIs" dxfId="307" priority="31" stopIfTrue="1" operator="notEqual">
      <formula>0</formula>
    </cfRule>
    <cfRule type="cellIs" dxfId="306" priority="32" stopIfTrue="1" operator="equal">
      <formula>""</formula>
    </cfRule>
  </conditionalFormatting>
  <conditionalFormatting sqref="D8">
    <cfRule type="cellIs" dxfId="305" priority="25" stopIfTrue="1" operator="notEqual">
      <formula>0</formula>
    </cfRule>
    <cfRule type="cellIs" dxfId="304" priority="26" stopIfTrue="1" operator="equal">
      <formula>""</formula>
    </cfRule>
  </conditionalFormatting>
  <conditionalFormatting sqref="O5">
    <cfRule type="cellIs" dxfId="303" priority="23" stopIfTrue="1" operator="notEqual">
      <formula>0</formula>
    </cfRule>
    <cfRule type="cellIs" dxfId="302" priority="24" stopIfTrue="1" operator="equal">
      <formula>""</formula>
    </cfRule>
  </conditionalFormatting>
  <conditionalFormatting sqref="O5">
    <cfRule type="cellIs" dxfId="301" priority="21" stopIfTrue="1" operator="notEqual">
      <formula>0</formula>
    </cfRule>
    <cfRule type="cellIs" dxfId="300" priority="22" stopIfTrue="1" operator="equal">
      <formula>""</formula>
    </cfRule>
  </conditionalFormatting>
  <conditionalFormatting sqref="O6">
    <cfRule type="cellIs" dxfId="299" priority="19" stopIfTrue="1" operator="notEqual">
      <formula>0</formula>
    </cfRule>
    <cfRule type="cellIs" dxfId="298" priority="20" stopIfTrue="1" operator="equal">
      <formula>""</formula>
    </cfRule>
  </conditionalFormatting>
  <conditionalFormatting sqref="O5:O7">
    <cfRule type="cellIs" dxfId="297" priority="17" stopIfTrue="1" operator="notEqual">
      <formula>0</formula>
    </cfRule>
    <cfRule type="cellIs" dxfId="296" priority="18" stopIfTrue="1" operator="equal">
      <formula>""</formula>
    </cfRule>
  </conditionalFormatting>
  <conditionalFormatting sqref="O7">
    <cfRule type="cellIs" dxfId="295" priority="3" stopIfTrue="1" operator="notEqual">
      <formula>0</formula>
    </cfRule>
    <cfRule type="cellIs" dxfId="294" priority="4" stopIfTrue="1" operator="equal">
      <formula>""</formula>
    </cfRule>
  </conditionalFormatting>
  <conditionalFormatting sqref="O7">
    <cfRule type="cellIs" dxfId="293" priority="1" stopIfTrue="1" operator="notEqual">
      <formula>0</formula>
    </cfRule>
    <cfRule type="cellIs" dxfId="292" priority="2" stopIfTrue="1" operator="equal">
      <formula>""</formula>
    </cfRule>
  </conditionalFormatting>
  <hyperlinks>
    <hyperlink ref="E4" r:id="rId1" display="tbenninger@imf.org" xr:uid="{00000000-0004-0000-0400-000000000000}"/>
    <hyperlink ref="N5" location="Inputs!F40" display="Inputs!F40" xr:uid="{0491A155-DB00-4EB0-9DA0-B9099440894C}"/>
    <hyperlink ref="N6" location="Dashboard!B152" display="Dashboard!B152" xr:uid="{26F4DD36-E1E7-4F89-8871-FC2DF4BD1A17}"/>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0" tint="-0.34998626667073579"/>
    <pageSetUpPr fitToPage="1"/>
  </sheetPr>
  <dimension ref="A1:O40"/>
  <sheetViews>
    <sheetView showGridLines="0" zoomScale="85" zoomScaleNormal="85" workbookViewId="0">
      <selection activeCell="F25" sqref="F25"/>
    </sheetView>
  </sheetViews>
  <sheetFormatPr defaultColWidth="8.81640625" defaultRowHeight="14.5" x14ac:dyDescent="0.25"/>
  <cols>
    <col min="1" max="1" width="3.7265625" style="3" customWidth="1"/>
    <col min="2" max="2" width="3.81640625" style="3" customWidth="1"/>
    <col min="3" max="3" width="16.81640625" style="3" customWidth="1"/>
    <col min="4" max="4" width="2.7265625" style="3" customWidth="1"/>
    <col min="5" max="5" width="14.26953125" style="3" customWidth="1"/>
    <col min="6" max="6" width="4.7265625" style="3" customWidth="1"/>
    <col min="7" max="7" width="69.54296875" style="3" bestFit="1" customWidth="1"/>
    <col min="8" max="8" width="2.7265625" style="3" customWidth="1"/>
    <col min="9" max="9" width="99.54296875" style="3" bestFit="1" customWidth="1"/>
    <col min="10" max="10" width="2.7265625" style="3" customWidth="1"/>
    <col min="11" max="11" width="63.1796875" style="3" bestFit="1" customWidth="1"/>
    <col min="12" max="12" width="2.7265625" style="3" customWidth="1"/>
    <col min="13" max="13" width="22.26953125" style="3" bestFit="1" customWidth="1"/>
    <col min="14" max="14" width="2.7265625" style="3" customWidth="1"/>
    <col min="15" max="15" width="3.7265625" style="3" customWidth="1"/>
    <col min="16" max="16384" width="8.81640625" style="3"/>
  </cols>
  <sheetData>
    <row r="1" spans="1:15" ht="15" thickBot="1" x14ac:dyDescent="0.3">
      <c r="A1" s="2" t="str">
        <f ca="1" xml:space="preserve"> RIGHT( CELL("filename",$A$1), LEN( CELL("filename",$A$1)) - SEARCH("]", CELL("filename",$A$1)))</f>
        <v>ModelMap</v>
      </c>
      <c r="B1" s="2"/>
      <c r="C1" s="2"/>
      <c r="D1" s="2"/>
      <c r="E1" s="17">
        <f ca="1" xml:space="preserve"> ReadMe!D$7</f>
        <v>0</v>
      </c>
      <c r="F1" s="371" t="str">
        <f xml:space="preserve"> ReadMe!E$7</f>
        <v>Checks</v>
      </c>
      <c r="G1" s="2"/>
      <c r="H1" s="2"/>
      <c r="I1" s="2"/>
      <c r="J1" s="2"/>
      <c r="K1" s="2"/>
      <c r="L1" s="2"/>
      <c r="M1" s="2"/>
      <c r="N1" s="2"/>
      <c r="O1" s="712"/>
    </row>
    <row r="2" spans="1:15" x14ac:dyDescent="0.25">
      <c r="A2" s="2"/>
      <c r="B2" s="544"/>
      <c r="C2" s="544"/>
      <c r="D2" s="544"/>
      <c r="E2" s="544"/>
      <c r="F2" s="544"/>
      <c r="G2" s="544"/>
      <c r="H2" s="544"/>
      <c r="I2" s="544"/>
      <c r="J2" s="544"/>
      <c r="K2" s="544"/>
      <c r="L2" s="544"/>
      <c r="M2" s="544"/>
      <c r="N2" s="544"/>
      <c r="O2" s="2"/>
    </row>
    <row r="3" spans="1:15" x14ac:dyDescent="0.25">
      <c r="A3" s="2"/>
      <c r="B3" s="544"/>
      <c r="C3" s="987" t="str">
        <f ca="1" xml:space="preserve"> Terms!A1</f>
        <v>Terms</v>
      </c>
      <c r="D3" s="544"/>
      <c r="E3" s="339" t="str">
        <f ca="1" xml:space="preserve"> Dashboard</f>
        <v>Dashboard</v>
      </c>
      <c r="F3" s="544"/>
      <c r="G3" s="339" t="str">
        <f xml:space="preserve"> Dashboard!A58</f>
        <v>Dashboard analytical routines</v>
      </c>
      <c r="H3" s="544"/>
      <c r="I3" s="1026" t="str">
        <f ca="1" xml:space="preserve"> FiscalModel!A1</f>
        <v>FiscalModel</v>
      </c>
      <c r="J3" s="544"/>
      <c r="K3" s="1026" t="str">
        <f ca="1" xml:space="preserve"> ProjectCashflows!A1</f>
        <v>ProjectCashflows</v>
      </c>
      <c r="L3" s="544"/>
      <c r="M3" s="1020" t="str">
        <f xml:space="preserve"> Translate!E$799</f>
        <v>Project examples</v>
      </c>
      <c r="N3" s="544"/>
      <c r="O3" s="2"/>
    </row>
    <row r="4" spans="1:15" x14ac:dyDescent="0.25">
      <c r="A4" s="2"/>
      <c r="B4" s="544"/>
      <c r="C4" s="544"/>
      <c r="D4" s="544"/>
      <c r="E4" s="544"/>
      <c r="F4" s="544"/>
      <c r="G4" s="544" t="str">
        <f xml:space="preserve"> Dashboard!A60</f>
        <v>Results from selected fiscal regimes</v>
      </c>
      <c r="H4" s="544"/>
      <c r="I4" s="544" t="str">
        <f xml:space="preserve"> FiscalModel!A4</f>
        <v>Fiscal regime parameters</v>
      </c>
      <c r="J4" s="544"/>
      <c r="K4" s="544" t="str">
        <f xml:space="preserve"> ProjectCashflows!A4</f>
        <v>Data for selected project</v>
      </c>
      <c r="L4" s="544"/>
      <c r="M4" s="544" t="str">
        <f ca="1" xml:space="preserve"> '800MMbbl_A'!A1</f>
        <v>800MMbbl_A</v>
      </c>
      <c r="N4" s="544"/>
      <c r="O4" s="2"/>
    </row>
    <row r="5" spans="1:15" x14ac:dyDescent="0.25">
      <c r="A5" s="2"/>
      <c r="B5" s="544"/>
      <c r="C5" s="987" t="str">
        <f ca="1" xml:space="preserve"> ReadMe!A1</f>
        <v>ReadMe</v>
      </c>
      <c r="D5" s="544"/>
      <c r="E5" s="544"/>
      <c r="F5" s="544"/>
      <c r="G5" s="544" t="str">
        <f xml:space="preserve"> Dashboard!A93</f>
        <v>Government revenue profiles under alternative regimes</v>
      </c>
      <c r="H5" s="544"/>
      <c r="I5" s="544" t="str">
        <f xml:space="preserve"> FiscalModel!A97</f>
        <v>Decommissioning fund</v>
      </c>
      <c r="J5" s="544"/>
      <c r="K5" s="544" t="str">
        <f xml:space="preserve"> ProjectCashflows!A29</f>
        <v>Model timeline</v>
      </c>
      <c r="L5" s="544"/>
      <c r="M5" s="544" t="str">
        <f ca="1" xml:space="preserve"> '800MMbbl_B'!A1</f>
        <v>800MMbbl_B</v>
      </c>
      <c r="N5" s="544"/>
      <c r="O5" s="2"/>
    </row>
    <row r="6" spans="1:15" x14ac:dyDescent="0.25">
      <c r="A6" s="2"/>
      <c r="B6" s="544"/>
      <c r="C6" s="544"/>
      <c r="D6" s="544"/>
      <c r="E6" s="544"/>
      <c r="F6" s="544"/>
      <c r="G6" s="544" t="str">
        <f xml:space="preserve"> Dashboard!A118</f>
        <v>Government share of profit oil</v>
      </c>
      <c r="H6" s="544"/>
      <c r="I6" s="544" t="str">
        <f xml:space="preserve"> FiscalModel!A159</f>
        <v>Bonus</v>
      </c>
      <c r="J6" s="544"/>
      <c r="K6" s="544" t="str">
        <f xml:space="preserve"> ProjectCashflows!A37</f>
        <v>Project data with sensitivity factors applied</v>
      </c>
      <c r="L6" s="544"/>
      <c r="M6" s="544" t="str">
        <f ca="1" xml:space="preserve"> '200MMbbl'!A$1</f>
        <v>200MMbbl</v>
      </c>
      <c r="N6" s="544"/>
      <c r="O6" s="2"/>
    </row>
    <row r="7" spans="1:15" x14ac:dyDescent="0.25">
      <c r="A7" s="2"/>
      <c r="B7" s="544"/>
      <c r="C7" s="987" t="str">
        <f ca="1" xml:space="preserve"> $A$1</f>
        <v>ModelMap</v>
      </c>
      <c r="D7" s="544"/>
      <c r="E7" s="544"/>
      <c r="F7" s="544"/>
      <c r="G7" s="544" t="str">
        <f xml:space="preserve"> Dashboard!A143</f>
        <v>Progressivity analysis across a range of oil prices</v>
      </c>
      <c r="H7" s="544"/>
      <c r="I7" s="544" t="str">
        <f xml:space="preserve"> FiscalModel!A174</f>
        <v>Royalty</v>
      </c>
      <c r="J7" s="544"/>
      <c r="K7" s="544" t="str">
        <f xml:space="preserve"> ProjectCashflows!A59</f>
        <v>Project cashflows: real</v>
      </c>
      <c r="L7" s="544"/>
      <c r="M7" s="544"/>
      <c r="N7" s="544"/>
      <c r="O7" s="2"/>
    </row>
    <row r="8" spans="1:15" x14ac:dyDescent="0.25">
      <c r="A8" s="2"/>
      <c r="B8" s="544"/>
      <c r="C8" s="544"/>
      <c r="D8" s="544"/>
      <c r="E8" s="544"/>
      <c r="F8" s="544"/>
      <c r="G8" s="544" t="str">
        <f xml:space="preserve"> Dashboard!A167</f>
        <v>Breakeven oil price and marginal effective tax rate</v>
      </c>
      <c r="H8" s="544"/>
      <c r="I8" s="544" t="str">
        <f xml:space="preserve"> FiscalModel!A225</f>
        <v>Carbon tax</v>
      </c>
      <c r="J8" s="544"/>
      <c r="K8" s="544" t="str">
        <f xml:space="preserve"> ProjectCashflows!A$88</f>
        <v>Economic Limit Test (ELT)</v>
      </c>
      <c r="L8" s="544"/>
      <c r="M8" s="544"/>
      <c r="N8" s="544"/>
      <c r="O8" s="2"/>
    </row>
    <row r="9" spans="1:15" x14ac:dyDescent="0.25">
      <c r="A9" s="2"/>
      <c r="B9" s="544"/>
      <c r="C9" s="987" t="str">
        <f ca="1" xml:space="preserve"> Key!A1</f>
        <v>Key</v>
      </c>
      <c r="D9" s="544"/>
      <c r="E9" s="544"/>
      <c r="F9" s="544"/>
      <c r="G9" s="544" t="str">
        <f xml:space="preserve"> Dashboard!A$189</f>
        <v>Net present value table: full-cycle, real</v>
      </c>
      <c r="H9" s="544"/>
      <c r="I9" s="544" t="str">
        <f xml:space="preserve"> FiscalModel!A301</f>
        <v>Cashflows after decommissioning, royalty, carbon tax and bonus</v>
      </c>
      <c r="J9" s="544"/>
      <c r="K9" s="544" t="str">
        <f xml:space="preserve"> ProjectCashflows!A$125</f>
        <v>Project cashflows: real after ELT</v>
      </c>
      <c r="L9" s="544"/>
      <c r="M9" s="544"/>
      <c r="N9" s="544"/>
      <c r="O9" s="2"/>
    </row>
    <row r="10" spans="1:15" x14ac:dyDescent="0.25">
      <c r="A10" s="2"/>
      <c r="B10" s="544"/>
      <c r="C10" s="544"/>
      <c r="D10" s="544"/>
      <c r="E10" s="544"/>
      <c r="F10" s="544"/>
      <c r="G10" s="544" t="str">
        <f xml:space="preserve"> Dashboard!A$212</f>
        <v>Expected monetary value (EMV)</v>
      </c>
      <c r="H10" s="544"/>
      <c r="I10" s="544" t="str">
        <f xml:space="preserve"> FiscalModel!A319</f>
        <v xml:space="preserve">Debt financing (Assumed joint financing by IOC and SOC) </v>
      </c>
      <c r="J10" s="544"/>
      <c r="K10" s="544" t="str">
        <f xml:space="preserve"> ProjectCashflows!A169</f>
        <v>Flags</v>
      </c>
      <c r="L10" s="544"/>
      <c r="M10" s="544"/>
      <c r="N10" s="544"/>
      <c r="O10" s="2"/>
    </row>
    <row r="11" spans="1:15" x14ac:dyDescent="0.25">
      <c r="A11" s="2"/>
      <c r="B11" s="544"/>
      <c r="C11" s="987" t="str">
        <f ca="1" xml:space="preserve"> Translate!A1</f>
        <v>Translate</v>
      </c>
      <c r="D11" s="544"/>
      <c r="E11" s="544"/>
      <c r="F11" s="544"/>
      <c r="G11" s="544"/>
      <c r="H11" s="544"/>
      <c r="I11" s="1023" t="str">
        <f xml:space="preserve"> FiscalModel!A455</f>
        <v>Production sharing: JV cost recovery</v>
      </c>
      <c r="J11" s="544"/>
      <c r="K11" s="544" t="str">
        <f xml:space="preserve"> ProjectCashflows!A195</f>
        <v>Inflation indices</v>
      </c>
      <c r="L11" s="544"/>
      <c r="M11" s="544"/>
      <c r="N11" s="544"/>
      <c r="O11" s="2"/>
    </row>
    <row r="12" spans="1:15" x14ac:dyDescent="0.25">
      <c r="A12" s="2"/>
      <c r="B12" s="544"/>
      <c r="C12" s="544"/>
      <c r="D12" s="544"/>
      <c r="E12" s="544"/>
      <c r="F12" s="544"/>
      <c r="G12" s="1025" t="str">
        <f ca="1" xml:space="preserve"> Inputs!A1</f>
        <v>Inputs</v>
      </c>
      <c r="H12" s="544"/>
      <c r="I12" s="1023" t="str">
        <f xml:space="preserve"> FiscalModel!A547</f>
        <v>Production sharing: Daily rate of production profit oil sharing</v>
      </c>
      <c r="J12" s="544"/>
      <c r="K12" s="544" t="str">
        <f xml:space="preserve"> ProjectCashflows!A214</f>
        <v>Project cashflows: nominal</v>
      </c>
      <c r="L12" s="544"/>
      <c r="M12" s="544"/>
      <c r="N12" s="544"/>
      <c r="O12" s="2"/>
    </row>
    <row r="13" spans="1:15" x14ac:dyDescent="0.25">
      <c r="A13" s="2"/>
      <c r="B13" s="544"/>
      <c r="C13" s="29" t="str">
        <f ca="1">Track!A1</f>
        <v>Track</v>
      </c>
      <c r="D13" s="544"/>
      <c r="E13" s="544"/>
      <c r="F13" s="544"/>
      <c r="G13" s="544" t="str">
        <f xml:space="preserve"> Inputs!A5</f>
        <v>Model timeline</v>
      </c>
      <c r="H13" s="544"/>
      <c r="I13" s="1023" t="str">
        <f xml:space="preserve"> FiscalModel!A583</f>
        <v>Production sharing: R-factor profit oil sharing</v>
      </c>
      <c r="J13" s="544"/>
      <c r="K13" s="544" t="str">
        <f xml:space="preserve"> ProjectCashflows!A269</f>
        <v>GHG emissions</v>
      </c>
      <c r="L13" s="544"/>
      <c r="M13" s="544"/>
      <c r="N13" s="544"/>
      <c r="O13" s="2"/>
    </row>
    <row r="14" spans="1:15" x14ac:dyDescent="0.25">
      <c r="A14" s="2"/>
      <c r="B14" s="544"/>
      <c r="C14" s="544"/>
      <c r="D14" s="544"/>
      <c r="E14" s="544"/>
      <c r="F14" s="544"/>
      <c r="G14" s="544" t="str">
        <f xml:space="preserve"> Inputs!A9</f>
        <v>Project selection and sensitivities</v>
      </c>
      <c r="H14" s="544"/>
      <c r="I14" s="1023" t="str">
        <f xml:space="preserve"> FiscalModel!A630</f>
        <v>Production sharing: Apply selected profit oil sharing method</v>
      </c>
      <c r="J14" s="544"/>
      <c r="K14" s="544" t="str">
        <f ca="1" xml:space="preserve"> ProjectCashflows!A286</f>
        <v>ProjectCashflows: Sheet checks</v>
      </c>
      <c r="L14" s="544"/>
      <c r="M14" s="544"/>
      <c r="N14" s="544"/>
      <c r="O14" s="2"/>
    </row>
    <row r="15" spans="1:15" x14ac:dyDescent="0.25">
      <c r="A15" s="2"/>
      <c r="B15" s="544"/>
      <c r="C15" s="544"/>
      <c r="D15" s="544"/>
      <c r="E15" s="544"/>
      <c r="F15" s="544"/>
      <c r="G15" s="544" t="str">
        <f xml:space="preserve"> Inputs!A43</f>
        <v>Economic assumptions</v>
      </c>
      <c r="H15" s="544"/>
      <c r="I15" s="1024" t="str">
        <f xml:space="preserve"> FiscalModel!A$673</f>
        <v>PSC reconciliation</v>
      </c>
      <c r="J15" s="544"/>
      <c r="K15" s="544"/>
      <c r="L15" s="544"/>
      <c r="M15" s="544"/>
      <c r="N15" s="544"/>
      <c r="O15" s="2"/>
    </row>
    <row r="16" spans="1:15" x14ac:dyDescent="0.25">
      <c r="A16" s="2"/>
      <c r="B16" s="544"/>
      <c r="C16" s="544"/>
      <c r="D16" s="544"/>
      <c r="E16" s="544"/>
      <c r="F16" s="544"/>
      <c r="G16" s="544" t="str">
        <f xml:space="preserve"> Inputs!A71</f>
        <v>Model name and version</v>
      </c>
      <c r="H16" s="544"/>
      <c r="I16" s="544" t="str">
        <f xml:space="preserve"> FiscalModel!A689</f>
        <v>Summary revenues</v>
      </c>
      <c r="J16" s="544"/>
      <c r="K16" s="1021" t="str">
        <f ca="1" xml:space="preserve"> Analysis!A1</f>
        <v>Analysis</v>
      </c>
      <c r="L16" s="544"/>
      <c r="M16" s="544"/>
      <c r="N16" s="544"/>
      <c r="O16" s="2"/>
    </row>
    <row r="17" spans="1:15" x14ac:dyDescent="0.25">
      <c r="A17" s="2"/>
      <c r="B17" s="544"/>
      <c r="C17" s="544"/>
      <c r="D17" s="544"/>
      <c r="E17" s="544"/>
      <c r="F17" s="544"/>
      <c r="G17" s="544" t="str">
        <f xml:space="preserve"> Inputs!A77</f>
        <v>Technical parameters</v>
      </c>
      <c r="H17" s="544"/>
      <c r="I17" s="544" t="str">
        <f xml:space="preserve"> FiscalModel!A712</f>
        <v>JV sharing of project costs</v>
      </c>
      <c r="J17" s="544"/>
      <c r="K17" s="544" t="str">
        <f xml:space="preserve"> Analysis!A15</f>
        <v>Analysis: full-cycle, nominal</v>
      </c>
      <c r="L17" s="544"/>
      <c r="M17" s="544"/>
      <c r="N17" s="544"/>
      <c r="O17" s="2"/>
    </row>
    <row r="18" spans="1:15" x14ac:dyDescent="0.25">
      <c r="A18" s="2"/>
      <c r="B18" s="544"/>
      <c r="C18" s="544"/>
      <c r="D18" s="544"/>
      <c r="E18" s="544"/>
      <c r="F18" s="544"/>
      <c r="G18" s="544"/>
      <c r="H18" s="544"/>
      <c r="I18" s="544" t="str">
        <f xml:space="preserve"> FiscalModel!A755</f>
        <v>IOC income tax depreciation</v>
      </c>
      <c r="J18" s="544"/>
      <c r="K18" s="544" t="str">
        <f xml:space="preserve"> Analysis!A78</f>
        <v>Analysis: full-cycle, real</v>
      </c>
      <c r="L18" s="544"/>
      <c r="M18" s="544"/>
      <c r="N18" s="544"/>
      <c r="O18" s="2"/>
    </row>
    <row r="19" spans="1:15" x14ac:dyDescent="0.25">
      <c r="A19" s="2"/>
      <c r="B19" s="544"/>
      <c r="C19" s="544"/>
      <c r="D19" s="544"/>
      <c r="E19" s="544"/>
      <c r="F19" s="544"/>
      <c r="G19" s="544"/>
      <c r="H19" s="544"/>
      <c r="I19" s="544" t="str">
        <f xml:space="preserve"> FiscalModel!A846</f>
        <v>IOC corporate income tax</v>
      </c>
      <c r="J19" s="544"/>
      <c r="K19" s="544" t="str">
        <f xml:space="preserve"> Analysis!A214</f>
        <v>Analysis: FID forward, real</v>
      </c>
      <c r="L19" s="544"/>
      <c r="M19" s="544"/>
      <c r="N19" s="544"/>
      <c r="O19" s="2"/>
    </row>
    <row r="20" spans="1:15" x14ac:dyDescent="0.25">
      <c r="A20" s="2"/>
      <c r="B20" s="544"/>
      <c r="C20" s="544"/>
      <c r="D20" s="544"/>
      <c r="E20" s="544"/>
      <c r="F20" s="544"/>
      <c r="G20" s="544"/>
      <c r="H20" s="544"/>
      <c r="I20" s="544" t="str">
        <f xml:space="preserve"> FiscalModel!A886</f>
        <v>Resource rent tax</v>
      </c>
      <c r="J20" s="544"/>
      <c r="K20" s="544" t="str">
        <f ca="1" xml:space="preserve"> Analysis!A315</f>
        <v>Analysis: Sheet checks</v>
      </c>
      <c r="L20" s="544"/>
      <c r="M20" s="544"/>
      <c r="N20" s="544"/>
      <c r="O20" s="2"/>
    </row>
    <row r="21" spans="1:15" x14ac:dyDescent="0.25">
      <c r="A21" s="2"/>
      <c r="B21" s="544"/>
      <c r="C21" s="544"/>
      <c r="D21" s="544"/>
      <c r="E21" s="544"/>
      <c r="F21" s="544"/>
      <c r="G21" s="544"/>
      <c r="H21" s="544"/>
      <c r="I21" s="544" t="str">
        <f xml:space="preserve"> FiscalModel!A1001</f>
        <v>IOC cashflows and dividends</v>
      </c>
      <c r="J21" s="544"/>
      <c r="K21" s="544"/>
      <c r="L21" s="544"/>
      <c r="M21" s="544"/>
      <c r="N21" s="544"/>
      <c r="O21" s="2"/>
    </row>
    <row r="22" spans="1:15" x14ac:dyDescent="0.25">
      <c r="A22" s="2"/>
      <c r="B22" s="544"/>
      <c r="C22" s="544"/>
      <c r="D22" s="544"/>
      <c r="E22" s="544"/>
      <c r="F22" s="544"/>
      <c r="G22" s="544"/>
      <c r="H22" s="544"/>
      <c r="I22" s="544" t="str">
        <f xml:space="preserve"> FiscalModel!A$1024</f>
        <v>IOC economic limit</v>
      </c>
      <c r="J22" s="544"/>
      <c r="K22" s="1021" t="str">
        <f ca="1" xml:space="preserve"> Charts!A1</f>
        <v>Charts</v>
      </c>
      <c r="L22" s="544"/>
      <c r="M22" s="544"/>
      <c r="N22" s="544"/>
      <c r="O22" s="2"/>
    </row>
    <row r="23" spans="1:15" x14ac:dyDescent="0.25">
      <c r="A23" s="2"/>
      <c r="B23" s="544"/>
      <c r="C23" s="544"/>
      <c r="D23" s="544"/>
      <c r="E23" s="544"/>
      <c r="F23" s="544"/>
      <c r="G23" s="544"/>
      <c r="H23" s="544"/>
      <c r="I23" s="544" t="str">
        <f xml:space="preserve"> FiscalModel!A1038</f>
        <v>SOC cashflows</v>
      </c>
      <c r="J23" s="544"/>
      <c r="K23" s="544" t="str">
        <f xml:space="preserve"> Charts!A4</f>
        <v>Government revenues</v>
      </c>
      <c r="L23" s="544"/>
      <c r="M23" s="544"/>
      <c r="N23" s="544"/>
      <c r="O23" s="2"/>
    </row>
    <row r="24" spans="1:15" x14ac:dyDescent="0.25">
      <c r="A24" s="2"/>
      <c r="B24" s="544"/>
      <c r="C24" s="544"/>
      <c r="D24" s="544"/>
      <c r="E24" s="544"/>
      <c r="F24" s="544"/>
      <c r="G24" s="544"/>
      <c r="H24" s="544"/>
      <c r="I24" s="544" t="str">
        <f xml:space="preserve"> FiscalModel!A1100</f>
        <v>Government revenues</v>
      </c>
      <c r="J24" s="544"/>
      <c r="K24" s="544" t="str">
        <f xml:space="preserve"> Charts!A74</f>
        <v>Project revenues and costs</v>
      </c>
      <c r="L24" s="544"/>
      <c r="M24" s="544"/>
      <c r="N24" s="544"/>
      <c r="O24" s="2"/>
    </row>
    <row r="25" spans="1:15" x14ac:dyDescent="0.25">
      <c r="A25" s="2"/>
      <c r="B25" s="544"/>
      <c r="C25" s="544"/>
      <c r="D25" s="544"/>
      <c r="E25" s="544"/>
      <c r="F25" s="1022"/>
      <c r="G25" s="544"/>
      <c r="H25" s="544"/>
      <c r="I25" s="544" t="str">
        <f xml:space="preserve"> FiscalModel!A1149</f>
        <v>Cashflow reconilication</v>
      </c>
      <c r="J25" s="544"/>
      <c r="K25" s="544" t="str">
        <f xml:space="preserve"> Charts!A115</f>
        <v>Production rate versus unit operating costs</v>
      </c>
      <c r="L25" s="544"/>
      <c r="M25" s="544"/>
      <c r="N25" s="544"/>
      <c r="O25" s="2"/>
    </row>
    <row r="26" spans="1:15" x14ac:dyDescent="0.25">
      <c r="A26" s="2"/>
      <c r="B26" s="544"/>
      <c r="C26" s="544"/>
      <c r="D26" s="544"/>
      <c r="E26" s="544"/>
      <c r="F26" s="1022"/>
      <c r="G26" s="544"/>
      <c r="H26" s="544"/>
      <c r="I26" s="544" t="str">
        <f ca="1" xml:space="preserve"> FiscalModel!A1164</f>
        <v>FiscalModel: Sheet checks</v>
      </c>
      <c r="J26" s="544"/>
      <c r="K26" s="544" t="str">
        <f ca="1" xml:space="preserve"> Charts!A149</f>
        <v>Charts: Sheet checks</v>
      </c>
      <c r="L26" s="544"/>
      <c r="M26" s="544"/>
      <c r="N26" s="544"/>
      <c r="O26" s="2"/>
    </row>
    <row r="27" spans="1:15" x14ac:dyDescent="0.25">
      <c r="A27" s="2"/>
      <c r="B27" s="544"/>
      <c r="C27" s="544"/>
      <c r="D27" s="544"/>
      <c r="E27" s="544"/>
      <c r="F27" s="1022"/>
      <c r="G27" s="544"/>
      <c r="H27" s="544"/>
      <c r="I27" s="544"/>
      <c r="J27" s="544"/>
      <c r="K27" s="544"/>
      <c r="L27" s="544"/>
      <c r="M27" s="544"/>
      <c r="N27" s="544"/>
      <c r="O27" s="2"/>
    </row>
    <row r="28" spans="1:15" x14ac:dyDescent="0.25">
      <c r="A28" s="2"/>
      <c r="B28" s="2"/>
      <c r="C28" s="2"/>
      <c r="D28" s="2"/>
      <c r="E28" s="2"/>
      <c r="F28" s="2"/>
      <c r="G28" s="2"/>
      <c r="H28" s="2"/>
      <c r="I28" s="2"/>
      <c r="J28" s="2"/>
      <c r="K28" s="2"/>
      <c r="L28" s="2"/>
      <c r="M28" s="2"/>
      <c r="N28" s="2"/>
      <c r="O28" s="2"/>
    </row>
    <row r="30" spans="1:15" x14ac:dyDescent="0.25">
      <c r="B30" s="4" t="str">
        <f xml:space="preserve"> Translate!E$807</f>
        <v xml:space="preserve">To: </v>
      </c>
      <c r="G30" s="6" t="str">
        <f xml:space="preserve"> Translate!E$808</f>
        <v>Go to sheet:</v>
      </c>
    </row>
    <row r="31" spans="1:15" x14ac:dyDescent="0.25">
      <c r="B31" s="1072" t="str">
        <f>Translate!E$9</f>
        <v>Enter fiscal regime assumptions</v>
      </c>
      <c r="G31" s="1018" t="str">
        <f ca="1" xml:space="preserve"> Inputs!A1</f>
        <v>Inputs</v>
      </c>
      <c r="H31" s="544"/>
      <c r="I31" s="544"/>
      <c r="J31" s="544"/>
      <c r="K31" s="544"/>
    </row>
    <row r="32" spans="1:15" x14ac:dyDescent="0.25">
      <c r="B32" s="1072" t="str">
        <f>Translate!E$10</f>
        <v>Enter project data</v>
      </c>
      <c r="G32" s="1018" t="str">
        <f ca="1" xml:space="preserve"> '800MMbbl_A'!A$1</f>
        <v>800MMbbl_A</v>
      </c>
      <c r="H32" s="544"/>
      <c r="J32" s="544"/>
    </row>
    <row r="33" spans="2:11" x14ac:dyDescent="0.25">
      <c r="B33" s="1072"/>
      <c r="G33" s="1018" t="str">
        <f ca="1" xml:space="preserve"> '800MMbbl_B'!A$1</f>
        <v>800MMbbl_B</v>
      </c>
      <c r="H33" s="544"/>
      <c r="I33" s="1013"/>
      <c r="J33" s="544"/>
      <c r="K33" s="1013"/>
    </row>
    <row r="34" spans="2:11" x14ac:dyDescent="0.25">
      <c r="B34" s="1072"/>
      <c r="G34" s="1018" t="str">
        <f ca="1" xml:space="preserve"> '200MMbbl'!A$1</f>
        <v>200MMbbl</v>
      </c>
      <c r="H34" s="544"/>
      <c r="I34" s="1013"/>
      <c r="J34" s="544"/>
      <c r="K34" s="1013"/>
    </row>
    <row r="35" spans="2:11" x14ac:dyDescent="0.25">
      <c r="B35" s="1072" t="str">
        <f>Translate!E$11</f>
        <v>Select fiscal regime</v>
      </c>
      <c r="G35" s="1018" t="str">
        <f ca="1" xml:space="preserve"> Dashboard!A$1</f>
        <v>Dashboard</v>
      </c>
      <c r="H35" s="544"/>
      <c r="I35" s="544"/>
      <c r="J35" s="544"/>
      <c r="K35" s="544"/>
    </row>
    <row r="36" spans="2:11" x14ac:dyDescent="0.25">
      <c r="B36" s="1072" t="str">
        <f>Translate!E$12</f>
        <v>Select project</v>
      </c>
      <c r="C36" s="5"/>
      <c r="F36" s="7"/>
      <c r="G36" s="1018" t="str">
        <f ca="1" xml:space="preserve"> Dashboard!A$1</f>
        <v>Dashboard</v>
      </c>
      <c r="H36" s="544"/>
      <c r="I36" s="544"/>
      <c r="J36" s="544"/>
      <c r="K36" s="544"/>
    </row>
    <row r="37" spans="2:11" x14ac:dyDescent="0.25">
      <c r="B37" s="1072" t="str">
        <f>Translate!E$13</f>
        <v>Change oil price</v>
      </c>
      <c r="C37" s="1072"/>
      <c r="F37" s="7"/>
      <c r="G37" s="1018" t="str">
        <f ca="1" xml:space="preserve"> Dashboard!A$1</f>
        <v>Dashboard</v>
      </c>
      <c r="H37" s="544"/>
      <c r="I37" s="544"/>
      <c r="J37" s="544"/>
      <c r="K37" s="544"/>
    </row>
    <row r="38" spans="2:11" x14ac:dyDescent="0.25">
      <c r="B38" s="1072" t="str">
        <f>Translate!E$14</f>
        <v>Review results</v>
      </c>
      <c r="C38" s="1072"/>
      <c r="F38" s="7"/>
      <c r="G38" s="1018" t="str">
        <f ca="1" xml:space="preserve"> Dashboard!A$1</f>
        <v>Dashboard</v>
      </c>
      <c r="H38" s="544"/>
      <c r="I38" s="544"/>
      <c r="J38" s="544"/>
      <c r="K38" s="544"/>
    </row>
    <row r="39" spans="2:11" x14ac:dyDescent="0.25">
      <c r="B39" s="1072" t="str">
        <f>Translate!E$15</f>
        <v>Review detailed results</v>
      </c>
      <c r="F39" s="7"/>
      <c r="G39" s="1019" t="str">
        <f ca="1">Analysis!A1</f>
        <v>Analysis</v>
      </c>
      <c r="H39" s="544"/>
      <c r="I39" s="544"/>
      <c r="J39" s="544"/>
      <c r="K39" s="544"/>
    </row>
    <row r="40" spans="2:11" x14ac:dyDescent="0.25">
      <c r="B40" s="1072" t="str">
        <f>Translate!E$16</f>
        <v>Analytical routines</v>
      </c>
      <c r="F40" s="7"/>
      <c r="G40" s="1018" t="str">
        <f>Dashboard!A58</f>
        <v>Dashboard analytical routines</v>
      </c>
      <c r="H40" s="544"/>
      <c r="I40" s="544"/>
      <c r="J40" s="544"/>
      <c r="K40" s="544"/>
    </row>
  </sheetData>
  <conditionalFormatting sqref="E1">
    <cfRule type="cellIs" dxfId="291" priority="11" stopIfTrue="1" operator="notEqual">
      <formula>0</formula>
    </cfRule>
    <cfRule type="cellIs" dxfId="290" priority="12" stopIfTrue="1" operator="equal">
      <formula>""</formula>
    </cfRule>
  </conditionalFormatting>
  <conditionalFormatting sqref="E1">
    <cfRule type="cellIs" dxfId="289" priority="9" stopIfTrue="1" operator="notEqual">
      <formula>0</formula>
    </cfRule>
    <cfRule type="cellIs" dxfId="288" priority="10" stopIfTrue="1" operator="equal">
      <formula>""</formula>
    </cfRule>
  </conditionalFormatting>
  <hyperlinks>
    <hyperlink ref="G31" location="Inputs!A1" display="Inputs!A1" xr:uid="{5734092F-EB6E-48EB-BD47-C4C84DFC8D84}"/>
    <hyperlink ref="G32" location="'800MMbbl_A'!A1" display="'800MMbbl_A'!A1" xr:uid="{E86303B8-20CD-4738-87C6-6D7FD9735E52}"/>
    <hyperlink ref="G33" location="'800MMbbl_B'!A1" display="'800MMbbl_B'!A1" xr:uid="{F7C8B52D-5454-4C8F-B6F6-AF9A763E2C80}"/>
    <hyperlink ref="G34" location="'200MMbbl'!A1" display="'200MMbbl'!A1" xr:uid="{03B163E1-1CEF-4A05-B621-164CE8597BDD}"/>
    <hyperlink ref="G39" location="Analysis!A1" display="Analysis!A1" xr:uid="{2BFE0A7F-78F1-45CB-9797-3634362C8C66}"/>
    <hyperlink ref="G40" location="Dashboard!A58" display="Dashboard!A58" xr:uid="{4A4C6AD7-1569-4B78-83ED-B49881E33349}"/>
  </hyperlinks>
  <pageMargins left="0.7" right="0.7" top="0.75" bottom="0.75" header="0.3" footer="0.3"/>
  <pageSetup scale="74" orientation="landscape"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A6A6A6"/>
    <pageSetUpPr fitToPage="1"/>
  </sheetPr>
  <dimension ref="A1:H90"/>
  <sheetViews>
    <sheetView showGridLines="0" topLeftCell="A4" zoomScale="70" zoomScaleNormal="70" workbookViewId="0">
      <selection activeCell="A22" sqref="A22"/>
    </sheetView>
  </sheetViews>
  <sheetFormatPr defaultColWidth="14.54296875" defaultRowHeight="15.75" customHeight="1" x14ac:dyDescent="0.25"/>
  <cols>
    <col min="1" max="3" width="1.7265625" style="21" customWidth="1"/>
    <col min="4" max="4" width="30.7265625" style="22" customWidth="1"/>
    <col min="5" max="5" width="14.54296875" style="22"/>
    <col min="6" max="7" width="11.7265625" style="22" customWidth="1"/>
    <col min="8" max="8" width="50.453125" style="22" customWidth="1"/>
    <col min="9" max="16384" width="14.54296875" style="22"/>
  </cols>
  <sheetData>
    <row r="1" spans="1:8" ht="15" customHeight="1" x14ac:dyDescent="0.25">
      <c r="A1" s="2" t="str">
        <f ca="1" xml:space="preserve"> RIGHT( CELL("filename",$A$1), LEN( CELL("filename",$A$1)) - SEARCH("]", CELL("filename",$A$1)))</f>
        <v>Key</v>
      </c>
      <c r="B1" s="2"/>
      <c r="C1" s="2"/>
      <c r="D1" s="2"/>
      <c r="E1" s="2"/>
      <c r="F1" s="2"/>
      <c r="G1" s="2"/>
      <c r="H1" s="2"/>
    </row>
    <row r="2" spans="1:8" ht="15.75" customHeight="1" x14ac:dyDescent="0.35">
      <c r="A2" s="544"/>
      <c r="B2" s="544"/>
      <c r="C2" s="544"/>
      <c r="D2" s="23"/>
      <c r="E2" s="544"/>
      <c r="F2" s="544"/>
      <c r="G2" s="544"/>
      <c r="H2" s="544"/>
    </row>
    <row r="3" spans="1:8" ht="15.75" customHeight="1" x14ac:dyDescent="0.35">
      <c r="A3" s="544"/>
      <c r="B3" s="544"/>
      <c r="C3" s="544"/>
      <c r="D3" s="1073"/>
      <c r="E3" s="544"/>
      <c r="F3" s="544"/>
      <c r="G3" s="544"/>
      <c r="H3" s="544"/>
    </row>
    <row r="4" spans="1:8" ht="15.75" customHeight="1" x14ac:dyDescent="0.35">
      <c r="A4" s="544"/>
      <c r="B4" s="544"/>
      <c r="C4" s="544"/>
      <c r="D4" s="1073"/>
      <c r="E4" s="544"/>
      <c r="F4" s="544"/>
      <c r="G4" s="544"/>
      <c r="H4" s="544"/>
    </row>
    <row r="8" spans="1:8" ht="15.75" customHeight="1" x14ac:dyDescent="0.25">
      <c r="A8" s="20" t="str">
        <f ca="1" xml:space="preserve"> RIGHT( CELL("filename",$A$1), LEN( CELL("filename",$A$1)) - SEARCH("]", CELL("filename",$A$1)))</f>
        <v>Key</v>
      </c>
      <c r="D8" s="544"/>
      <c r="E8" s="544"/>
      <c r="F8" s="544"/>
      <c r="G8" s="544"/>
      <c r="H8" s="544"/>
    </row>
    <row r="9" spans="1:8" ht="15.75" customHeight="1" x14ac:dyDescent="0.35">
      <c r="B9" s="21" t="str">
        <f>Translate!E19</f>
        <v>Sheet tabs</v>
      </c>
      <c r="D9" s="23"/>
      <c r="E9" s="544"/>
      <c r="F9" s="544"/>
      <c r="G9" s="544"/>
      <c r="H9" s="544"/>
    </row>
    <row r="10" spans="1:8" ht="15.75" customHeight="1" x14ac:dyDescent="0.35">
      <c r="D10" s="338" t="str">
        <f>Translate!$E$23</f>
        <v>Dashboard</v>
      </c>
      <c r="E10" s="544"/>
      <c r="F10" s="544"/>
      <c r="G10" s="544"/>
      <c r="H10" s="339" t="str">
        <f>Translate!$E$61</f>
        <v>White</v>
      </c>
    </row>
    <row r="11" spans="1:8" ht="5.15" customHeight="1" x14ac:dyDescent="0.35">
      <c r="D11" s="23"/>
      <c r="E11" s="544"/>
      <c r="F11" s="544"/>
      <c r="G11" s="544"/>
      <c r="H11" s="544"/>
    </row>
    <row r="12" spans="1:8" ht="15.75" customHeight="1" x14ac:dyDescent="0.25">
      <c r="D12" s="24" t="str">
        <f>Translate!$E$24</f>
        <v>Input sheets</v>
      </c>
      <c r="E12" s="544"/>
      <c r="F12" s="544"/>
      <c r="G12" s="544"/>
      <c r="H12" s="25" t="str">
        <f>Translate!$E$62</f>
        <v>Light yellow</v>
      </c>
    </row>
    <row r="13" spans="1:8" ht="5.15" customHeight="1" x14ac:dyDescent="0.35">
      <c r="D13" s="1073"/>
      <c r="E13" s="544"/>
      <c r="F13" s="544"/>
      <c r="G13" s="544"/>
      <c r="H13" s="26"/>
    </row>
    <row r="14" spans="1:8" ht="15.75" customHeight="1" x14ac:dyDescent="0.25">
      <c r="D14" s="24" t="str">
        <f>Translate!$E$25</f>
        <v>Calculation sheets</v>
      </c>
      <c r="E14" s="544"/>
      <c r="F14" s="544"/>
      <c r="G14" s="544"/>
      <c r="H14" s="539" t="str">
        <f>Translate!$E$63</f>
        <v>Transparent/light gray</v>
      </c>
    </row>
    <row r="15" spans="1:8" ht="5.15" customHeight="1" x14ac:dyDescent="0.35">
      <c r="D15" s="1073"/>
      <c r="E15" s="544"/>
      <c r="F15" s="544"/>
      <c r="G15" s="544"/>
      <c r="H15" s="26"/>
    </row>
    <row r="16" spans="1:8" ht="15.75" customHeight="1" x14ac:dyDescent="0.25">
      <c r="D16" s="24" t="str">
        <f>Translate!$E$26</f>
        <v>Key output sheets</v>
      </c>
      <c r="E16" s="544"/>
      <c r="F16" s="544"/>
      <c r="G16" s="544"/>
      <c r="H16" s="337" t="str">
        <f>Translate!$E$64</f>
        <v>Pale blue</v>
      </c>
    </row>
    <row r="17" spans="2:8" ht="5.15" customHeight="1" x14ac:dyDescent="0.35">
      <c r="D17" s="1073"/>
      <c r="E17" s="544"/>
      <c r="F17" s="544"/>
      <c r="G17" s="544"/>
      <c r="H17" s="26"/>
    </row>
    <row r="18" spans="2:8" ht="15.75" customHeight="1" x14ac:dyDescent="0.25">
      <c r="D18" s="24" t="str">
        <f>Translate!$E$27</f>
        <v>Documentation sheets</v>
      </c>
      <c r="E18" s="544"/>
      <c r="F18" s="544"/>
      <c r="G18" s="544"/>
      <c r="H18" s="28" t="str">
        <f>Translate!$E$65</f>
        <v>Dark gray</v>
      </c>
    </row>
    <row r="19" spans="2:8" ht="5.15" customHeight="1" x14ac:dyDescent="0.35">
      <c r="D19" s="1073"/>
      <c r="E19" s="544"/>
      <c r="F19" s="544"/>
      <c r="G19" s="544"/>
      <c r="H19" s="26"/>
    </row>
    <row r="20" spans="2:8" ht="15" customHeight="1" x14ac:dyDescent="0.25">
      <c r="D20" s="24" t="str">
        <f>Translate!$E$28</f>
        <v>Quality control sheets</v>
      </c>
      <c r="E20" s="544"/>
      <c r="F20" s="544"/>
      <c r="G20" s="544"/>
      <c r="H20" s="29" t="str">
        <f>Translate!$E$66</f>
        <v>Turquoise</v>
      </c>
    </row>
    <row r="21" spans="2:8" ht="15" customHeight="1" x14ac:dyDescent="0.35">
      <c r="D21" s="23"/>
      <c r="E21" s="544"/>
      <c r="F21" s="544"/>
      <c r="G21" s="544"/>
      <c r="H21" s="544"/>
    </row>
    <row r="22" spans="2:8" ht="15" customHeight="1" x14ac:dyDescent="0.35">
      <c r="B22" s="21" t="str">
        <f>Translate!E20</f>
        <v>Font colour only</v>
      </c>
      <c r="D22" s="23"/>
      <c r="E22" s="544"/>
      <c r="F22" s="544"/>
      <c r="G22" s="544"/>
      <c r="H22" s="544"/>
    </row>
    <row r="23" spans="2:8" ht="15" customHeight="1" x14ac:dyDescent="0.35">
      <c r="D23" s="1073" t="str">
        <f>Translate!$E$29</f>
        <v>Imported from another sheet</v>
      </c>
      <c r="E23" s="544"/>
      <c r="F23" s="544"/>
      <c r="G23" s="544"/>
      <c r="H23" s="30" t="str">
        <f>Translate!$E$67</f>
        <v>Blue font</v>
      </c>
    </row>
    <row r="24" spans="2:8" ht="15" customHeight="1" x14ac:dyDescent="0.35">
      <c r="D24" s="1073" t="str">
        <f>Translate!$E$30</f>
        <v>Exported to another sheet (except from Input sheets)</v>
      </c>
      <c r="E24" s="544"/>
      <c r="F24" s="544"/>
      <c r="G24" s="544"/>
      <c r="H24" s="31" t="str">
        <f>Translate!$E$68</f>
        <v xml:space="preserve">Red font </v>
      </c>
    </row>
    <row r="25" spans="2:8" ht="15" customHeight="1" x14ac:dyDescent="0.35">
      <c r="D25" s="1073" t="str">
        <f>Translate!$E$31</f>
        <v>Within sheet link or calculation</v>
      </c>
      <c r="E25" s="544"/>
      <c r="F25" s="544"/>
      <c r="G25" s="544"/>
      <c r="H25" s="32" t="str">
        <f>Translate!$E$69</f>
        <v>Black font</v>
      </c>
    </row>
    <row r="26" spans="2:8" ht="15" customHeight="1" x14ac:dyDescent="0.35">
      <c r="D26" s="1073" t="str">
        <f>Translate!$E$32</f>
        <v>Calling fiscal parameter from fiscal regime inputs</v>
      </c>
      <c r="E26" s="544"/>
      <c r="F26" s="544"/>
      <c r="G26" s="544"/>
      <c r="H26" s="409" t="str">
        <f>Translate!$E$70</f>
        <v>Green font</v>
      </c>
    </row>
    <row r="27" spans="2:8" ht="15" customHeight="1" x14ac:dyDescent="0.35">
      <c r="D27" s="23"/>
      <c r="E27" s="544"/>
      <c r="F27" s="544"/>
      <c r="G27" s="544"/>
      <c r="H27" s="544"/>
    </row>
    <row r="28" spans="2:8" ht="15" customHeight="1" x14ac:dyDescent="0.35">
      <c r="B28" s="21" t="str">
        <f>Translate!E21</f>
        <v>Font + shade combinations</v>
      </c>
      <c r="D28" s="23"/>
      <c r="E28" s="544"/>
      <c r="F28" s="544"/>
      <c r="G28" s="544"/>
      <c r="H28" s="544"/>
    </row>
    <row r="29" spans="2:8" ht="15" customHeight="1" x14ac:dyDescent="0.35">
      <c r="D29" s="1073" t="str">
        <f>Translate!$E$33</f>
        <v>Inputs</v>
      </c>
      <c r="E29" s="544"/>
      <c r="F29" s="544"/>
      <c r="G29" s="544"/>
      <c r="H29" s="33" t="str">
        <f>Translate!$E$71</f>
        <v>Black font + Light Yellow shade</v>
      </c>
    </row>
    <row r="30" spans="2:8" ht="5.15" customHeight="1" x14ac:dyDescent="0.35">
      <c r="D30" s="1073"/>
      <c r="E30" s="544"/>
      <c r="F30" s="544"/>
      <c r="G30" s="544"/>
      <c r="H30" s="3"/>
    </row>
    <row r="31" spans="2:8" ht="15.75" customHeight="1" x14ac:dyDescent="0.25">
      <c r="D31" s="24" t="str">
        <f>Translate!$E$34</f>
        <v>Calculations</v>
      </c>
      <c r="E31" s="544"/>
      <c r="F31" s="544"/>
      <c r="G31" s="544"/>
      <c r="H31" s="539" t="str">
        <f>Translate!$E$72</f>
        <v>Transparent</v>
      </c>
    </row>
    <row r="32" spans="2:8" ht="5.15" customHeight="1" x14ac:dyDescent="0.35">
      <c r="D32" s="1073"/>
      <c r="E32" s="544"/>
      <c r="F32" s="544"/>
      <c r="G32" s="544"/>
      <c r="H32" s="26"/>
    </row>
    <row r="33" spans="1:8" ht="15.75" customHeight="1" x14ac:dyDescent="0.35">
      <c r="D33" s="1073" t="str">
        <f>Translate!$E$35</f>
        <v>Blocks of data linked by arrays OR Indirect formula</v>
      </c>
      <c r="E33" s="544"/>
      <c r="F33" s="544"/>
      <c r="G33" s="544"/>
      <c r="H33" s="34" t="str">
        <f>Translate!$E$73</f>
        <v>Blue font and blue shade</v>
      </c>
    </row>
    <row r="34" spans="1:8" ht="5.15" customHeight="1" x14ac:dyDescent="0.35">
      <c r="D34" s="1073"/>
      <c r="E34" s="544"/>
      <c r="F34" s="544"/>
      <c r="G34" s="544"/>
      <c r="H34" s="26"/>
    </row>
    <row r="35" spans="1:8" ht="15.75" customHeight="1" x14ac:dyDescent="0.35">
      <c r="D35" s="1073" t="str">
        <f>Translate!$E$36</f>
        <v xml:space="preserve">Within-worksheet counter-flow </v>
      </c>
      <c r="E35" s="544"/>
      <c r="F35" s="544"/>
      <c r="G35" s="544"/>
      <c r="H35" s="308" t="str">
        <f>Translate!$E$74</f>
        <v>Black font + light gray shade on entire row</v>
      </c>
    </row>
    <row r="36" spans="1:8" ht="5.15" customHeight="1" x14ac:dyDescent="0.35">
      <c r="D36" s="1073"/>
      <c r="E36" s="544"/>
      <c r="F36" s="544"/>
      <c r="G36" s="544"/>
      <c r="H36" s="26"/>
    </row>
    <row r="37" spans="1:8" ht="15.75" customHeight="1" x14ac:dyDescent="0.35">
      <c r="D37" s="1073" t="str">
        <f>Translate!$E$37</f>
        <v>Empty cells being deliberately referenced</v>
      </c>
      <c r="E37" s="544"/>
      <c r="F37" s="544"/>
      <c r="G37" s="544"/>
      <c r="H37" s="35" t="str">
        <f>Translate!$E$75</f>
        <v>Empty cell with light gray shade</v>
      </c>
    </row>
    <row r="38" spans="1:8" ht="5.15" customHeight="1" x14ac:dyDescent="0.35">
      <c r="D38" s="1073"/>
      <c r="E38" s="544"/>
      <c r="F38" s="544"/>
      <c r="G38" s="544"/>
      <c r="H38" s="26"/>
    </row>
    <row r="39" spans="1:8" ht="15.75" customHeight="1" x14ac:dyDescent="0.35">
      <c r="D39" s="1073" t="str">
        <f>Translate!$E$38</f>
        <v>Section separator</v>
      </c>
      <c r="E39" s="544"/>
      <c r="F39" s="544"/>
      <c r="G39" s="544"/>
      <c r="H39" s="42" t="str">
        <f>Translate!$E$76</f>
        <v>White font + pale blue shade on entire row</v>
      </c>
    </row>
    <row r="40" spans="1:8" ht="15.75" customHeight="1" x14ac:dyDescent="0.35">
      <c r="D40" s="1073"/>
      <c r="E40" s="544"/>
      <c r="F40" s="544"/>
      <c r="G40" s="544"/>
      <c r="H40" s="544"/>
    </row>
    <row r="41" spans="1:8" ht="15.75" customHeight="1" x14ac:dyDescent="0.35">
      <c r="B41" s="21" t="str">
        <f>Translate!E22</f>
        <v>Error checks &amp; alerts</v>
      </c>
      <c r="D41" s="1073"/>
      <c r="E41" s="544"/>
      <c r="F41" s="544"/>
      <c r="G41" s="544"/>
      <c r="H41" s="544"/>
    </row>
    <row r="42" spans="1:8" ht="15.75" customHeight="1" x14ac:dyDescent="0.35">
      <c r="D42" s="1073" t="str">
        <f>Translate!$E$39</f>
        <v>OK</v>
      </c>
      <c r="E42" s="544"/>
      <c r="F42" s="544"/>
      <c r="G42" s="544"/>
      <c r="H42" s="36" t="str">
        <f>Translate!$E$77</f>
        <v>Green shade</v>
      </c>
    </row>
    <row r="43" spans="1:8" ht="5.15" customHeight="1" x14ac:dyDescent="0.35">
      <c r="D43" s="1073"/>
      <c r="E43" s="544"/>
      <c r="F43" s="544"/>
      <c r="G43" s="544"/>
      <c r="H43" s="26"/>
    </row>
    <row r="44" spans="1:8" ht="15.75" customHeight="1" x14ac:dyDescent="0.35">
      <c r="D44" s="1073" t="str">
        <f>Translate!$E$40</f>
        <v>Error</v>
      </c>
      <c r="E44" s="544"/>
      <c r="F44" s="544"/>
      <c r="G44" s="544"/>
      <c r="H44" s="37" t="str">
        <f>Translate!$E$78</f>
        <v>Red shade</v>
      </c>
    </row>
    <row r="45" spans="1:8" ht="5.15" customHeight="1" x14ac:dyDescent="0.35">
      <c r="D45" s="1073"/>
      <c r="E45" s="544"/>
      <c r="F45" s="544"/>
      <c r="G45" s="544"/>
      <c r="H45" s="26"/>
    </row>
    <row r="46" spans="1:8" ht="15.75" customHeight="1" x14ac:dyDescent="0.25">
      <c r="D46" s="544" t="str">
        <f>Translate!$E$41</f>
        <v>Alert</v>
      </c>
      <c r="E46" s="544"/>
      <c r="F46" s="544"/>
      <c r="G46" s="544"/>
      <c r="H46" s="38" t="str">
        <f>Translate!$E$79</f>
        <v>Gold shade</v>
      </c>
    </row>
    <row r="48" spans="1:8" ht="15.75" customHeight="1" x14ac:dyDescent="0.25">
      <c r="A48" s="39" t="str">
        <f>Translate!E17</f>
        <v>Abbreviations</v>
      </c>
      <c r="B48" s="39"/>
      <c r="C48" s="39"/>
      <c r="D48" s="544"/>
      <c r="E48" s="544"/>
      <c r="F48" s="544"/>
      <c r="G48" s="544"/>
      <c r="H48" s="544"/>
    </row>
    <row r="49" spans="1:8" ht="15.75" customHeight="1" x14ac:dyDescent="0.25">
      <c r="A49" s="39"/>
      <c r="B49" s="39"/>
      <c r="C49" s="39"/>
      <c r="D49" s="544" t="str">
        <f>Translate!$E$42</f>
        <v>Average effective tax rate</v>
      </c>
      <c r="E49" s="544"/>
      <c r="F49" s="544"/>
      <c r="G49" s="544"/>
      <c r="H49" s="544" t="str">
        <f>Translate!$E$120</f>
        <v>AETR</v>
      </c>
    </row>
    <row r="50" spans="1:8" ht="15.75" customHeight="1" x14ac:dyDescent="0.25">
      <c r="A50" s="544"/>
      <c r="B50" s="544"/>
      <c r="C50" s="544"/>
      <c r="D50" s="544" t="str">
        <f>Translate!$E$43</f>
        <v>Barrel</v>
      </c>
      <c r="E50" s="544"/>
      <c r="F50" s="544"/>
      <c r="G50" s="544"/>
      <c r="H50" s="544" t="str">
        <f>Translate!$E$80</f>
        <v>bbl</v>
      </c>
    </row>
    <row r="51" spans="1:8" ht="15.75" customHeight="1" x14ac:dyDescent="0.25">
      <c r="A51" s="544"/>
      <c r="B51" s="544"/>
      <c r="C51" s="544"/>
      <c r="D51" s="544" t="str">
        <f>Translate!$E$44</f>
        <v>Barrels of oil equivalent</v>
      </c>
      <c r="E51" s="544"/>
      <c r="F51" s="544"/>
      <c r="G51" s="544"/>
      <c r="H51" s="3" t="str">
        <f>Translate!$E$81</f>
        <v>BOE</v>
      </c>
    </row>
    <row r="52" spans="1:8" ht="15.75" customHeight="1" x14ac:dyDescent="0.25">
      <c r="A52" s="544"/>
      <c r="B52" s="544"/>
      <c r="C52" s="544"/>
      <c r="D52" s="544" t="str">
        <f xml:space="preserve"> Translate!E$335</f>
        <v>Beginning</v>
      </c>
      <c r="E52" s="544"/>
      <c r="F52" s="544"/>
      <c r="G52" s="544"/>
      <c r="H52" s="3" t="str">
        <f xml:space="preserve"> Translate!E$334</f>
        <v>BEG</v>
      </c>
    </row>
    <row r="53" spans="1:8" ht="15.75" customHeight="1" x14ac:dyDescent="0.25">
      <c r="A53" s="544"/>
      <c r="B53" s="544"/>
      <c r="C53" s="544"/>
      <c r="D53" s="544" t="str">
        <f>Translate!$E$45</f>
        <v>Carbon dioxide equivalent</v>
      </c>
      <c r="E53" s="544"/>
      <c r="F53" s="544"/>
      <c r="G53" s="544"/>
      <c r="H53" s="544" t="str">
        <f>Translate!$E$82</f>
        <v>CO2 eq</v>
      </c>
    </row>
    <row r="54" spans="1:8" ht="15.75" customHeight="1" x14ac:dyDescent="0.25">
      <c r="A54" s="544"/>
      <c r="B54" s="544"/>
      <c r="C54" s="544"/>
      <c r="D54" s="544" t="str">
        <f xml:space="preserve"> Translate!E$161</f>
        <v>Corporate income tax</v>
      </c>
      <c r="E54" s="544"/>
      <c r="F54" s="544"/>
      <c r="G54" s="544"/>
      <c r="H54" s="24" t="str">
        <f xml:space="preserve"> Translate!E$732</f>
        <v>CIT</v>
      </c>
    </row>
    <row r="55" spans="1:8" ht="15.75" customHeight="1" x14ac:dyDescent="0.25">
      <c r="D55" s="544" t="str">
        <f xml:space="preserve"> Translate!E$212</f>
        <v>Daily rate of production</v>
      </c>
      <c r="E55" s="544"/>
      <c r="F55" s="544"/>
      <c r="G55" s="544"/>
      <c r="H55" s="544" t="str">
        <f xml:space="preserve"> Translate!E$730</f>
        <v>DROP</v>
      </c>
    </row>
    <row r="56" spans="1:8" ht="15.75" customHeight="1" x14ac:dyDescent="0.25">
      <c r="A56" s="544"/>
      <c r="B56" s="544"/>
      <c r="C56" s="544"/>
      <c r="D56" s="544" t="str">
        <f>Translate!$E$46</f>
        <v>Economic limit</v>
      </c>
      <c r="E56" s="544"/>
      <c r="F56" s="544"/>
      <c r="G56" s="544"/>
      <c r="H56" s="544" t="str">
        <f>Translate!$E$83</f>
        <v>EL</v>
      </c>
    </row>
    <row r="57" spans="1:8" ht="15.75" customHeight="1" x14ac:dyDescent="0.25">
      <c r="A57" s="544"/>
      <c r="B57" s="544"/>
      <c r="C57" s="544"/>
      <c r="D57" s="544" t="str">
        <f>Translate!$E$47</f>
        <v>Economic limit test</v>
      </c>
      <c r="E57" s="544"/>
      <c r="F57" s="544"/>
      <c r="G57" s="544"/>
      <c r="H57" s="544" t="str">
        <f>Translate!$E$84</f>
        <v>ELT</v>
      </c>
    </row>
    <row r="58" spans="1:8" ht="15.75" customHeight="1" x14ac:dyDescent="0.25">
      <c r="D58" s="1050" t="str">
        <f xml:space="preserve"> Translate!E$627</f>
        <v>Expected monetary value</v>
      </c>
      <c r="E58" s="544"/>
      <c r="F58" s="544"/>
      <c r="G58" s="544"/>
      <c r="H58" s="544" t="str">
        <f xml:space="preserve"> Translate!E$628</f>
        <v>EMV</v>
      </c>
    </row>
    <row r="59" spans="1:8" ht="15.75" customHeight="1" x14ac:dyDescent="0.35">
      <c r="D59" s="1074" t="str">
        <f>Translate!$E$48</f>
        <v>Final investment decision (start of development)</v>
      </c>
      <c r="E59" s="544"/>
      <c r="F59" s="544"/>
      <c r="G59" s="544"/>
      <c r="H59" s="544" t="str">
        <f>Translate!$E$85</f>
        <v>FID</v>
      </c>
    </row>
    <row r="60" spans="1:8" ht="15.75" customHeight="1" x14ac:dyDescent="0.25">
      <c r="D60" s="544" t="str">
        <f>Translate!$E$49</f>
        <v>Final investment decision forward</v>
      </c>
      <c r="E60" s="544"/>
      <c r="F60" s="544"/>
      <c r="G60" s="544"/>
      <c r="H60" s="544" t="str">
        <f xml:space="preserve"> Inputs!F$90</f>
        <v>FID forward</v>
      </c>
    </row>
    <row r="61" spans="1:8" ht="15.75" customHeight="1" x14ac:dyDescent="0.25">
      <c r="D61" s="24" t="str">
        <f xml:space="preserve"> Translate!E$735</f>
        <v>Greenhouse gas</v>
      </c>
      <c r="E61" s="544"/>
      <c r="F61" s="544"/>
      <c r="G61" s="544"/>
      <c r="H61" s="24" t="str">
        <f xml:space="preserve"> Translate!E$734</f>
        <v>GHG</v>
      </c>
    </row>
    <row r="62" spans="1:8" ht="15.75" customHeight="1" x14ac:dyDescent="0.25">
      <c r="D62" s="544" t="str">
        <f>Translate!$E$50</f>
        <v>Grams</v>
      </c>
      <c r="E62" s="544"/>
      <c r="F62" s="544"/>
      <c r="G62" s="544"/>
      <c r="H62" s="3" t="str">
        <f>Translate!$E$86</f>
        <v>g</v>
      </c>
    </row>
    <row r="63" spans="1:8" ht="15.75" customHeight="1" x14ac:dyDescent="0.25">
      <c r="D63" s="544" t="str">
        <f>Translate!$E$51</f>
        <v>Internal rate of return</v>
      </c>
      <c r="E63" s="544"/>
      <c r="F63" s="544"/>
      <c r="G63" s="544"/>
      <c r="H63" s="544" t="str">
        <f xml:space="preserve"> Translate!E$624</f>
        <v>IRR</v>
      </c>
    </row>
    <row r="64" spans="1:8" ht="15.75" customHeight="1" x14ac:dyDescent="0.25">
      <c r="D64" s="24" t="str">
        <f xml:space="preserve"> Translate!E$736</f>
        <v>International oil company</v>
      </c>
      <c r="E64" s="544"/>
      <c r="F64" s="544"/>
      <c r="G64" s="544"/>
      <c r="H64" s="544" t="str">
        <f xml:space="preserve"> Translate!E$113</f>
        <v>IOC</v>
      </c>
    </row>
    <row r="65" spans="4:8" ht="15.75" customHeight="1" x14ac:dyDescent="0.25">
      <c r="D65" s="24" t="str">
        <f xml:space="preserve"> Translate!E$323</f>
        <v>Joint Venture</v>
      </c>
      <c r="E65" s="544"/>
      <c r="F65" s="544"/>
      <c r="G65" s="544"/>
      <c r="H65" s="24" t="str">
        <f xml:space="preserve"> Translate!E$324</f>
        <v>JV</v>
      </c>
    </row>
    <row r="66" spans="4:8" ht="15.75" customHeight="1" x14ac:dyDescent="0.25">
      <c r="D66" s="544" t="str">
        <f>Translate!$E$52</f>
        <v>Megajoules</v>
      </c>
      <c r="E66" s="544"/>
      <c r="F66" s="544"/>
      <c r="G66" s="544"/>
      <c r="H66" s="3" t="str">
        <f>Translate!$E$87</f>
        <v>MJ</v>
      </c>
    </row>
    <row r="67" spans="4:8" ht="15.75" customHeight="1" x14ac:dyDescent="0.25">
      <c r="D67" s="544" t="str">
        <f>Translate!$E$53</f>
        <v>Millions of barrels</v>
      </c>
      <c r="E67" s="544"/>
      <c r="F67" s="544"/>
      <c r="G67" s="544"/>
      <c r="H67" s="544" t="str">
        <f>Translate!$E$88</f>
        <v>Mn Bbl</v>
      </c>
    </row>
    <row r="68" spans="4:8" ht="15.75" customHeight="1" x14ac:dyDescent="0.35">
      <c r="D68" s="1073" t="str">
        <f>Translate!$E$54</f>
        <v>Million</v>
      </c>
      <c r="E68" s="544"/>
      <c r="F68" s="544"/>
      <c r="G68" s="544"/>
      <c r="H68" s="544" t="str">
        <f>Translate!$E$89</f>
        <v>mn</v>
      </c>
    </row>
    <row r="69" spans="4:8" ht="15.75" customHeight="1" x14ac:dyDescent="0.25">
      <c r="D69" s="544" t="str">
        <f>Translate!$E$55</f>
        <v>Net present value</v>
      </c>
      <c r="E69" s="544"/>
      <c r="F69" s="544"/>
      <c r="G69" s="544"/>
      <c r="H69" s="544" t="str">
        <f xml:space="preserve"> Translate!E$653</f>
        <v>NPV</v>
      </c>
    </row>
    <row r="70" spans="4:8" ht="15.75" customHeight="1" x14ac:dyDescent="0.25">
      <c r="D70" s="544" t="str">
        <f>Translate!$E$56</f>
        <v>Percent per year</v>
      </c>
      <c r="E70" s="544"/>
      <c r="F70" s="544"/>
      <c r="G70" s="544"/>
      <c r="H70" s="544" t="str">
        <f xml:space="preserve"> Translate!E$408</f>
        <v>% p.a.</v>
      </c>
    </row>
    <row r="71" spans="4:8" ht="15.75" customHeight="1" x14ac:dyDescent="0.25">
      <c r="D71" s="544" t="str">
        <f xml:space="preserve"> Translate!E$281</f>
        <v>Production Sharing Contract regime</v>
      </c>
      <c r="E71" s="544"/>
      <c r="F71" s="544"/>
      <c r="G71" s="544"/>
      <c r="H71" s="544" t="str">
        <f xml:space="preserve"> Translate!E$733</f>
        <v>PSC</v>
      </c>
    </row>
    <row r="72" spans="4:8" ht="15.75" customHeight="1" x14ac:dyDescent="0.25">
      <c r="D72" s="544" t="str">
        <f xml:space="preserve"> Translate!E$166</f>
        <v>Resource rent tax</v>
      </c>
      <c r="E72" s="544"/>
      <c r="F72" s="544"/>
      <c r="G72" s="544"/>
      <c r="H72" s="544" t="str">
        <f xml:space="preserve"> Translate!E$731</f>
        <v>RRT</v>
      </c>
    </row>
    <row r="73" spans="4:8" ht="15.75" customHeight="1" x14ac:dyDescent="0.25">
      <c r="D73" s="1050" t="str">
        <f xml:space="preserve"> Translate!E$174</f>
        <v>State-owned contractor</v>
      </c>
      <c r="E73" s="544"/>
      <c r="F73" s="544"/>
      <c r="G73" s="544"/>
      <c r="H73" s="24" t="str">
        <f xml:space="preserve"> Translate!E$539</f>
        <v>SOC</v>
      </c>
    </row>
    <row r="74" spans="4:8" ht="15.75" customHeight="1" x14ac:dyDescent="0.25">
      <c r="D74" s="24" t="str">
        <f xml:space="preserve"> Translate!E$280</f>
        <v>Tax &amp; royalty regime</v>
      </c>
      <c r="E74" s="544"/>
      <c r="F74" s="544"/>
      <c r="G74" s="544"/>
      <c r="H74" s="544" t="str">
        <f xml:space="preserve"> Translate!E$542</f>
        <v>T&amp;R</v>
      </c>
    </row>
    <row r="75" spans="4:8" ht="15.75" customHeight="1" x14ac:dyDescent="0.25">
      <c r="D75" s="544" t="str">
        <f>Translate!$E$57</f>
        <v>Thousands of barrels per day</v>
      </c>
      <c r="E75" s="544"/>
      <c r="F75" s="544"/>
      <c r="G75" s="544"/>
      <c r="H75" s="544" t="str">
        <f xml:space="preserve"> Translate!E$611</f>
        <v>KBOPD</v>
      </c>
    </row>
    <row r="76" spans="4:8" ht="15.75" customHeight="1" x14ac:dyDescent="0.25">
      <c r="D76" s="544" t="str">
        <f>Translate!$E$58</f>
        <v>Tonnes</v>
      </c>
      <c r="E76" s="544"/>
      <c r="F76" s="544"/>
      <c r="G76" s="544"/>
      <c r="H76" s="3" t="str">
        <f>Translate!$E$90</f>
        <v>t</v>
      </c>
    </row>
    <row r="77" spans="4:8" ht="15.75" customHeight="1" x14ac:dyDescent="0.25">
      <c r="D77" s="544" t="str">
        <f>Translate!$E$91</f>
        <v>United States Dollars</v>
      </c>
      <c r="E77" s="544"/>
      <c r="F77" s="544"/>
      <c r="G77" s="544"/>
      <c r="H77" s="544" t="str">
        <f>Translate!$E$60</f>
        <v>US$</v>
      </c>
    </row>
    <row r="78" spans="4:8" ht="15.75" customHeight="1" x14ac:dyDescent="0.25">
      <c r="D78" s="544" t="str">
        <f xml:space="preserve"> Translate!E$186</f>
        <v>Value added tax</v>
      </c>
      <c r="E78" s="544"/>
      <c r="F78" s="544"/>
      <c r="G78" s="544"/>
      <c r="H78" s="544" t="str">
        <f xml:space="preserve"> Translate!E$729</f>
        <v>VAT</v>
      </c>
    </row>
    <row r="80" spans="4:8" ht="15.75" customHeight="1" x14ac:dyDescent="0.25">
      <c r="D80" s="544"/>
      <c r="E80" s="544"/>
      <c r="F80" s="544"/>
      <c r="G80" s="544"/>
      <c r="H80" s="3"/>
    </row>
    <row r="81" spans="1:5" ht="15.75" customHeight="1" x14ac:dyDescent="0.25">
      <c r="A81" s="21" t="str">
        <f>Translate!E18</f>
        <v>Name ranges used in the model</v>
      </c>
      <c r="D81" s="544"/>
      <c r="E81" s="544"/>
    </row>
    <row r="82" spans="1:5" ht="15.75" customHeight="1" x14ac:dyDescent="0.25">
      <c r="D82" s="1025" t="s">
        <v>1</v>
      </c>
      <c r="E82" s="544" t="s">
        <v>2</v>
      </c>
    </row>
    <row r="83" spans="1:5" ht="15.75" customHeight="1" x14ac:dyDescent="0.25">
      <c r="D83" s="1025" t="s">
        <v>3</v>
      </c>
      <c r="E83" s="544" t="s">
        <v>4</v>
      </c>
    </row>
    <row r="84" spans="1:5" ht="15.75" customHeight="1" x14ac:dyDescent="0.25">
      <c r="D84" s="1025" t="s">
        <v>5</v>
      </c>
      <c r="E84" s="544" t="s">
        <v>6</v>
      </c>
    </row>
    <row r="85" spans="1:5" ht="15.75" customHeight="1" x14ac:dyDescent="0.25">
      <c r="D85" s="1025" t="s">
        <v>7</v>
      </c>
      <c r="E85" s="544" t="s">
        <v>8</v>
      </c>
    </row>
    <row r="86" spans="1:5" ht="15.75" customHeight="1" x14ac:dyDescent="0.25">
      <c r="D86" s="1025" t="s">
        <v>9</v>
      </c>
      <c r="E86" s="544" t="s">
        <v>10</v>
      </c>
    </row>
    <row r="87" spans="1:5" ht="15.75" customHeight="1" x14ac:dyDescent="0.25">
      <c r="D87" s="1025" t="s">
        <v>11</v>
      </c>
      <c r="E87" s="544" t="s">
        <v>12</v>
      </c>
    </row>
    <row r="88" spans="1:5" ht="15.75" customHeight="1" x14ac:dyDescent="0.25">
      <c r="D88" s="1025" t="s">
        <v>13</v>
      </c>
      <c r="E88" s="1075" t="s">
        <v>14</v>
      </c>
    </row>
    <row r="89" spans="1:5" ht="15.75" customHeight="1" x14ac:dyDescent="0.25">
      <c r="D89" s="1025" t="s">
        <v>15</v>
      </c>
      <c r="E89" s="544" t="s">
        <v>16</v>
      </c>
    </row>
    <row r="90" spans="1:5" ht="15.75" customHeight="1" x14ac:dyDescent="0.25">
      <c r="D90" s="1025" t="s">
        <v>17</v>
      </c>
      <c r="E90" s="544" t="s">
        <v>18</v>
      </c>
    </row>
  </sheetData>
  <sortState xmlns:xlrd2="http://schemas.microsoft.com/office/spreadsheetml/2017/richdata2" ref="D49:H77">
    <sortCondition ref="D49"/>
  </sortState>
  <pageMargins left="0.7" right="0.7" top="0.75" bottom="0.75" header="0.3" footer="0.3"/>
  <pageSetup scale="77"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04B89-4019-4BEB-A022-1B15CF85869A}">
  <sheetPr codeName="Sheet4">
    <tabColor rgb="FFCCFFFF"/>
    <pageSetUpPr autoPageBreaks="0"/>
  </sheetPr>
  <dimension ref="A1:BB109"/>
  <sheetViews>
    <sheetView zoomScale="85" zoomScaleNormal="85" workbookViewId="0">
      <pane xSplit="10" ySplit="3" topLeftCell="K4" activePane="bottomRight" state="frozen"/>
      <selection pane="topRight" activeCell="H20" sqref="H20"/>
      <selection pane="bottomLeft" activeCell="H20" sqref="H20"/>
      <selection pane="bottomRight" activeCell="A20" sqref="A20"/>
    </sheetView>
  </sheetViews>
  <sheetFormatPr defaultColWidth="0" defaultRowHeight="14.5" x14ac:dyDescent="0.25"/>
  <cols>
    <col min="1" max="1" width="1.26953125" style="3" customWidth="1"/>
    <col min="2" max="2" width="1.26953125" style="282" customWidth="1"/>
    <col min="3" max="4" width="1.26953125" style="3" customWidth="1"/>
    <col min="5" max="5" width="50.7265625" style="3" customWidth="1"/>
    <col min="6" max="6" width="12.7265625" style="3" customWidth="1"/>
    <col min="7" max="7" width="15.7265625" style="3" customWidth="1"/>
    <col min="8" max="8" width="2.26953125" style="3" customWidth="1"/>
    <col min="9" max="9" width="5.54296875" style="79" customWidth="1"/>
    <col min="10" max="10" width="11.7265625" style="3" customWidth="1"/>
    <col min="11" max="11" width="2.26953125" style="3" customWidth="1"/>
    <col min="12" max="12" width="2.26953125" style="384" customWidth="1"/>
    <col min="13" max="13" width="15" style="3" bestFit="1" customWidth="1"/>
    <col min="14" max="14" width="2.26953125" style="384" customWidth="1"/>
    <col min="15" max="15" width="10.7265625" style="3" customWidth="1"/>
    <col min="16" max="16" width="69.7265625" style="3" customWidth="1"/>
    <col min="17" max="25" width="10.7265625" style="3" customWidth="1"/>
    <col min="26" max="54" width="0" style="3" hidden="1" customWidth="1"/>
    <col min="55" max="16384" width="10.7265625" style="3" hidden="1"/>
  </cols>
  <sheetData>
    <row r="1" spans="1:25" s="373" customFormat="1" ht="15" customHeight="1" x14ac:dyDescent="0.3">
      <c r="A1" s="20" t="str">
        <f ca="1" xml:space="preserve"> RIGHT( CELL("filename",$A$1), LEN( CELL("filename",$A$1)) - SEARCH("]", CELL("filename",$A$1)))</f>
        <v>Track</v>
      </c>
      <c r="B1" s="375"/>
      <c r="C1" s="364"/>
      <c r="D1" s="364"/>
      <c r="E1" s="364"/>
      <c r="F1" s="465">
        <f ca="1" xml:space="preserve"> SUM(I5:I107)</f>
        <v>0</v>
      </c>
      <c r="G1" s="85" t="str">
        <f xml:space="preserve"> Translate!E$757</f>
        <v>Track changes</v>
      </c>
      <c r="H1" s="364"/>
      <c r="I1" s="461"/>
      <c r="J1" s="364"/>
      <c r="K1" s="364"/>
      <c r="L1" s="383"/>
      <c r="M1" s="364"/>
      <c r="N1" s="383"/>
      <c r="O1" s="364"/>
      <c r="P1" s="364"/>
      <c r="Q1" s="364"/>
      <c r="R1" s="364"/>
      <c r="S1" s="364"/>
      <c r="T1" s="364"/>
      <c r="U1" s="364"/>
      <c r="V1" s="364"/>
      <c r="W1" s="364"/>
      <c r="X1" s="364"/>
      <c r="Y1" s="364"/>
    </row>
    <row r="2" spans="1:25" ht="15" customHeight="1" x14ac:dyDescent="0.3">
      <c r="A2" s="93"/>
      <c r="B2" s="94"/>
      <c r="C2" s="95"/>
      <c r="D2" s="95"/>
      <c r="E2" s="947" t="s">
        <v>19</v>
      </c>
      <c r="F2" s="530" t="str">
        <f>"&lt;= " &amp; Translate!E$766</f>
        <v>&lt;= Compare live results to</v>
      </c>
      <c r="G2" s="90"/>
      <c r="H2" s="90"/>
      <c r="I2" s="91"/>
      <c r="J2" s="48"/>
      <c r="K2" s="13"/>
      <c r="L2" s="383"/>
      <c r="M2" s="13"/>
      <c r="N2" s="383"/>
      <c r="O2" s="98"/>
      <c r="P2" s="98"/>
      <c r="Q2" s="98"/>
      <c r="R2" s="98"/>
      <c r="S2" s="98"/>
      <c r="T2" s="98"/>
      <c r="U2" s="98"/>
      <c r="V2" s="98"/>
      <c r="W2" s="98"/>
      <c r="X2" s="98"/>
      <c r="Y2" s="98"/>
    </row>
    <row r="3" spans="1:25" ht="15" customHeight="1" x14ac:dyDescent="0.3">
      <c r="A3" s="89"/>
      <c r="B3" s="87"/>
      <c r="C3" s="89"/>
      <c r="D3" s="89"/>
      <c r="E3" s="89"/>
      <c r="F3" s="395"/>
      <c r="G3" s="90"/>
      <c r="H3" s="89"/>
      <c r="I3" s="91"/>
      <c r="J3" s="89"/>
      <c r="K3" s="89"/>
      <c r="L3" s="383"/>
      <c r="M3" s="89"/>
      <c r="N3" s="383"/>
      <c r="O3" s="89"/>
      <c r="P3" s="89"/>
      <c r="Q3" s="89"/>
      <c r="R3" s="89"/>
      <c r="S3" s="89"/>
      <c r="T3" s="89"/>
      <c r="U3" s="89"/>
      <c r="V3" s="89"/>
      <c r="W3" s="89"/>
      <c r="X3" s="89"/>
      <c r="Y3" s="89"/>
    </row>
    <row r="4" spans="1:25" x14ac:dyDescent="0.3">
      <c r="I4" s="462">
        <f xml:space="preserve"> MATCH(E2, L4:N4, 0)</f>
        <v>2</v>
      </c>
      <c r="J4" s="530" t="str">
        <f xml:space="preserve"> Translate!E$400</f>
        <v>Difference</v>
      </c>
      <c r="L4" s="383"/>
      <c r="M4" s="732" t="s">
        <v>19</v>
      </c>
      <c r="N4" s="383"/>
    </row>
    <row r="5" spans="1:25" customFormat="1" ht="12.75" customHeight="1" x14ac:dyDescent="0.3">
      <c r="A5" s="377"/>
      <c r="B5" s="377"/>
      <c r="C5" s="378"/>
      <c r="D5" s="379"/>
      <c r="E5" s="949" t="str">
        <f xml:space="preserve"> Translate!E$792</f>
        <v>Top of track results</v>
      </c>
      <c r="F5" s="380"/>
      <c r="G5" s="380"/>
      <c r="H5" s="380"/>
      <c r="I5" s="463"/>
      <c r="J5" s="380"/>
      <c r="K5" s="380"/>
      <c r="L5" s="383"/>
      <c r="M5" s="380"/>
      <c r="N5" s="383"/>
      <c r="O5" s="380"/>
      <c r="P5" s="380"/>
      <c r="Q5" s="380"/>
      <c r="R5" s="380"/>
      <c r="S5" s="380"/>
      <c r="T5" s="380"/>
      <c r="U5" s="380"/>
      <c r="V5" s="380"/>
      <c r="W5" s="380"/>
      <c r="X5" s="380"/>
      <c r="Y5" s="380"/>
    </row>
    <row r="6" spans="1:25" customFormat="1" x14ac:dyDescent="0.3">
      <c r="A6" s="3"/>
      <c r="B6" s="282"/>
      <c r="C6" s="3"/>
      <c r="D6" s="3"/>
      <c r="E6" s="3"/>
      <c r="F6" s="3"/>
      <c r="G6" s="3"/>
      <c r="H6" s="3"/>
      <c r="I6" s="79"/>
      <c r="J6" s="3"/>
      <c r="K6" s="3"/>
      <c r="L6" s="383"/>
      <c r="M6" s="3"/>
      <c r="N6" s="383"/>
      <c r="O6" s="3"/>
      <c r="P6" s="3"/>
      <c r="Q6" s="3"/>
      <c r="R6" s="3"/>
      <c r="S6" s="3"/>
      <c r="T6" s="3"/>
      <c r="U6" s="3"/>
      <c r="V6" s="3"/>
      <c r="W6" s="3"/>
      <c r="X6" s="3"/>
      <c r="Y6" s="3"/>
    </row>
    <row r="7" spans="1:25" customFormat="1" ht="12.75" customHeight="1" x14ac:dyDescent="0.25">
      <c r="A7" s="374" t="str">
        <f>Translate!$E$761</f>
        <v>Dashboard parameters and results</v>
      </c>
      <c r="B7" s="374"/>
      <c r="C7" s="374"/>
      <c r="D7" s="374"/>
      <c r="E7" s="374"/>
      <c r="F7" s="374"/>
      <c r="G7" s="374"/>
      <c r="H7" s="374"/>
      <c r="I7" s="464"/>
      <c r="J7" s="374"/>
      <c r="K7" s="374"/>
      <c r="L7" s="374"/>
      <c r="M7" s="374"/>
      <c r="N7" s="374"/>
      <c r="O7" s="374"/>
      <c r="P7" s="374"/>
      <c r="Q7" s="374"/>
      <c r="R7" s="374"/>
      <c r="S7" s="374"/>
      <c r="T7" s="374"/>
      <c r="U7" s="374"/>
      <c r="V7" s="374"/>
      <c r="W7" s="374"/>
      <c r="X7" s="374"/>
      <c r="Y7" s="374"/>
    </row>
    <row r="8" spans="1:25" x14ac:dyDescent="0.3">
      <c r="L8" s="383"/>
      <c r="N8" s="383"/>
    </row>
    <row r="9" spans="1:25" ht="15" customHeight="1" x14ac:dyDescent="0.3">
      <c r="B9" s="282" t="str">
        <f>Translate!$E$765</f>
        <v>Dashboard parameters</v>
      </c>
      <c r="L9" s="383"/>
      <c r="N9" s="383"/>
      <c r="P9" s="1092" t="str">
        <f>Translate!E914</f>
        <v>Purpose of this sheet is to save a set of baseline results so that the model can be confirmed to be / brought back to baseline, or changes in results over time can be documented.
Process for creating a new saved case:</v>
      </c>
      <c r="Q9" s="1092"/>
      <c r="R9" s="1092"/>
      <c r="S9" s="1092"/>
      <c r="T9" s="1092"/>
      <c r="U9" s="1092"/>
      <c r="V9" s="1092"/>
      <c r="W9" s="1092"/>
      <c r="X9" s="1092"/>
      <c r="Y9" s="1092"/>
    </row>
    <row r="10" spans="1:25" x14ac:dyDescent="0.3">
      <c r="E10" s="40" t="str">
        <f xml:space="preserve"> Dashboard!B$6</f>
        <v>Fiscal regime selected</v>
      </c>
      <c r="F10" s="40" t="str">
        <f xml:space="preserve"> Dashboard!C$6</f>
        <v>Royalty + CIT</v>
      </c>
      <c r="G10" s="40" t="str">
        <f xml:space="preserve"> Dashboard!D$6</f>
        <v>Option</v>
      </c>
      <c r="I10" s="465">
        <f xml:space="preserve"> IF(ABS(J10) &gt; CHK_TOL, 1, 0)</f>
        <v>0</v>
      </c>
      <c r="J10" s="382">
        <f xml:space="preserve"> IF(F10=INDEX(L10:M10, $I$4), 0, 1)</f>
        <v>0</v>
      </c>
      <c r="L10" s="383"/>
      <c r="M10" s="3" t="s">
        <v>20</v>
      </c>
      <c r="N10" s="383"/>
      <c r="P10" s="1092"/>
      <c r="Q10" s="1092"/>
      <c r="R10" s="1092"/>
      <c r="S10" s="1092"/>
      <c r="T10" s="1092"/>
      <c r="U10" s="1092"/>
      <c r="V10" s="1092"/>
      <c r="W10" s="1092"/>
      <c r="X10" s="1092"/>
      <c r="Y10" s="1092"/>
    </row>
    <row r="11" spans="1:25" x14ac:dyDescent="0.3">
      <c r="E11" s="40" t="str">
        <f xml:space="preserve"> Dashboard!B$7</f>
        <v>Selected project</v>
      </c>
      <c r="F11" s="40" t="str">
        <f xml:space="preserve"> Dashboard!C$7</f>
        <v>800MMbbl_A</v>
      </c>
      <c r="G11" s="40" t="str">
        <f xml:space="preserve"> Dashboard!D$7</f>
        <v>Option</v>
      </c>
      <c r="I11" s="465">
        <f t="shared" ref="I11:I17" si="0" xml:space="preserve"> IF(ABS(J11) &gt; CHK_TOL, 1, 0)</f>
        <v>0</v>
      </c>
      <c r="J11" s="382">
        <f xml:space="preserve"> IF(F11=INDEX(L11:M11, $I$4), 0, 1)</f>
        <v>0</v>
      </c>
      <c r="L11" s="383"/>
      <c r="M11" s="3" t="s">
        <v>21</v>
      </c>
      <c r="N11" s="383"/>
      <c r="P11" s="1092"/>
      <c r="Q11" s="1092"/>
      <c r="R11" s="1092"/>
      <c r="S11" s="1092"/>
      <c r="T11" s="1092"/>
      <c r="U11" s="1092"/>
      <c r="V11" s="1092"/>
      <c r="W11" s="1092"/>
      <c r="X11" s="1092"/>
      <c r="Y11" s="1092"/>
    </row>
    <row r="12" spans="1:25" x14ac:dyDescent="0.3">
      <c r="E12" s="40" t="str">
        <f xml:space="preserve"> Dashboard!B$9</f>
        <v>Oil price (constant real terms)</v>
      </c>
      <c r="F12" s="40">
        <f xml:space="preserve"> Dashboard!C$9</f>
        <v>55</v>
      </c>
      <c r="G12" s="40" t="str">
        <f xml:space="preserve"> Dashboard!D$9</f>
        <v>US$ 2021 / bbl</v>
      </c>
      <c r="I12" s="465">
        <f t="shared" si="0"/>
        <v>0</v>
      </c>
      <c r="J12" s="382">
        <f t="shared" ref="J12:J17" si="1" xml:space="preserve"> IF(OR(ISTEXT(F12), ISTEXT(INDEX(L12:M12, $I$4))), 0, F12 - INDEX(L12:M12, $I$4))</f>
        <v>0</v>
      </c>
      <c r="L12" s="383"/>
      <c r="M12" s="3">
        <v>55</v>
      </c>
      <c r="N12" s="383"/>
      <c r="P12" s="1092"/>
      <c r="Q12" s="1092"/>
      <c r="R12" s="1092"/>
      <c r="S12" s="1092"/>
      <c r="T12" s="1092"/>
      <c r="U12" s="1092"/>
      <c r="V12" s="1092"/>
      <c r="W12" s="1092"/>
      <c r="X12" s="1092"/>
      <c r="Y12" s="1092"/>
    </row>
    <row r="13" spans="1:25" s="59" customFormat="1" x14ac:dyDescent="0.3">
      <c r="B13" s="376"/>
      <c r="E13" s="74" t="str">
        <f xml:space="preserve"> Dashboard!B$11</f>
        <v>Price sensitivity</v>
      </c>
      <c r="F13" s="74">
        <f xml:space="preserve"> Dashboard!C$11</f>
        <v>1</v>
      </c>
      <c r="G13" s="74" t="str">
        <f xml:space="preserve"> Dashboard!D$11</f>
        <v>factor</v>
      </c>
      <c r="I13" s="465">
        <f xml:space="preserve"> IF(ABS(J13) &gt; CHK_TOL, 1, 0)</f>
        <v>0</v>
      </c>
      <c r="J13" s="382">
        <f t="shared" si="1"/>
        <v>0</v>
      </c>
      <c r="L13" s="383"/>
      <c r="M13" s="59">
        <v>1</v>
      </c>
      <c r="N13" s="383"/>
      <c r="P13" s="1089" t="str">
        <f>Translate!E915</f>
        <v>1. Select column M</v>
      </c>
      <c r="Q13" s="1089"/>
      <c r="R13" s="1089"/>
      <c r="S13" s="1089"/>
      <c r="T13" s="1089"/>
      <c r="U13" s="1089"/>
      <c r="V13" s="1089"/>
      <c r="W13" s="1089"/>
      <c r="X13" s="1089"/>
      <c r="Y13" s="1089"/>
    </row>
    <row r="14" spans="1:25" s="59" customFormat="1" ht="15" customHeight="1" x14ac:dyDescent="0.3">
      <c r="B14" s="376"/>
      <c r="E14" s="74" t="str">
        <f xml:space="preserve"> Dashboard!B$12</f>
        <v>Production sensitivity</v>
      </c>
      <c r="F14" s="74">
        <f xml:space="preserve"> Dashboard!C$12</f>
        <v>1</v>
      </c>
      <c r="G14" s="74" t="str">
        <f xml:space="preserve"> Dashboard!D$12</f>
        <v>factor</v>
      </c>
      <c r="I14" s="465">
        <f t="shared" si="0"/>
        <v>0</v>
      </c>
      <c r="J14" s="382">
        <f t="shared" si="1"/>
        <v>0</v>
      </c>
      <c r="L14" s="383"/>
      <c r="M14" s="59">
        <v>1</v>
      </c>
      <c r="N14" s="383"/>
      <c r="P14" s="1089" t="str">
        <f>Translate!E916</f>
        <v>2. Copy column M and immediately Right click insert copied cells. This duplicates the existing saved results set</v>
      </c>
      <c r="Q14" s="1089"/>
      <c r="R14" s="1089"/>
      <c r="S14" s="1089"/>
      <c r="T14" s="1089"/>
      <c r="U14" s="1089"/>
      <c r="V14" s="1089"/>
      <c r="W14" s="1089"/>
      <c r="X14" s="1089"/>
      <c r="Y14" s="1089"/>
    </row>
    <row r="15" spans="1:25" s="59" customFormat="1" ht="15" customHeight="1" x14ac:dyDescent="0.3">
      <c r="B15" s="376"/>
      <c r="E15" s="74" t="str">
        <f xml:space="preserve"> Dashboard!B$13</f>
        <v>Exploration cost sensitivity</v>
      </c>
      <c r="F15" s="74">
        <f xml:space="preserve"> Dashboard!C$13</f>
        <v>1</v>
      </c>
      <c r="G15" s="74" t="str">
        <f xml:space="preserve"> Dashboard!D$13</f>
        <v>factor</v>
      </c>
      <c r="I15" s="465">
        <f t="shared" si="0"/>
        <v>0</v>
      </c>
      <c r="J15" s="382">
        <f t="shared" si="1"/>
        <v>0</v>
      </c>
      <c r="L15" s="383"/>
      <c r="M15" s="59">
        <v>1</v>
      </c>
      <c r="N15" s="383"/>
      <c r="P15" s="1089" t="str">
        <f>Translate!E917</f>
        <v>3. Now copy the live results from column F between Row 5 and 109 (i.e. each gray row)</v>
      </c>
      <c r="Q15" s="1089"/>
      <c r="R15" s="1089"/>
      <c r="S15" s="1089"/>
      <c r="T15" s="1089"/>
      <c r="U15" s="1089"/>
      <c r="V15" s="1089"/>
      <c r="W15" s="1089"/>
      <c r="X15" s="1089"/>
      <c r="Y15" s="1089"/>
    </row>
    <row r="16" spans="1:25" s="59" customFormat="1" ht="15" customHeight="1" x14ac:dyDescent="0.3">
      <c r="B16" s="376"/>
      <c r="E16" s="74" t="str">
        <f xml:space="preserve"> Dashboard!B$14</f>
        <v xml:space="preserve">Capex sensitivity (Dev; Replace; Decomm.) </v>
      </c>
      <c r="F16" s="74">
        <f xml:space="preserve"> Dashboard!C$14</f>
        <v>1</v>
      </c>
      <c r="G16" s="74" t="str">
        <f xml:space="preserve"> Dashboard!D$14</f>
        <v>factor</v>
      </c>
      <c r="I16" s="465">
        <f t="shared" si="0"/>
        <v>0</v>
      </c>
      <c r="J16" s="382">
        <f t="shared" si="1"/>
        <v>0</v>
      </c>
      <c r="L16" s="383"/>
      <c r="M16" s="59">
        <v>1</v>
      </c>
      <c r="N16" s="383"/>
      <c r="P16" s="1089" t="str">
        <f>Translate!E918</f>
        <v>4. Paste as values over the newly created duplicate saved results</v>
      </c>
      <c r="Q16" s="1089"/>
      <c r="R16" s="1089"/>
      <c r="S16" s="1089"/>
      <c r="T16" s="1089"/>
      <c r="U16" s="1089"/>
      <c r="V16" s="1089"/>
      <c r="W16" s="1089"/>
      <c r="X16" s="1089"/>
      <c r="Y16" s="1089"/>
    </row>
    <row r="17" spans="2:25" s="59" customFormat="1" ht="15" customHeight="1" x14ac:dyDescent="0.3">
      <c r="B17" s="376"/>
      <c r="E17" s="74" t="str">
        <f xml:space="preserve"> Dashboard!B$15</f>
        <v>Operating cost sensitivity</v>
      </c>
      <c r="F17" s="74">
        <f xml:space="preserve"> Dashboard!C$15</f>
        <v>1</v>
      </c>
      <c r="G17" s="74" t="str">
        <f xml:space="preserve"> Dashboard!D$15</f>
        <v>factor</v>
      </c>
      <c r="I17" s="465">
        <f t="shared" si="0"/>
        <v>0</v>
      </c>
      <c r="J17" s="382">
        <f t="shared" si="1"/>
        <v>0</v>
      </c>
      <c r="L17" s="383"/>
      <c r="M17" s="59">
        <v>1</v>
      </c>
      <c r="N17" s="383"/>
      <c r="P17" s="1089" t="str">
        <f>Translate!E919</f>
        <v>5. Rename the new saved results case in row 4</v>
      </c>
      <c r="Q17" s="1089"/>
      <c r="R17" s="1089"/>
      <c r="S17" s="1089"/>
      <c r="T17" s="1089"/>
      <c r="U17" s="1089"/>
      <c r="V17" s="1089"/>
      <c r="W17" s="1089"/>
      <c r="X17" s="1089"/>
      <c r="Y17" s="1089"/>
    </row>
    <row r="18" spans="2:25" ht="15" customHeight="1" x14ac:dyDescent="0.3">
      <c r="L18" s="383"/>
      <c r="N18" s="383"/>
      <c r="P18" s="1089" t="str">
        <f>Translate!E920</f>
        <v>6. Track sheet will show differences between live results and saved case selected at E2</v>
      </c>
      <c r="Q18" s="1089"/>
      <c r="R18" s="1089"/>
      <c r="S18" s="1089"/>
      <c r="T18" s="1089"/>
      <c r="U18" s="1089"/>
      <c r="V18" s="1089"/>
      <c r="W18" s="1089"/>
      <c r="X18" s="1089"/>
      <c r="Y18" s="1089"/>
    </row>
    <row r="19" spans="2:25" ht="15" customHeight="1" x14ac:dyDescent="0.3">
      <c r="B19" s="282" t="str">
        <f xml:space="preserve"> Analysis!$C$129</f>
        <v>Project participants: full-cycle, real</v>
      </c>
      <c r="L19" s="383"/>
      <c r="N19" s="383"/>
      <c r="P19" s="1091" t="str">
        <f>Translate!E921</f>
        <v>7. Additional results and/or parameters can be added to results set. For example, fiscal parameters for baseline mission country regime could be captured to ensure no inadvertent changes</v>
      </c>
      <c r="Q19" s="1091"/>
      <c r="R19" s="1091"/>
      <c r="S19" s="1091"/>
      <c r="T19" s="1091"/>
      <c r="U19" s="1091"/>
      <c r="V19" s="1091"/>
      <c r="W19" s="1091"/>
      <c r="X19" s="1091"/>
      <c r="Y19" s="1091"/>
    </row>
    <row r="20" spans="2:25" ht="15" customHeight="1" x14ac:dyDescent="0.3">
      <c r="E20" s="40" t="str">
        <f xml:space="preserve"> Dashboard!F$6</f>
        <v>Project</v>
      </c>
      <c r="F20" s="40">
        <f ca="1" xml:space="preserve"> Dashboard!I$6</f>
        <v>29282.023863224542</v>
      </c>
      <c r="G20" s="40" t="str">
        <f xml:space="preserve"> Dashboard!$I$3</f>
        <v>US$ mn 2021</v>
      </c>
      <c r="I20" s="465">
        <f ca="1" xml:space="preserve"> IF(ABS(J20) &gt; CHK_TOL, 1, 0)</f>
        <v>0</v>
      </c>
      <c r="J20" s="382">
        <f t="shared" ref="J20:J29" ca="1" si="2" xml:space="preserve"> IF(OR(ISTEXT(F20), ISTEXT(INDEX(L20:M20, $I$4))), 0, F20 - INDEX(L20:M20, $I$4))</f>
        <v>0</v>
      </c>
      <c r="L20" s="383"/>
      <c r="M20" s="3">
        <v>29282.023863224542</v>
      </c>
      <c r="N20" s="383"/>
      <c r="P20" s="1091"/>
      <c r="Q20" s="1091"/>
      <c r="R20" s="1091"/>
      <c r="S20" s="1091"/>
      <c r="T20" s="1091"/>
      <c r="U20" s="1091"/>
      <c r="V20" s="1091"/>
      <c r="W20" s="1091"/>
      <c r="X20" s="1091"/>
      <c r="Y20" s="1091"/>
    </row>
    <row r="21" spans="2:25" x14ac:dyDescent="0.3">
      <c r="E21" s="40" t="str">
        <f xml:space="preserve"> Dashboard!F$7</f>
        <v>IOC</v>
      </c>
      <c r="F21" s="40">
        <f ca="1" xml:space="preserve"> Dashboard!I$7</f>
        <v>8704.1330285901367</v>
      </c>
      <c r="G21" s="40" t="str">
        <f xml:space="preserve"> Dashboard!$I$3</f>
        <v>US$ mn 2021</v>
      </c>
      <c r="I21" s="465">
        <f t="shared" ref="I21:I29" ca="1" si="3" xml:space="preserve"> IF(ABS(J21) &gt; CHK_TOL, 1, 0)</f>
        <v>0</v>
      </c>
      <c r="J21" s="382">
        <f t="shared" ca="1" si="2"/>
        <v>0</v>
      </c>
      <c r="L21" s="383"/>
      <c r="M21" s="3">
        <v>8704.1330285901367</v>
      </c>
      <c r="N21" s="383"/>
      <c r="P21" s="1090"/>
      <c r="Q21" s="1090"/>
      <c r="R21" s="1090"/>
      <c r="S21" s="1090"/>
      <c r="T21" s="1090"/>
      <c r="U21" s="1090"/>
      <c r="V21" s="1090"/>
      <c r="W21" s="1090"/>
      <c r="X21" s="1090"/>
      <c r="Y21" s="1090"/>
    </row>
    <row r="22" spans="2:25" x14ac:dyDescent="0.3">
      <c r="E22" s="40" t="str">
        <f xml:space="preserve"> Dashboard!F$8</f>
        <v>Lender</v>
      </c>
      <c r="F22" s="40">
        <f ca="1" xml:space="preserve"> Dashboard!I$8</f>
        <v>523.4019380701593</v>
      </c>
      <c r="G22" s="40" t="str">
        <f xml:space="preserve"> Dashboard!$I$3</f>
        <v>US$ mn 2021</v>
      </c>
      <c r="I22" s="465">
        <f t="shared" ca="1" si="3"/>
        <v>0</v>
      </c>
      <c r="J22" s="382">
        <f t="shared" ca="1" si="2"/>
        <v>0</v>
      </c>
      <c r="L22" s="383"/>
      <c r="M22" s="3">
        <v>523.4019380701593</v>
      </c>
      <c r="N22" s="383"/>
      <c r="P22" s="541"/>
      <c r="Q22" s="541"/>
      <c r="R22" s="541"/>
      <c r="S22" s="541"/>
      <c r="T22" s="541"/>
      <c r="U22" s="541"/>
      <c r="V22" s="541"/>
      <c r="W22" s="541"/>
      <c r="X22" s="541"/>
      <c r="Y22" s="541"/>
    </row>
    <row r="23" spans="2:25" x14ac:dyDescent="0.3">
      <c r="E23" s="40" t="str">
        <f xml:space="preserve"> Dashboard!F$9</f>
        <v>IOC + Lender</v>
      </c>
      <c r="F23" s="40">
        <f ca="1" xml:space="preserve"> Dashboard!I$9</f>
        <v>9227.534966660296</v>
      </c>
      <c r="G23" s="40" t="str">
        <f xml:space="preserve"> Dashboard!$I$3</f>
        <v>US$ mn 2021</v>
      </c>
      <c r="I23" s="465">
        <f t="shared" ca="1" si="3"/>
        <v>0</v>
      </c>
      <c r="J23" s="382">
        <f t="shared" ca="1" si="2"/>
        <v>0</v>
      </c>
      <c r="L23" s="383"/>
      <c r="M23" s="3">
        <v>9227.534966660296</v>
      </c>
      <c r="N23" s="383"/>
      <c r="P23" s="541"/>
      <c r="Q23" s="541"/>
      <c r="R23" s="541"/>
      <c r="S23" s="541"/>
      <c r="T23" s="541"/>
      <c r="U23" s="541"/>
      <c r="V23" s="541"/>
      <c r="W23" s="541"/>
      <c r="X23" s="541"/>
      <c r="Y23" s="541"/>
    </row>
    <row r="24" spans="2:25" x14ac:dyDescent="0.3">
      <c r="E24" s="40" t="str">
        <f xml:space="preserve"> Dashboard!F$10</f>
        <v>Government excl. participation</v>
      </c>
      <c r="F24" s="40">
        <f ca="1" xml:space="preserve"> Dashboard!I$10</f>
        <v>16056.404234002974</v>
      </c>
      <c r="G24" s="40" t="str">
        <f xml:space="preserve"> Dashboard!$I$3</f>
        <v>US$ mn 2021</v>
      </c>
      <c r="I24" s="465">
        <f t="shared" ca="1" si="3"/>
        <v>0</v>
      </c>
      <c r="J24" s="382">
        <f t="shared" ca="1" si="2"/>
        <v>0</v>
      </c>
      <c r="L24" s="383"/>
      <c r="M24" s="3">
        <v>16056.404234002974</v>
      </c>
      <c r="N24" s="383"/>
      <c r="P24" s="541"/>
      <c r="Q24" s="541"/>
      <c r="R24" s="541"/>
      <c r="S24" s="541"/>
      <c r="T24" s="541"/>
      <c r="U24" s="541"/>
      <c r="V24" s="541"/>
      <c r="W24" s="541"/>
      <c r="X24" s="541"/>
      <c r="Y24" s="541"/>
    </row>
    <row r="25" spans="2:25" x14ac:dyDescent="0.3">
      <c r="E25" s="40" t="str">
        <f xml:space="preserve"> Dashboard!F$11</f>
        <v>State participation</v>
      </c>
      <c r="F25" s="40">
        <f ca="1" xml:space="preserve"> Dashboard!I$11</f>
        <v>3982.9846625612686</v>
      </c>
      <c r="G25" s="40" t="str">
        <f xml:space="preserve"> Dashboard!$I$3</f>
        <v>US$ mn 2021</v>
      </c>
      <c r="I25" s="465">
        <f t="shared" ca="1" si="3"/>
        <v>0</v>
      </c>
      <c r="J25" s="382">
        <f t="shared" ca="1" si="2"/>
        <v>0</v>
      </c>
      <c r="L25" s="383"/>
      <c r="M25" s="3">
        <v>3982.9846625612686</v>
      </c>
      <c r="N25" s="383"/>
      <c r="P25" s="541"/>
      <c r="Q25" s="541"/>
      <c r="R25" s="541"/>
      <c r="S25" s="541"/>
      <c r="T25" s="541"/>
      <c r="U25" s="541"/>
      <c r="V25" s="541"/>
      <c r="W25" s="541"/>
      <c r="X25" s="541"/>
      <c r="Y25" s="541"/>
    </row>
    <row r="26" spans="2:25" x14ac:dyDescent="0.3">
      <c r="E26" s="40" t="str">
        <f xml:space="preserve"> Dashboard!F$12</f>
        <v>Government including participation</v>
      </c>
      <c r="F26" s="40">
        <f ca="1" xml:space="preserve"> Dashboard!I$12</f>
        <v>20039.388896564244</v>
      </c>
      <c r="G26" s="40" t="str">
        <f xml:space="preserve"> Dashboard!$I$3</f>
        <v>US$ mn 2021</v>
      </c>
      <c r="I26" s="465">
        <f t="shared" ca="1" si="3"/>
        <v>0</v>
      </c>
      <c r="J26" s="382">
        <f t="shared" ca="1" si="2"/>
        <v>0</v>
      </c>
      <c r="L26" s="383"/>
      <c r="M26" s="3">
        <v>20039.388896564244</v>
      </c>
      <c r="N26" s="383"/>
      <c r="P26" s="541"/>
      <c r="Q26" s="541"/>
      <c r="R26" s="541"/>
      <c r="S26" s="541"/>
      <c r="T26" s="541"/>
      <c r="U26" s="541"/>
      <c r="V26" s="541"/>
      <c r="W26" s="541"/>
      <c r="X26" s="541"/>
      <c r="Y26" s="541"/>
    </row>
    <row r="27" spans="2:25" x14ac:dyDescent="0.3">
      <c r="E27" s="40" t="str">
        <f xml:space="preserve"> Dashboard!F$15</f>
        <v>Net decommissioning fund</v>
      </c>
      <c r="F27" s="40">
        <f ca="1" xml:space="preserve"> Dashboard!I$15</f>
        <v>-15.100000000000165</v>
      </c>
      <c r="G27" s="40" t="str">
        <f xml:space="preserve"> Dashboard!$I$3</f>
        <v>US$ mn 2021</v>
      </c>
      <c r="I27" s="465">
        <f t="shared" ca="1" si="3"/>
        <v>0</v>
      </c>
      <c r="J27" s="382">
        <f t="shared" ca="1" si="2"/>
        <v>0</v>
      </c>
      <c r="L27" s="383"/>
      <c r="M27" s="3">
        <v>-15.100000000000165</v>
      </c>
      <c r="N27" s="383"/>
    </row>
    <row r="28" spans="2:25" s="59" customFormat="1" x14ac:dyDescent="0.25">
      <c r="B28" s="376"/>
      <c r="E28" s="74" t="str">
        <f xml:space="preserve"> Dashboard!F$13</f>
        <v>Government share (AETR)</v>
      </c>
      <c r="F28" s="74">
        <f ca="1" xml:space="preserve"> Dashboard!I$13</f>
        <v>0.68435805496804558</v>
      </c>
      <c r="G28" s="40" t="str">
        <f xml:space="preserve"> Dashboard!$I$3</f>
        <v>US$ mn 2021</v>
      </c>
      <c r="I28" s="465">
        <f t="shared" ca="1" si="3"/>
        <v>0</v>
      </c>
      <c r="J28" s="387">
        <f t="shared" ca="1" si="2"/>
        <v>0</v>
      </c>
      <c r="L28" s="385"/>
      <c r="M28" s="59">
        <v>0.68435805496804558</v>
      </c>
      <c r="N28" s="385"/>
    </row>
    <row r="29" spans="2:25" s="59" customFormat="1" x14ac:dyDescent="0.25">
      <c r="B29" s="376"/>
      <c r="E29" s="74" t="str">
        <f xml:space="preserve"> Dashboard!F$14</f>
        <v>Government share of project benefits</v>
      </c>
      <c r="F29" s="74">
        <f ca="1" xml:space="preserve"> Dashboard!I$14</f>
        <v>0.51711851146906207</v>
      </c>
      <c r="G29" s="40" t="str">
        <f xml:space="preserve"> Dashboard!$I$3</f>
        <v>US$ mn 2021</v>
      </c>
      <c r="I29" s="465">
        <f t="shared" ca="1" si="3"/>
        <v>0</v>
      </c>
      <c r="J29" s="387">
        <f t="shared" ca="1" si="2"/>
        <v>0</v>
      </c>
      <c r="L29" s="385"/>
      <c r="M29" s="59">
        <v>0.51711851146906207</v>
      </c>
      <c r="N29" s="385"/>
    </row>
    <row r="30" spans="2:25" x14ac:dyDescent="0.3">
      <c r="L30" s="383"/>
      <c r="N30" s="383"/>
    </row>
    <row r="31" spans="2:25" x14ac:dyDescent="0.3">
      <c r="B31" s="282" t="str">
        <f xml:space="preserve"> Analysis!B$180</f>
        <v>Project participants: full-cycle, real, NPV8</v>
      </c>
      <c r="L31" s="383"/>
      <c r="N31" s="383"/>
    </row>
    <row r="32" spans="2:25" x14ac:dyDescent="0.3">
      <c r="E32" s="40" t="str">
        <f xml:space="preserve"> Dashboard!F$6</f>
        <v>Project</v>
      </c>
      <c r="F32" s="40">
        <f ca="1" xml:space="preserve"> Dashboard!K$6</f>
        <v>9993.7794756460353</v>
      </c>
      <c r="G32" s="40" t="str">
        <f xml:space="preserve"> Dashboard!$K$3</f>
        <v>US$ mn NPV 8.0 real</v>
      </c>
      <c r="I32" s="465">
        <f ca="1" xml:space="preserve"> IF(ABS(J32) &gt; CHK_TOL, 1, 0)</f>
        <v>0</v>
      </c>
      <c r="J32" s="382">
        <f t="shared" ref="J32:J41" ca="1" si="4" xml:space="preserve"> IF(OR(ISTEXT(F32), ISTEXT(INDEX(L32:M32, $I$4))), 0, F32 - INDEX(L32:M32, $I$4))</f>
        <v>0</v>
      </c>
      <c r="L32" s="383"/>
      <c r="M32" s="3">
        <v>9993.7794756460353</v>
      </c>
      <c r="N32" s="383"/>
    </row>
    <row r="33" spans="2:14" x14ac:dyDescent="0.3">
      <c r="E33" s="40" t="str">
        <f xml:space="preserve"> Dashboard!F$7</f>
        <v>IOC</v>
      </c>
      <c r="F33" s="40">
        <f ca="1" xml:space="preserve"> Dashboard!K$7</f>
        <v>2826.9198732996342</v>
      </c>
      <c r="G33" s="40" t="str">
        <f xml:space="preserve"> Dashboard!$K$3</f>
        <v>US$ mn NPV 8.0 real</v>
      </c>
      <c r="I33" s="465">
        <f t="shared" ref="I33:I41" ca="1" si="5" xml:space="preserve"> IF(ABS(J33) &gt; CHK_TOL, 1, 0)</f>
        <v>0</v>
      </c>
      <c r="J33" s="382">
        <f t="shared" ca="1" si="4"/>
        <v>0</v>
      </c>
      <c r="L33" s="383"/>
      <c r="M33" s="3">
        <v>2826.9198732996342</v>
      </c>
      <c r="N33" s="383"/>
    </row>
    <row r="34" spans="2:14" x14ac:dyDescent="0.3">
      <c r="E34" s="40" t="str">
        <f xml:space="preserve"> Dashboard!F$8</f>
        <v>Lender</v>
      </c>
      <c r="F34" s="40">
        <f ca="1" xml:space="preserve"> Dashboard!K$8</f>
        <v>-466.14241440768484</v>
      </c>
      <c r="G34" s="40" t="str">
        <f xml:space="preserve"> Dashboard!$K$3</f>
        <v>US$ mn NPV 8.0 real</v>
      </c>
      <c r="I34" s="465">
        <f t="shared" ca="1" si="5"/>
        <v>0</v>
      </c>
      <c r="J34" s="382">
        <f t="shared" ca="1" si="4"/>
        <v>0</v>
      </c>
      <c r="L34" s="383"/>
      <c r="M34" s="3">
        <v>-466.14241440768484</v>
      </c>
      <c r="N34" s="383"/>
    </row>
    <row r="35" spans="2:14" x14ac:dyDescent="0.3">
      <c r="E35" s="40" t="str">
        <f xml:space="preserve"> Dashboard!F$9</f>
        <v>IOC + Lender</v>
      </c>
      <c r="F35" s="40">
        <f ca="1" xml:space="preserve"> Dashboard!K$9</f>
        <v>2360.7774588919497</v>
      </c>
      <c r="G35" s="40" t="str">
        <f xml:space="preserve"> Dashboard!$K$3</f>
        <v>US$ mn NPV 8.0 real</v>
      </c>
      <c r="I35" s="465">
        <f t="shared" ca="1" si="5"/>
        <v>0</v>
      </c>
      <c r="J35" s="382">
        <f t="shared" ca="1" si="4"/>
        <v>0</v>
      </c>
      <c r="L35" s="383"/>
      <c r="M35" s="3">
        <v>2360.7774588919497</v>
      </c>
      <c r="N35" s="383"/>
    </row>
    <row r="36" spans="2:14" x14ac:dyDescent="0.3">
      <c r="E36" s="40" t="str">
        <f xml:space="preserve"> Dashboard!F$10</f>
        <v>Government excl. participation</v>
      </c>
      <c r="F36" s="40">
        <f ca="1" xml:space="preserve"> Dashboard!K$10</f>
        <v>6243.0321694016075</v>
      </c>
      <c r="G36" s="40" t="str">
        <f xml:space="preserve"> Dashboard!$K$3</f>
        <v>US$ mn NPV 8.0 real</v>
      </c>
      <c r="I36" s="465">
        <f t="shared" ca="1" si="5"/>
        <v>0</v>
      </c>
      <c r="J36" s="382">
        <f t="shared" ca="1" si="4"/>
        <v>0</v>
      </c>
      <c r="L36" s="383"/>
      <c r="M36" s="3">
        <v>6243.0321694016075</v>
      </c>
      <c r="N36" s="383"/>
    </row>
    <row r="37" spans="2:14" x14ac:dyDescent="0.3">
      <c r="E37" s="40" t="str">
        <f xml:space="preserve"> Dashboard!F$11</f>
        <v>State participation</v>
      </c>
      <c r="F37" s="40">
        <f ca="1" xml:space="preserve"> Dashboard!K$11</f>
        <v>1287.7447599378931</v>
      </c>
      <c r="G37" s="40" t="str">
        <f xml:space="preserve"> Dashboard!$K$3</f>
        <v>US$ mn NPV 8.0 real</v>
      </c>
      <c r="I37" s="465">
        <f t="shared" ca="1" si="5"/>
        <v>0</v>
      </c>
      <c r="J37" s="382">
        <f t="shared" ca="1" si="4"/>
        <v>0</v>
      </c>
      <c r="L37" s="383"/>
      <c r="M37" s="3">
        <v>1287.7447599378931</v>
      </c>
      <c r="N37" s="383"/>
    </row>
    <row r="38" spans="2:14" x14ac:dyDescent="0.3">
      <c r="E38" s="40" t="str">
        <f xml:space="preserve"> Dashboard!F$12</f>
        <v>Government including participation</v>
      </c>
      <c r="F38" s="40">
        <f ca="1" xml:space="preserve"> Dashboard!K$12</f>
        <v>7530.7769293395004</v>
      </c>
      <c r="G38" s="40" t="str">
        <f xml:space="preserve"> Dashboard!$K$3</f>
        <v>US$ mn NPV 8.0 real</v>
      </c>
      <c r="I38" s="465">
        <f t="shared" ca="1" si="5"/>
        <v>0</v>
      </c>
      <c r="J38" s="382">
        <f t="shared" ca="1" si="4"/>
        <v>0</v>
      </c>
      <c r="L38" s="383"/>
      <c r="M38" s="3">
        <v>7530.7769293395004</v>
      </c>
      <c r="N38" s="383"/>
    </row>
    <row r="39" spans="2:14" x14ac:dyDescent="0.3">
      <c r="E39" s="40" t="str">
        <f xml:space="preserve"> Dashboard!F$15</f>
        <v>Net decommissioning fund</v>
      </c>
      <c r="F39" s="40">
        <f ca="1" xml:space="preserve"> Dashboard!K$15</f>
        <v>-102.22508741458664</v>
      </c>
      <c r="G39" s="40" t="str">
        <f xml:space="preserve"> Dashboard!$K$3</f>
        <v>US$ mn NPV 8.0 real</v>
      </c>
      <c r="I39" s="465">
        <f t="shared" ca="1" si="5"/>
        <v>0</v>
      </c>
      <c r="J39" s="382">
        <f t="shared" ca="1" si="4"/>
        <v>0</v>
      </c>
      <c r="L39" s="383"/>
      <c r="M39" s="3">
        <v>-102.22508741458664</v>
      </c>
      <c r="N39" s="383"/>
    </row>
    <row r="40" spans="2:14" s="59" customFormat="1" x14ac:dyDescent="0.25">
      <c r="B40" s="376"/>
      <c r="E40" s="74" t="str">
        <f xml:space="preserve"> Dashboard!F$13</f>
        <v>Government share (AETR)</v>
      </c>
      <c r="F40" s="74">
        <f ca="1" xml:space="preserve"> Dashboard!K$13</f>
        <v>0.75354643833109825</v>
      </c>
      <c r="G40" s="74" t="str">
        <f xml:space="preserve"> Dashboard!$K$3</f>
        <v>US$ mn NPV 8.0 real</v>
      </c>
      <c r="I40" s="465">
        <f t="shared" ca="1" si="5"/>
        <v>0</v>
      </c>
      <c r="J40" s="387">
        <f t="shared" ca="1" si="4"/>
        <v>0</v>
      </c>
      <c r="L40" s="385"/>
      <c r="M40" s="59">
        <v>0.75354643833109825</v>
      </c>
      <c r="N40" s="385"/>
    </row>
    <row r="41" spans="2:14" s="59" customFormat="1" x14ac:dyDescent="0.25">
      <c r="B41" s="376"/>
      <c r="E41" s="74" t="str">
        <f xml:space="preserve"> Dashboard!F$14</f>
        <v>Government share of project benefits</v>
      </c>
      <c r="F41" s="74">
        <f ca="1" xml:space="preserve"> Dashboard!K$14</f>
        <v>0.47252242788692667</v>
      </c>
      <c r="G41" s="74" t="str">
        <f xml:space="preserve"> Dashboard!$K$3</f>
        <v>US$ mn NPV 8.0 real</v>
      </c>
      <c r="I41" s="465">
        <f t="shared" ca="1" si="5"/>
        <v>0</v>
      </c>
      <c r="J41" s="387">
        <f t="shared" ca="1" si="4"/>
        <v>0</v>
      </c>
      <c r="L41" s="385"/>
      <c r="M41" s="59">
        <v>0.47252242788692667</v>
      </c>
      <c r="N41" s="385"/>
    </row>
    <row r="42" spans="2:14" x14ac:dyDescent="0.3">
      <c r="L42" s="383"/>
      <c r="N42" s="383"/>
    </row>
    <row r="43" spans="2:14" x14ac:dyDescent="0.3">
      <c r="B43" s="386" t="str">
        <f>Translate!$E$701</f>
        <v>Project cashflows</v>
      </c>
      <c r="L43" s="383"/>
      <c r="N43" s="383"/>
    </row>
    <row r="44" spans="2:14" x14ac:dyDescent="0.3">
      <c r="E44" s="40" t="str">
        <f xml:space="preserve"> Dashboard!N$6</f>
        <v>Oil revenues gross, after ELT</v>
      </c>
      <c r="F44" s="40">
        <f ca="1" xml:space="preserve"> Dashboard!O$6</f>
        <v>44103.023863224538</v>
      </c>
      <c r="G44" s="40" t="str">
        <f xml:space="preserve"> Dashboard!$O$3</f>
        <v>US$ mn 2021</v>
      </c>
      <c r="I44" s="465">
        <f ca="1" xml:space="preserve"> IF(ABS(J44) &gt; CHK_TOL, 1, 0)</f>
        <v>0</v>
      </c>
      <c r="J44" s="382">
        <f t="shared" ref="J44:J52" ca="1" si="6" xml:space="preserve"> IF(OR(ISTEXT(F44), ISTEXT(INDEX(L44:M44, $I$4))), 0, F44 - INDEX(L44:M44, $I$4))</f>
        <v>0</v>
      </c>
      <c r="L44" s="383"/>
      <c r="M44" s="3">
        <v>44103.023863224538</v>
      </c>
      <c r="N44" s="383"/>
    </row>
    <row r="45" spans="2:14" x14ac:dyDescent="0.3">
      <c r="E45" s="40" t="str">
        <f xml:space="preserve"> Dashboard!N$7</f>
        <v>Transport costs post-fiscal point, after ELT</v>
      </c>
      <c r="F45" s="40">
        <f ca="1" xml:space="preserve"> Dashboard!O$7</f>
        <v>0</v>
      </c>
      <c r="G45" s="40" t="str">
        <f xml:space="preserve"> Dashboard!$O$3</f>
        <v>US$ mn 2021</v>
      </c>
      <c r="I45" s="465">
        <f t="shared" ref="I45:I52" ca="1" si="7" xml:space="preserve"> IF(ABS(J45) &gt; CHK_TOL, 1, 0)</f>
        <v>0</v>
      </c>
      <c r="J45" s="382">
        <f t="shared" ca="1" si="6"/>
        <v>0</v>
      </c>
      <c r="L45" s="383"/>
      <c r="M45" s="3">
        <v>0</v>
      </c>
      <c r="N45" s="383"/>
    </row>
    <row r="46" spans="2:14" x14ac:dyDescent="0.3">
      <c r="E46" s="40" t="str">
        <f xml:space="preserve"> Dashboard!N$8</f>
        <v>Net revenues after ELT</v>
      </c>
      <c r="F46" s="40">
        <f ca="1" xml:space="preserve"> Dashboard!O$8</f>
        <v>44103.023863224538</v>
      </c>
      <c r="G46" s="40" t="str">
        <f xml:space="preserve"> Dashboard!$O$3</f>
        <v>US$ mn 2021</v>
      </c>
      <c r="I46" s="465">
        <f t="shared" ca="1" si="7"/>
        <v>0</v>
      </c>
      <c r="J46" s="382">
        <f t="shared" ca="1" si="6"/>
        <v>0</v>
      </c>
      <c r="L46" s="383"/>
      <c r="M46" s="3">
        <v>44103.023863224538</v>
      </c>
      <c r="N46" s="383"/>
    </row>
    <row r="47" spans="2:14" x14ac:dyDescent="0.3">
      <c r="E47" s="40" t="str">
        <f xml:space="preserve"> Dashboard!N$10</f>
        <v>Exploration costs, after ELT</v>
      </c>
      <c r="F47" s="40">
        <f ca="1" xml:space="preserve"> Dashboard!O$10</f>
        <v>420</v>
      </c>
      <c r="G47" s="40" t="str">
        <f xml:space="preserve"> Dashboard!$O$3</f>
        <v>US$ mn 2021</v>
      </c>
      <c r="I47" s="465">
        <f t="shared" ca="1" si="7"/>
        <v>0</v>
      </c>
      <c r="J47" s="382">
        <f t="shared" ca="1" si="6"/>
        <v>0</v>
      </c>
      <c r="L47" s="383"/>
      <c r="M47" s="3">
        <v>420</v>
      </c>
      <c r="N47" s="383"/>
    </row>
    <row r="48" spans="2:14" x14ac:dyDescent="0.3">
      <c r="E48" s="40" t="str">
        <f xml:space="preserve"> Dashboard!N$11</f>
        <v>Development costs, after ELT</v>
      </c>
      <c r="F48" s="40">
        <f ca="1" xml:space="preserve"> Dashboard!O$11</f>
        <v>9050</v>
      </c>
      <c r="G48" s="40" t="str">
        <f xml:space="preserve"> Dashboard!$O$3</f>
        <v>US$ mn 2021</v>
      </c>
      <c r="I48" s="465">
        <f t="shared" ca="1" si="7"/>
        <v>0</v>
      </c>
      <c r="J48" s="382">
        <f t="shared" ca="1" si="6"/>
        <v>0</v>
      </c>
      <c r="L48" s="383"/>
      <c r="M48" s="3">
        <v>9050</v>
      </c>
      <c r="N48" s="383"/>
    </row>
    <row r="49" spans="1:25" x14ac:dyDescent="0.3">
      <c r="E49" s="40" t="str">
        <f xml:space="preserve"> Dashboard!N$12</f>
        <v>Replacement capital costs, after ELT</v>
      </c>
      <c r="F49" s="40">
        <f ca="1" xml:space="preserve"> Dashboard!O$12</f>
        <v>0</v>
      </c>
      <c r="G49" s="40" t="str">
        <f xml:space="preserve"> Dashboard!$O$3</f>
        <v>US$ mn 2021</v>
      </c>
      <c r="I49" s="465">
        <f t="shared" ca="1" si="7"/>
        <v>0</v>
      </c>
      <c r="J49" s="382">
        <f t="shared" ca="1" si="6"/>
        <v>0</v>
      </c>
      <c r="L49" s="383"/>
      <c r="M49" s="3">
        <v>0</v>
      </c>
      <c r="N49" s="383"/>
    </row>
    <row r="50" spans="1:25" x14ac:dyDescent="0.3">
      <c r="E50" s="40" t="str">
        <f xml:space="preserve"> Dashboard!N$13</f>
        <v>Operating costs, after ELT</v>
      </c>
      <c r="F50" s="40">
        <f ca="1" xml:space="preserve"> Dashboard!O$13</f>
        <v>4601</v>
      </c>
      <c r="G50" s="40" t="str">
        <f xml:space="preserve"> Dashboard!$O$3</f>
        <v>US$ mn 2021</v>
      </c>
      <c r="I50" s="465">
        <f t="shared" ca="1" si="7"/>
        <v>0</v>
      </c>
      <c r="J50" s="382">
        <f t="shared" ca="1" si="6"/>
        <v>0</v>
      </c>
      <c r="L50" s="383"/>
      <c r="M50" s="3">
        <v>4601</v>
      </c>
      <c r="N50" s="383"/>
    </row>
    <row r="51" spans="1:25" x14ac:dyDescent="0.3">
      <c r="E51" s="40" t="str">
        <f xml:space="preserve"> Dashboard!N$14</f>
        <v>Decommissioning costs, after ELT</v>
      </c>
      <c r="F51" s="40">
        <f ca="1" xml:space="preserve"> Dashboard!O$14</f>
        <v>750</v>
      </c>
      <c r="G51" s="40" t="str">
        <f xml:space="preserve"> Dashboard!$O$3</f>
        <v>US$ mn 2021</v>
      </c>
      <c r="I51" s="465">
        <f t="shared" ca="1" si="7"/>
        <v>0</v>
      </c>
      <c r="J51" s="382">
        <f t="shared" ca="1" si="6"/>
        <v>0</v>
      </c>
      <c r="L51" s="383"/>
      <c r="M51" s="3">
        <v>750</v>
      </c>
      <c r="N51" s="383"/>
    </row>
    <row r="52" spans="1:25" x14ac:dyDescent="0.3">
      <c r="E52" s="40" t="str">
        <f xml:space="preserve"> Dashboard!N$15</f>
        <v>Project costs</v>
      </c>
      <c r="F52" s="40">
        <f ca="1" xml:space="preserve"> Dashboard!O$15</f>
        <v>14821</v>
      </c>
      <c r="G52" s="40" t="str">
        <f xml:space="preserve"> Dashboard!$O$3</f>
        <v>US$ mn 2021</v>
      </c>
      <c r="I52" s="465">
        <f t="shared" ca="1" si="7"/>
        <v>0</v>
      </c>
      <c r="J52" s="382">
        <f t="shared" ca="1" si="6"/>
        <v>0</v>
      </c>
      <c r="L52" s="383"/>
      <c r="M52" s="3">
        <v>14821</v>
      </c>
      <c r="N52" s="383"/>
    </row>
    <row r="53" spans="1:25" x14ac:dyDescent="0.3">
      <c r="L53" s="383"/>
      <c r="N53" s="383"/>
    </row>
    <row r="54" spans="1:25" x14ac:dyDescent="0.3">
      <c r="E54" s="40" t="str">
        <f xml:space="preserve"> Dashboard!N$17</f>
        <v>Cashflow before decommissioning fund</v>
      </c>
      <c r="F54" s="40">
        <f ca="1" xml:space="preserve"> Dashboard!O$17</f>
        <v>29282.023863224542</v>
      </c>
      <c r="G54" s="40" t="str">
        <f xml:space="preserve"> Dashboard!$O$3</f>
        <v>US$ mn 2021</v>
      </c>
      <c r="I54" s="465">
        <f ca="1" xml:space="preserve"> IF(ABS(J54) &gt; CHK_TOL, 1, 0)</f>
        <v>0</v>
      </c>
      <c r="J54" s="382">
        <f ca="1" xml:space="preserve"> IF(OR(ISTEXT(F54), ISTEXT(INDEX(L54:M54, $I$4))), 0, F54 - INDEX(L54:M54, $I$4))</f>
        <v>0</v>
      </c>
      <c r="L54" s="383"/>
      <c r="M54" s="3">
        <v>29282.023863224542</v>
      </c>
      <c r="N54" s="383"/>
    </row>
    <row r="55" spans="1:25" x14ac:dyDescent="0.3">
      <c r="L55" s="383"/>
      <c r="N55" s="383"/>
    </row>
    <row r="56" spans="1:25" customFormat="1" ht="12.75" customHeight="1" x14ac:dyDescent="0.25">
      <c r="A56" s="374" t="str">
        <f>Translate!$E$762</f>
        <v>Primary fiscal regime results</v>
      </c>
      <c r="B56" s="374"/>
      <c r="C56" s="374"/>
      <c r="D56" s="374"/>
      <c r="E56" s="374"/>
      <c r="F56" s="374"/>
      <c r="G56" s="374"/>
      <c r="H56" s="374"/>
      <c r="I56" s="464"/>
      <c r="J56" s="374"/>
      <c r="K56" s="374"/>
      <c r="L56" s="374"/>
      <c r="M56" s="374"/>
      <c r="N56" s="374"/>
      <c r="O56" s="374"/>
      <c r="P56" s="374"/>
      <c r="Q56" s="374"/>
      <c r="R56" s="374"/>
      <c r="S56" s="374"/>
      <c r="T56" s="374"/>
      <c r="U56" s="374"/>
      <c r="V56" s="374"/>
      <c r="W56" s="374"/>
      <c r="X56" s="374"/>
      <c r="Y56" s="374"/>
    </row>
    <row r="57" spans="1:25" x14ac:dyDescent="0.3">
      <c r="L57" s="383"/>
      <c r="N57" s="383"/>
    </row>
    <row r="58" spans="1:25" x14ac:dyDescent="0.3">
      <c r="E58" s="40" t="str">
        <f xml:space="preserve"> Dashboard!B$6</f>
        <v>Fiscal regime selected</v>
      </c>
      <c r="F58" s="40" t="str">
        <f xml:space="preserve"> Dashboard!C$6</f>
        <v>Royalty + CIT</v>
      </c>
      <c r="G58" s="40" t="str">
        <f xml:space="preserve"> Dashboard!D$6</f>
        <v>Option</v>
      </c>
      <c r="I58" s="465">
        <f xml:space="preserve"> IF(ABS(J58) &gt; CHK_TOL, 1, 0)</f>
        <v>0</v>
      </c>
      <c r="J58" s="382">
        <f xml:space="preserve"> IF(F58=INDEX(L58:M58, $I$4), 0, 1)</f>
        <v>0</v>
      </c>
      <c r="L58" s="383"/>
      <c r="M58" s="3" t="s">
        <v>20</v>
      </c>
      <c r="N58" s="383"/>
    </row>
    <row r="59" spans="1:25" x14ac:dyDescent="0.3">
      <c r="L59" s="383"/>
      <c r="N59" s="383"/>
    </row>
    <row r="60" spans="1:25" x14ac:dyDescent="0.3">
      <c r="E60" s="3" t="str">
        <f xml:space="preserve"> Dashboard!N$20</f>
        <v>Bonuses</v>
      </c>
      <c r="F60" s="3">
        <f ca="1" xml:space="preserve"> Dashboard!O$20</f>
        <v>56.192271301325711</v>
      </c>
      <c r="G60" s="3" t="str">
        <f xml:space="preserve"> Dashboard!$O$19</f>
        <v>US$ mn 2021</v>
      </c>
      <c r="I60" s="465">
        <f t="shared" ref="I60:I72" ca="1" si="8" xml:space="preserve"> IF(ABS(J60) &gt; CHK_TOL, 1, 0)</f>
        <v>0</v>
      </c>
      <c r="J60" s="382">
        <f t="shared" ref="J60:J72" ca="1" si="9" xml:space="preserve"> IF(OR(ISTEXT(F60), ISTEXT(INDEX(L60:M60, $I$4))), 0, F60 - INDEX(L60:M60, $I$4))</f>
        <v>0</v>
      </c>
      <c r="L60" s="383"/>
      <c r="M60" s="3">
        <v>56.192271301325711</v>
      </c>
      <c r="N60" s="383"/>
    </row>
    <row r="61" spans="1:25" x14ac:dyDescent="0.3">
      <c r="E61" s="3" t="str">
        <f xml:space="preserve"> Dashboard!N$21</f>
        <v>Royalty</v>
      </c>
      <c r="F61" s="3">
        <f ca="1" xml:space="preserve"> Dashboard!O$21</f>
        <v>8820.6047726449069</v>
      </c>
      <c r="G61" s="3" t="str">
        <f xml:space="preserve"> Dashboard!$O$19</f>
        <v>US$ mn 2021</v>
      </c>
      <c r="I61" s="465">
        <f ca="1" xml:space="preserve"> IF(ABS(J61) &gt; CHK_TOL, 1, 0)</f>
        <v>0</v>
      </c>
      <c r="J61" s="382">
        <f t="shared" ca="1" si="9"/>
        <v>0</v>
      </c>
      <c r="L61" s="383"/>
      <c r="M61" s="3">
        <v>8820.6047726449069</v>
      </c>
      <c r="N61" s="383"/>
    </row>
    <row r="62" spans="1:25" x14ac:dyDescent="0.3">
      <c r="E62" s="3" t="str">
        <f xml:space="preserve"> Dashboard!N$22</f>
        <v>Carbon tax</v>
      </c>
      <c r="F62" s="3">
        <f ca="1" xml:space="preserve"> Dashboard!O$22</f>
        <v>788.47391027310312</v>
      </c>
      <c r="G62" s="3" t="str">
        <f xml:space="preserve"> Dashboard!$O$19</f>
        <v>US$ mn 2021</v>
      </c>
      <c r="I62" s="465">
        <f ca="1" xml:space="preserve"> IF(ABS(J62) &gt; CHK_TOL, 1, 0)</f>
        <v>0</v>
      </c>
      <c r="J62" s="382">
        <f t="shared" ca="1" si="9"/>
        <v>0</v>
      </c>
      <c r="L62" s="383"/>
      <c r="M62" s="3">
        <v>788.47391027310312</v>
      </c>
      <c r="N62" s="383"/>
    </row>
    <row r="63" spans="1:25" x14ac:dyDescent="0.3">
      <c r="E63" s="3" t="str">
        <f xml:space="preserve"> Dashboard!N$23</f>
        <v>PSC: Government profit oil</v>
      </c>
      <c r="F63" s="3">
        <f ca="1" xml:space="preserve"> Dashboard!O$23</f>
        <v>0</v>
      </c>
      <c r="G63" s="3" t="str">
        <f xml:space="preserve"> Dashboard!$O$19</f>
        <v>US$ mn 2021</v>
      </c>
      <c r="I63" s="465">
        <f t="shared" ca="1" si="8"/>
        <v>0</v>
      </c>
      <c r="J63" s="382">
        <f t="shared" ca="1" si="9"/>
        <v>0</v>
      </c>
      <c r="L63" s="383"/>
      <c r="M63" s="3">
        <v>0</v>
      </c>
      <c r="N63" s="383"/>
    </row>
    <row r="64" spans="1:25" x14ac:dyDescent="0.3">
      <c r="E64" s="3" t="str">
        <f xml:space="preserve"> Dashboard!N$24</f>
        <v>CIT paid: IOC</v>
      </c>
      <c r="F64" s="3">
        <f ca="1" xml:space="preserve"> Dashboard!O$24</f>
        <v>5284.9099061807456</v>
      </c>
      <c r="G64" s="3" t="str">
        <f xml:space="preserve"> Dashboard!$O$19</f>
        <v>US$ mn 2021</v>
      </c>
      <c r="I64" s="465">
        <f t="shared" ca="1" si="8"/>
        <v>0</v>
      </c>
      <c r="J64" s="382">
        <f t="shared" ca="1" si="9"/>
        <v>0</v>
      </c>
      <c r="L64" s="383"/>
      <c r="M64" s="3">
        <v>5284.9099061807456</v>
      </c>
      <c r="N64" s="383"/>
    </row>
    <row r="65" spans="1:25" x14ac:dyDescent="0.3">
      <c r="E65" s="3" t="str">
        <f xml:space="preserve"> Dashboard!N$25</f>
        <v>Resource rent tax: IOC</v>
      </c>
      <c r="F65" s="3">
        <f ca="1" xml:space="preserve"> Dashboard!O$25</f>
        <v>0</v>
      </c>
      <c r="G65" s="3" t="str">
        <f xml:space="preserve"> Dashboard!$O$19</f>
        <v>US$ mn 2021</v>
      </c>
      <c r="I65" s="465">
        <f t="shared" ca="1" si="8"/>
        <v>0</v>
      </c>
      <c r="J65" s="382">
        <f t="shared" ca="1" si="9"/>
        <v>0</v>
      </c>
      <c r="L65" s="383"/>
      <c r="M65" s="3">
        <v>0</v>
      </c>
      <c r="N65" s="383"/>
    </row>
    <row r="66" spans="1:25" x14ac:dyDescent="0.3">
      <c r="E66" s="3" t="str">
        <f xml:space="preserve"> Dashboard!N$26</f>
        <v>Dividend withholding tax</v>
      </c>
      <c r="F66" s="3">
        <f ca="1" xml:space="preserve"> Dashboard!O$26</f>
        <v>1013.9780597960219</v>
      </c>
      <c r="G66" s="3" t="str">
        <f xml:space="preserve"> Dashboard!$O$19</f>
        <v>US$ mn 2021</v>
      </c>
      <c r="I66" s="465">
        <f t="shared" ca="1" si="8"/>
        <v>0</v>
      </c>
      <c r="J66" s="382">
        <f t="shared" ca="1" si="9"/>
        <v>0</v>
      </c>
      <c r="L66" s="383"/>
      <c r="M66" s="3">
        <v>1013.9780597960219</v>
      </c>
      <c r="N66" s="383"/>
    </row>
    <row r="67" spans="1:25" x14ac:dyDescent="0.3">
      <c r="E67" s="3" t="str">
        <f xml:space="preserve"> Dashboard!N$27</f>
        <v>Interest withholding tax</v>
      </c>
      <c r="F67" s="3">
        <f ca="1" xml:space="preserve"> Dashboard!O$27</f>
        <v>92.245313806865923</v>
      </c>
      <c r="G67" s="3" t="str">
        <f xml:space="preserve"> Dashboard!$O$19</f>
        <v>US$ mn 2021</v>
      </c>
      <c r="I67" s="465">
        <f t="shared" ca="1" si="8"/>
        <v>0</v>
      </c>
      <c r="J67" s="382">
        <f t="shared" ca="1" si="9"/>
        <v>0</v>
      </c>
      <c r="L67" s="383"/>
      <c r="M67" s="3">
        <v>92.245313806865923</v>
      </c>
      <c r="N67" s="383"/>
    </row>
    <row r="68" spans="1:25" x14ac:dyDescent="0.3">
      <c r="E68" s="3" t="str">
        <f xml:space="preserve"> Dashboard!N$28</f>
        <v>VAT cashflow: government</v>
      </c>
      <c r="F68" s="3">
        <f ca="1" xml:space="preserve"> Dashboard!O$28</f>
        <v>0</v>
      </c>
      <c r="G68" s="3" t="str">
        <f xml:space="preserve"> Dashboard!$O$19</f>
        <v>US$ mn 2021</v>
      </c>
      <c r="I68" s="465">
        <f ca="1" xml:space="preserve"> IF(ABS(J68) &gt; CHK_TOL, 1, 0)</f>
        <v>0</v>
      </c>
      <c r="J68" s="382">
        <f t="shared" ca="1" si="9"/>
        <v>0</v>
      </c>
      <c r="L68" s="383"/>
      <c r="M68" s="3">
        <v>0</v>
      </c>
      <c r="N68" s="383"/>
    </row>
    <row r="69" spans="1:25" x14ac:dyDescent="0.3">
      <c r="E69" s="3" t="str">
        <f xml:space="preserve"> Dashboard!N$29</f>
        <v>Government revenues excluding participation</v>
      </c>
      <c r="F69" s="3">
        <f ca="1" xml:space="preserve"> Dashboard!O$29</f>
        <v>16056.404234002975</v>
      </c>
      <c r="G69" s="3" t="str">
        <f xml:space="preserve"> Dashboard!$O$19</f>
        <v>US$ mn 2021</v>
      </c>
      <c r="I69" s="465">
        <f t="shared" ca="1" si="8"/>
        <v>0</v>
      </c>
      <c r="J69" s="382">
        <f t="shared" ca="1" si="9"/>
        <v>0</v>
      </c>
      <c r="L69" s="383"/>
      <c r="M69" s="3">
        <v>16056.404234002975</v>
      </c>
      <c r="N69" s="383"/>
    </row>
    <row r="70" spans="1:25" x14ac:dyDescent="0.3">
      <c r="E70" s="3" t="str">
        <f xml:space="preserve"> Dashboard!N$30</f>
        <v>SOC net cash flow before tax, after carried interest, including share of lender cashflows</v>
      </c>
      <c r="F70" s="3">
        <f ca="1" xml:space="preserve"> Dashboard!O$30</f>
        <v>3982.9846625612686</v>
      </c>
      <c r="G70" s="3" t="str">
        <f xml:space="preserve"> Dashboard!$O$19</f>
        <v>US$ mn 2021</v>
      </c>
      <c r="I70" s="465">
        <f t="shared" ca="1" si="8"/>
        <v>0</v>
      </c>
      <c r="J70" s="382">
        <f t="shared" ca="1" si="9"/>
        <v>0</v>
      </c>
      <c r="L70" s="383"/>
      <c r="M70" s="3">
        <v>3982.9846625612686</v>
      </c>
      <c r="N70" s="383"/>
    </row>
    <row r="71" spans="1:25" x14ac:dyDescent="0.3">
      <c r="E71" s="3" t="str">
        <f xml:space="preserve"> Dashboard!N$31</f>
        <v>Government revenues including participation</v>
      </c>
      <c r="F71" s="3">
        <f ca="1" xml:space="preserve"> Dashboard!O$31</f>
        <v>20039.388896564244</v>
      </c>
      <c r="G71" s="3" t="str">
        <f xml:space="preserve"> Dashboard!$O$19</f>
        <v>US$ mn 2021</v>
      </c>
      <c r="I71" s="465">
        <f t="shared" ca="1" si="8"/>
        <v>0</v>
      </c>
      <c r="J71" s="382">
        <f t="shared" ca="1" si="9"/>
        <v>0</v>
      </c>
      <c r="L71" s="383"/>
      <c r="M71" s="3">
        <v>20039.388896564244</v>
      </c>
      <c r="N71" s="383"/>
    </row>
    <row r="72" spans="1:25" s="59" customFormat="1" x14ac:dyDescent="0.3">
      <c r="B72" s="376"/>
      <c r="E72" s="59" t="str">
        <f xml:space="preserve"> Dashboard!N$32</f>
        <v>Government share (AETR): undiscounted</v>
      </c>
      <c r="F72" s="59">
        <f ca="1" xml:space="preserve"> Dashboard!O$32</f>
        <v>0.68435805496804558</v>
      </c>
      <c r="G72" s="3" t="str">
        <f xml:space="preserve"> Dashboard!$O$19</f>
        <v>US$ mn 2021</v>
      </c>
      <c r="I72" s="465">
        <f t="shared" ca="1" si="8"/>
        <v>0</v>
      </c>
      <c r="J72" s="387">
        <f t="shared" ca="1" si="9"/>
        <v>0</v>
      </c>
      <c r="L72" s="385"/>
      <c r="M72" s="59">
        <v>0.68435805496804558</v>
      </c>
      <c r="N72" s="383"/>
    </row>
    <row r="73" spans="1:25" x14ac:dyDescent="0.3">
      <c r="L73" s="383"/>
      <c r="N73" s="383"/>
    </row>
    <row r="74" spans="1:25" customFormat="1" ht="12.75" customHeight="1" x14ac:dyDescent="0.25">
      <c r="A74" s="374" t="str">
        <f>Translate!$E$615</f>
        <v>Results from selected fiscal regimes</v>
      </c>
      <c r="B74" s="374"/>
      <c r="C74" s="374"/>
      <c r="D74" s="374"/>
      <c r="E74" s="374"/>
      <c r="F74" s="374"/>
      <c r="G74" s="374"/>
      <c r="H74" s="374"/>
      <c r="I74" s="464"/>
      <c r="J74" s="374"/>
      <c r="K74" s="374"/>
      <c r="L74" s="374"/>
      <c r="M74" s="374"/>
      <c r="N74" s="374"/>
      <c r="O74" s="374"/>
      <c r="P74" s="374"/>
      <c r="Q74" s="374"/>
      <c r="R74" s="374"/>
      <c r="S74" s="374"/>
      <c r="T74" s="374"/>
      <c r="U74" s="374"/>
      <c r="V74" s="374"/>
      <c r="W74" s="374"/>
      <c r="X74" s="374"/>
      <c r="Y74" s="374"/>
    </row>
    <row r="75" spans="1:25" x14ac:dyDescent="0.3">
      <c r="L75" s="383"/>
      <c r="N75" s="383"/>
    </row>
    <row r="76" spans="1:25" customFormat="1" ht="12.75" customHeight="1" x14ac:dyDescent="0.3">
      <c r="A76" s="386"/>
      <c r="B76" s="386" t="str">
        <f>Translate!$E$398</f>
        <v>Government revenues including participation</v>
      </c>
      <c r="C76" s="388"/>
      <c r="D76" s="389"/>
      <c r="E76" s="390"/>
      <c r="F76" s="390"/>
      <c r="G76" s="390"/>
      <c r="H76" s="384"/>
      <c r="I76" s="462"/>
      <c r="J76" s="384"/>
      <c r="K76" s="384"/>
      <c r="L76" s="383"/>
      <c r="M76" s="390"/>
      <c r="N76" s="383"/>
      <c r="O76" s="3"/>
      <c r="P76" s="384"/>
      <c r="Q76" s="384"/>
      <c r="R76" s="384"/>
      <c r="S76" s="384"/>
      <c r="T76" s="384"/>
      <c r="U76" s="384"/>
      <c r="V76" s="384"/>
      <c r="W76" s="384"/>
      <c r="X76" s="384"/>
      <c r="Y76" s="384"/>
    </row>
    <row r="77" spans="1:25" customFormat="1" ht="12.75" customHeight="1" x14ac:dyDescent="0.3">
      <c r="A77" s="386"/>
      <c r="B77" s="386"/>
      <c r="C77" s="388"/>
      <c r="D77" s="389"/>
      <c r="E77" s="391" t="str">
        <f t="array" ref="E77:E81">TRANSPOSE(Dashboard!U63:Y63)</f>
        <v>Royalty + CIT</v>
      </c>
      <c r="F77" s="390">
        <f t="array" ref="F77:F81" xml:space="preserve"> TRANSPOSE(Dashboard!U77:Y77)</f>
        <v>20039.388896564244</v>
      </c>
      <c r="G77" s="390" t="str">
        <f xml:space="preserve"> Dashboard!$S$77</f>
        <v>US$ mn 2021</v>
      </c>
      <c r="H77" s="384"/>
      <c r="I77" s="465">
        <f t="shared" ref="I77:I83" si="10" xml:space="preserve"> IF(ABS(J77) &gt; CHK_TOL, 1, 0)</f>
        <v>0</v>
      </c>
      <c r="J77" s="711">
        <f t="shared" ref="J77:J88" si="11" xml:space="preserve"> IF(OR(ISTEXT(F77), ISTEXT(INDEX(L77:N77, $I$4))), 0, F77 - INDEX(L77:N77, $I$4))</f>
        <v>0</v>
      </c>
      <c r="K77" s="384"/>
      <c r="L77" s="383"/>
      <c r="M77" s="393">
        <v>20039.388896564244</v>
      </c>
      <c r="N77" s="383"/>
      <c r="O77" s="3"/>
      <c r="P77" s="384"/>
      <c r="Q77" s="384"/>
      <c r="R77" s="384"/>
      <c r="S77" s="384"/>
      <c r="T77" s="384"/>
      <c r="U77" s="384"/>
      <c r="V77" s="384"/>
      <c r="W77" s="384"/>
      <c r="X77" s="384"/>
      <c r="Y77" s="384"/>
    </row>
    <row r="78" spans="1:25" customFormat="1" ht="12.75" customHeight="1" x14ac:dyDescent="0.3">
      <c r="A78" s="386"/>
      <c r="B78" s="386"/>
      <c r="C78" s="388"/>
      <c r="D78" s="389"/>
      <c r="E78" s="391" t="str">
        <v>RRT</v>
      </c>
      <c r="F78" s="390">
        <v>20575.476540722095</v>
      </c>
      <c r="G78" s="390" t="str">
        <f xml:space="preserve"> Dashboard!$S$77</f>
        <v>US$ mn 2021</v>
      </c>
      <c r="H78" s="384"/>
      <c r="I78" s="465">
        <f t="shared" si="10"/>
        <v>0</v>
      </c>
      <c r="J78" s="711">
        <f t="shared" si="11"/>
        <v>0</v>
      </c>
      <c r="K78" s="384"/>
      <c r="L78" s="383"/>
      <c r="M78" s="393">
        <v>20575.476540722095</v>
      </c>
      <c r="N78" s="383"/>
      <c r="O78" s="3"/>
      <c r="P78" s="384"/>
      <c r="Q78" s="384"/>
      <c r="R78" s="384"/>
      <c r="S78" s="384"/>
      <c r="T78" s="384"/>
      <c r="U78" s="384"/>
      <c r="V78" s="384"/>
      <c r="W78" s="384"/>
      <c r="X78" s="384"/>
      <c r="Y78" s="384"/>
    </row>
    <row r="79" spans="1:25" customFormat="1" ht="12.75" customHeight="1" x14ac:dyDescent="0.3">
      <c r="A79" s="386"/>
      <c r="B79" s="386"/>
      <c r="C79" s="388"/>
      <c r="D79" s="389"/>
      <c r="E79" s="391" t="str">
        <v>Royalty + CIT, no debt</v>
      </c>
      <c r="F79" s="390">
        <v>20132.799646101164</v>
      </c>
      <c r="G79" s="390" t="str">
        <f xml:space="preserve"> Dashboard!$S$77</f>
        <v>US$ mn 2021</v>
      </c>
      <c r="H79" s="384"/>
      <c r="I79" s="465">
        <f t="shared" si="10"/>
        <v>0</v>
      </c>
      <c r="J79" s="382">
        <f t="shared" si="11"/>
        <v>0</v>
      </c>
      <c r="K79" s="384"/>
      <c r="L79" s="383"/>
      <c r="M79" s="393">
        <v>20132.799646101164</v>
      </c>
      <c r="N79" s="383"/>
      <c r="O79" s="3"/>
      <c r="P79" s="384"/>
      <c r="Q79" s="384"/>
      <c r="R79" s="384"/>
      <c r="S79" s="384"/>
      <c r="T79" s="384"/>
      <c r="U79" s="384"/>
      <c r="V79" s="384"/>
      <c r="W79" s="384"/>
      <c r="X79" s="384"/>
      <c r="Y79" s="384"/>
    </row>
    <row r="80" spans="1:25" customFormat="1" ht="12.75" customHeight="1" x14ac:dyDescent="0.3">
      <c r="A80" s="386"/>
      <c r="B80" s="386"/>
      <c r="C80" s="388"/>
      <c r="D80" s="389"/>
      <c r="E80" s="391" t="str">
        <v>DROP PSC</v>
      </c>
      <c r="F80" s="390">
        <v>19841.452048741059</v>
      </c>
      <c r="G80" s="390" t="str">
        <f xml:space="preserve"> Dashboard!$S$77</f>
        <v>US$ mn 2021</v>
      </c>
      <c r="H80" s="384"/>
      <c r="I80" s="465">
        <f t="shared" si="10"/>
        <v>0</v>
      </c>
      <c r="J80" s="382">
        <f t="shared" si="11"/>
        <v>0</v>
      </c>
      <c r="K80" s="384"/>
      <c r="L80" s="383"/>
      <c r="M80" s="393">
        <v>19841.452048741059</v>
      </c>
      <c r="N80" s="383"/>
      <c r="O80" s="3"/>
      <c r="P80" s="384"/>
      <c r="Q80" s="384"/>
      <c r="R80" s="384"/>
      <c r="S80" s="384"/>
      <c r="T80" s="384"/>
      <c r="U80" s="384"/>
      <c r="V80" s="384"/>
      <c r="W80" s="384"/>
      <c r="X80" s="384"/>
      <c r="Y80" s="384"/>
    </row>
    <row r="81" spans="1:25" customFormat="1" ht="12.75" customHeight="1" x14ac:dyDescent="0.3">
      <c r="A81" s="386"/>
      <c r="B81" s="386"/>
      <c r="C81" s="388"/>
      <c r="D81" s="389"/>
      <c r="E81" s="391" t="str">
        <v>R-factor PSC</v>
      </c>
      <c r="F81" s="390">
        <v>20695.288523179523</v>
      </c>
      <c r="G81" s="390" t="str">
        <f xml:space="preserve"> Dashboard!$S$77</f>
        <v>US$ mn 2021</v>
      </c>
      <c r="H81" s="384"/>
      <c r="I81" s="465">
        <f t="shared" si="10"/>
        <v>0</v>
      </c>
      <c r="J81" s="382">
        <f t="shared" si="11"/>
        <v>0</v>
      </c>
      <c r="K81" s="384"/>
      <c r="L81" s="383"/>
      <c r="M81" s="393">
        <v>20695.288523179523</v>
      </c>
      <c r="N81" s="383"/>
      <c r="O81" s="3"/>
      <c r="P81" s="384"/>
      <c r="Q81" s="384"/>
      <c r="R81" s="384"/>
      <c r="S81" s="384"/>
      <c r="T81" s="384"/>
      <c r="U81" s="384"/>
      <c r="V81" s="384"/>
      <c r="W81" s="384"/>
      <c r="X81" s="384"/>
      <c r="Y81" s="384"/>
    </row>
    <row r="82" spans="1:25" customFormat="1" ht="12.75" customHeight="1" x14ac:dyDescent="0.3">
      <c r="A82" s="386"/>
      <c r="B82" s="386"/>
      <c r="C82" s="388"/>
      <c r="D82" s="389"/>
      <c r="E82" s="390"/>
      <c r="F82" s="390"/>
      <c r="G82" s="390"/>
      <c r="H82" s="384"/>
      <c r="I82" s="465">
        <f t="shared" si="10"/>
        <v>0</v>
      </c>
      <c r="J82" s="382">
        <f t="shared" si="11"/>
        <v>0</v>
      </c>
      <c r="K82" s="384"/>
      <c r="L82" s="383"/>
      <c r="M82" s="393"/>
      <c r="N82" s="383"/>
      <c r="O82" s="3"/>
      <c r="P82" s="384"/>
      <c r="Q82" s="384"/>
      <c r="R82" s="384"/>
      <c r="S82" s="384"/>
      <c r="T82" s="384"/>
      <c r="U82" s="384"/>
      <c r="V82" s="384"/>
      <c r="W82" s="384"/>
      <c r="X82" s="384"/>
      <c r="Y82" s="384"/>
    </row>
    <row r="83" spans="1:25" customFormat="1" ht="12.75" customHeight="1" x14ac:dyDescent="0.3">
      <c r="A83" s="386"/>
      <c r="B83" s="386" t="str">
        <f>Translate!$E$120 &amp; ": " &amp; Inputs!F$89 &amp; ", " &amp; Inputs!F$93</f>
        <v>AETR: full-cycle, undiscounted</v>
      </c>
      <c r="C83" s="388"/>
      <c r="D83" s="389"/>
      <c r="E83" s="390"/>
      <c r="F83" s="390"/>
      <c r="G83" s="390"/>
      <c r="H83" s="384"/>
      <c r="I83" s="465">
        <f t="shared" si="10"/>
        <v>0</v>
      </c>
      <c r="J83" s="382">
        <f t="shared" si="11"/>
        <v>0</v>
      </c>
      <c r="K83" s="384"/>
      <c r="L83" s="383"/>
      <c r="M83" s="393"/>
      <c r="N83" s="383"/>
      <c r="O83" s="3"/>
      <c r="P83" s="384"/>
      <c r="Q83" s="384"/>
      <c r="R83" s="384"/>
      <c r="S83" s="384"/>
      <c r="T83" s="384"/>
      <c r="U83" s="384"/>
      <c r="V83" s="384"/>
      <c r="W83" s="384"/>
      <c r="X83" s="384"/>
      <c r="Y83" s="384"/>
    </row>
    <row r="84" spans="1:25" customFormat="1" ht="12.75" customHeight="1" x14ac:dyDescent="0.3">
      <c r="A84" s="386"/>
      <c r="B84" s="386"/>
      <c r="C84" s="388"/>
      <c r="D84" s="389"/>
      <c r="E84" s="391" t="str">
        <f t="array" ref="E84:E88">TRANSPOSE(Dashboard!U63:Y63)</f>
        <v>Royalty + CIT</v>
      </c>
      <c r="F84" s="392">
        <f t="array" ref="F84:F88" xml:space="preserve"> TRANSPOSE(Dashboard!U87:Y87)</f>
        <v>0.68435805496804558</v>
      </c>
      <c r="G84" s="390" t="str">
        <f xml:space="preserve"> Dashboard!$S$87</f>
        <v>% US$ mn 2021</v>
      </c>
      <c r="H84" s="384"/>
      <c r="I84" s="465">
        <f xml:space="preserve"> IF(ABS(J84) &gt; CHK_TOL, 1, 0)</f>
        <v>0</v>
      </c>
      <c r="J84" s="387">
        <f t="shared" si="11"/>
        <v>0</v>
      </c>
      <c r="K84" s="384"/>
      <c r="L84" s="383"/>
      <c r="M84" s="394">
        <v>0.68435805496804558</v>
      </c>
      <c r="N84" s="383"/>
      <c r="O84" s="3"/>
      <c r="P84" s="384"/>
      <c r="Q84" s="384"/>
      <c r="R84" s="384"/>
      <c r="S84" s="384"/>
      <c r="T84" s="384"/>
      <c r="U84" s="384"/>
      <c r="V84" s="384"/>
      <c r="W84" s="384"/>
      <c r="X84" s="384"/>
      <c r="Y84" s="384"/>
    </row>
    <row r="85" spans="1:25" customFormat="1" ht="12.75" customHeight="1" x14ac:dyDescent="0.3">
      <c r="A85" s="386"/>
      <c r="B85" s="386"/>
      <c r="C85" s="388"/>
      <c r="D85" s="389"/>
      <c r="E85" s="391" t="str">
        <v>RRT</v>
      </c>
      <c r="F85" s="392">
        <v>0.70266579375898097</v>
      </c>
      <c r="G85" s="390" t="str">
        <f xml:space="preserve"> Dashboard!$S$87</f>
        <v>% US$ mn 2021</v>
      </c>
      <c r="H85" s="384"/>
      <c r="I85" s="465">
        <f xml:space="preserve"> IF(ABS(J85) &gt; CHK_TOL, 1, 0)</f>
        <v>0</v>
      </c>
      <c r="J85" s="387">
        <f t="shared" si="11"/>
        <v>0</v>
      </c>
      <c r="K85" s="384"/>
      <c r="L85" s="383"/>
      <c r="M85" s="394">
        <v>0.70266579375898097</v>
      </c>
      <c r="N85" s="383"/>
      <c r="O85" s="3"/>
      <c r="P85" s="384"/>
      <c r="Q85" s="384"/>
      <c r="R85" s="384"/>
      <c r="S85" s="384"/>
      <c r="T85" s="384"/>
      <c r="U85" s="384"/>
      <c r="V85" s="384"/>
      <c r="W85" s="384"/>
      <c r="X85" s="384"/>
      <c r="Y85" s="384"/>
    </row>
    <row r="86" spans="1:25" customFormat="1" ht="12.75" customHeight="1" x14ac:dyDescent="0.3">
      <c r="A86" s="386"/>
      <c r="B86" s="386"/>
      <c r="C86" s="388"/>
      <c r="D86" s="389"/>
      <c r="E86" s="391" t="str">
        <v>Royalty + CIT, no debt</v>
      </c>
      <c r="F86" s="392">
        <v>0.68754809230881275</v>
      </c>
      <c r="G86" s="390" t="str">
        <f xml:space="preserve"> Dashboard!$S$87</f>
        <v>% US$ mn 2021</v>
      </c>
      <c r="H86" s="384"/>
      <c r="I86" s="465">
        <f xml:space="preserve"> IF(ABS(J86) &gt; CHK_TOL, 1, 0)</f>
        <v>0</v>
      </c>
      <c r="J86" s="387">
        <f t="shared" si="11"/>
        <v>0</v>
      </c>
      <c r="K86" s="384"/>
      <c r="L86" s="383"/>
      <c r="M86" s="394">
        <v>0.68754809230881275</v>
      </c>
      <c r="N86" s="383"/>
      <c r="O86" s="3"/>
      <c r="P86" s="384"/>
      <c r="Q86" s="384"/>
      <c r="R86" s="384"/>
      <c r="S86" s="384"/>
      <c r="T86" s="384"/>
      <c r="U86" s="384"/>
      <c r="V86" s="384"/>
      <c r="W86" s="384"/>
      <c r="X86" s="384"/>
      <c r="Y86" s="384"/>
    </row>
    <row r="87" spans="1:25" customFormat="1" ht="12.75" customHeight="1" x14ac:dyDescent="0.3">
      <c r="A87" s="386"/>
      <c r="B87" s="386"/>
      <c r="C87" s="388"/>
      <c r="D87" s="389"/>
      <c r="E87" s="391" t="str">
        <v>DROP PSC</v>
      </c>
      <c r="F87" s="392">
        <v>0.67759838395801764</v>
      </c>
      <c r="G87" s="390" t="str">
        <f xml:space="preserve"> Dashboard!$S$87</f>
        <v>% US$ mn 2021</v>
      </c>
      <c r="H87" s="384"/>
      <c r="I87" s="465">
        <f xml:space="preserve"> IF(ABS(J87) &gt; CHK_TOL, 1, 0)</f>
        <v>0</v>
      </c>
      <c r="J87" s="387">
        <f t="shared" si="11"/>
        <v>0</v>
      </c>
      <c r="K87" s="384"/>
      <c r="L87" s="383"/>
      <c r="M87" s="394">
        <v>0.67759838395801764</v>
      </c>
      <c r="N87" s="383"/>
      <c r="O87" s="3"/>
      <c r="P87" s="384"/>
      <c r="Q87" s="384"/>
      <c r="R87" s="384"/>
      <c r="S87" s="384"/>
      <c r="T87" s="384"/>
      <c r="U87" s="384"/>
      <c r="V87" s="384"/>
      <c r="W87" s="384"/>
      <c r="X87" s="384"/>
      <c r="Y87" s="384"/>
    </row>
    <row r="88" spans="1:25" customFormat="1" ht="12.75" customHeight="1" x14ac:dyDescent="0.3">
      <c r="A88" s="386"/>
      <c r="B88" s="386"/>
      <c r="C88" s="388"/>
      <c r="D88" s="389"/>
      <c r="E88" s="391" t="str">
        <v>R-factor PSC</v>
      </c>
      <c r="F88" s="392">
        <v>0.70675745023112457</v>
      </c>
      <c r="G88" s="390" t="str">
        <f xml:space="preserve"> Dashboard!$S$87</f>
        <v>% US$ mn 2021</v>
      </c>
      <c r="H88" s="384"/>
      <c r="I88" s="465">
        <f xml:space="preserve"> IF(ABS(J88) &gt; CHK_TOL, 1, 0)</f>
        <v>0</v>
      </c>
      <c r="J88" s="387">
        <f t="shared" si="11"/>
        <v>0</v>
      </c>
      <c r="K88" s="384"/>
      <c r="L88" s="383"/>
      <c r="M88" s="394">
        <v>0.70675745023112457</v>
      </c>
      <c r="N88" s="383"/>
      <c r="O88" s="3"/>
      <c r="P88" s="384"/>
      <c r="Q88" s="384"/>
      <c r="R88" s="384"/>
      <c r="S88" s="384"/>
      <c r="T88" s="384"/>
      <c r="U88" s="384"/>
      <c r="V88" s="384"/>
      <c r="W88" s="384"/>
      <c r="X88" s="384"/>
      <c r="Y88" s="384"/>
    </row>
    <row r="89" spans="1:25" x14ac:dyDescent="0.3">
      <c r="L89" s="383"/>
      <c r="N89" s="383"/>
    </row>
    <row r="90" spans="1:25" customFormat="1" ht="12.75" customHeight="1" x14ac:dyDescent="0.25">
      <c r="A90" s="374" t="str">
        <f>Translate!E7</f>
        <v>Checks</v>
      </c>
      <c r="B90" s="374"/>
      <c r="C90" s="374"/>
      <c r="D90" s="374"/>
      <c r="E90" s="374"/>
      <c r="F90" s="374"/>
      <c r="G90" s="374"/>
      <c r="H90" s="374"/>
      <c r="I90" s="464"/>
      <c r="J90" s="374"/>
      <c r="K90" s="374"/>
      <c r="L90" s="374"/>
      <c r="M90" s="374"/>
      <c r="N90" s="374"/>
      <c r="O90" s="374"/>
      <c r="P90" s="374"/>
      <c r="Q90" s="374"/>
      <c r="R90" s="374"/>
      <c r="S90" s="374"/>
      <c r="T90" s="374"/>
      <c r="U90" s="374"/>
      <c r="V90" s="374"/>
      <c r="W90" s="374"/>
      <c r="X90" s="374"/>
      <c r="Y90" s="374"/>
    </row>
    <row r="91" spans="1:25" x14ac:dyDescent="0.3">
      <c r="L91" s="383"/>
      <c r="N91" s="383"/>
    </row>
    <row r="92" spans="1:25" x14ac:dyDescent="0.3">
      <c r="E92" s="40" t="str">
        <f ca="1" xml:space="preserve"> ReadMe!J$5</f>
        <v>Check: Dashboard</v>
      </c>
      <c r="F92" s="381">
        <f ca="1" xml:space="preserve"> ReadMe!K$5</f>
        <v>0</v>
      </c>
      <c r="G92" s="40" t="str">
        <f xml:space="preserve"> ReadMe!L$5</f>
        <v>Check</v>
      </c>
      <c r="I92" s="465">
        <f ca="1" xml:space="preserve"> IF(ABS(J92) &gt; CHK_TOL, 1, 0)</f>
        <v>0</v>
      </c>
      <c r="J92" s="387">
        <f t="shared" ref="J92:J99" ca="1" si="12" xml:space="preserve"> IF(OR(ISTEXT(F92), ISTEXT(INDEX(L92:N92, $I$4))), 0, F92 - INDEX(L92:N92, $I$4))</f>
        <v>0</v>
      </c>
      <c r="L92" s="383"/>
      <c r="M92" s="381">
        <v>0</v>
      </c>
      <c r="N92" s="383"/>
    </row>
    <row r="93" spans="1:25" x14ac:dyDescent="0.3">
      <c r="E93" s="40" t="str">
        <f ca="1" xml:space="preserve"> ReadMe!J$6</f>
        <v>Check: Inputs</v>
      </c>
      <c r="F93" s="381">
        <f xml:space="preserve"> ReadMe!K$6</f>
        <v>0</v>
      </c>
      <c r="G93" s="40" t="str">
        <f xml:space="preserve"> ReadMe!L$6</f>
        <v>Check</v>
      </c>
      <c r="I93" s="465">
        <f t="shared" ref="I93:I99" si="13" xml:space="preserve"> IF(ABS(J93) &gt; CHK_TOL, 1, 0)</f>
        <v>0</v>
      </c>
      <c r="J93" s="387">
        <f t="shared" si="12"/>
        <v>0</v>
      </c>
      <c r="L93" s="383"/>
      <c r="M93" s="381">
        <v>0</v>
      </c>
      <c r="N93" s="383"/>
    </row>
    <row r="94" spans="1:25" x14ac:dyDescent="0.3">
      <c r="E94" s="40" t="str">
        <f ca="1" xml:space="preserve"> ReadMe!J$7</f>
        <v>Check: FiscalModel</v>
      </c>
      <c r="F94" s="381">
        <f ca="1" xml:space="preserve"> ReadMe!K$7</f>
        <v>0</v>
      </c>
      <c r="G94" s="40" t="str">
        <f xml:space="preserve"> ReadMe!L$7</f>
        <v>Check</v>
      </c>
      <c r="I94" s="465">
        <f t="shared" ca="1" si="13"/>
        <v>0</v>
      </c>
      <c r="J94" s="387">
        <f t="shared" ca="1" si="12"/>
        <v>0</v>
      </c>
      <c r="L94" s="383"/>
      <c r="M94" s="381">
        <v>0</v>
      </c>
      <c r="N94" s="383"/>
    </row>
    <row r="95" spans="1:25" x14ac:dyDescent="0.3">
      <c r="E95" s="40" t="str">
        <f ca="1" xml:space="preserve"> ReadMe!J$8</f>
        <v>Check: Analysis</v>
      </c>
      <c r="F95" s="381">
        <f ca="1" xml:space="preserve"> ReadMe!K$8</f>
        <v>0</v>
      </c>
      <c r="G95" s="40" t="str">
        <f xml:space="preserve"> ReadMe!L$8</f>
        <v>Check</v>
      </c>
      <c r="I95" s="465">
        <f t="shared" ca="1" si="13"/>
        <v>0</v>
      </c>
      <c r="J95" s="387">
        <f t="shared" ca="1" si="12"/>
        <v>0</v>
      </c>
      <c r="L95" s="383"/>
      <c r="M95" s="381">
        <v>0</v>
      </c>
      <c r="N95" s="383"/>
    </row>
    <row r="96" spans="1:25" x14ac:dyDescent="0.3">
      <c r="E96" s="40" t="str">
        <f ca="1" xml:space="preserve"> ReadMe!J$9</f>
        <v>Check: Charts</v>
      </c>
      <c r="F96" s="381">
        <f ca="1" xml:space="preserve"> ReadMe!K$9</f>
        <v>0</v>
      </c>
      <c r="G96" s="40" t="str">
        <f xml:space="preserve"> ReadMe!L$9</f>
        <v>Check</v>
      </c>
      <c r="I96" s="465">
        <f t="shared" ca="1" si="13"/>
        <v>0</v>
      </c>
      <c r="J96" s="387">
        <f t="shared" ca="1" si="12"/>
        <v>0</v>
      </c>
      <c r="L96" s="383"/>
      <c r="M96" s="381">
        <v>0</v>
      </c>
      <c r="N96" s="383"/>
    </row>
    <row r="97" spans="1:25" x14ac:dyDescent="0.3">
      <c r="E97" s="40" t="str">
        <f ca="1" xml:space="preserve"> ReadMe!J$10</f>
        <v>Check: ProjectCashflows</v>
      </c>
      <c r="F97" s="381">
        <f ca="1" xml:space="preserve"> ReadMe!K$10</f>
        <v>0</v>
      </c>
      <c r="G97" s="40" t="str">
        <f xml:space="preserve"> ReadMe!L$10</f>
        <v>Check</v>
      </c>
      <c r="I97" s="465">
        <f t="shared" ca="1" si="13"/>
        <v>0</v>
      </c>
      <c r="J97" s="387">
        <f t="shared" ca="1" si="12"/>
        <v>0</v>
      </c>
      <c r="L97" s="383"/>
      <c r="M97" s="381">
        <v>0</v>
      </c>
      <c r="N97" s="383"/>
    </row>
    <row r="98" spans="1:25" x14ac:dyDescent="0.3">
      <c r="E98" s="40" t="str">
        <f ca="1" xml:space="preserve"> ReadMe!J$11</f>
        <v>Check: 800MMbbl_A</v>
      </c>
      <c r="F98" s="381">
        <f xml:space="preserve"> ReadMe!K$11</f>
        <v>0</v>
      </c>
      <c r="G98" s="40" t="str">
        <f xml:space="preserve"> ReadMe!L$11</f>
        <v>Check</v>
      </c>
      <c r="I98" s="465">
        <f t="shared" si="13"/>
        <v>0</v>
      </c>
      <c r="J98" s="387">
        <f t="shared" si="12"/>
        <v>0</v>
      </c>
      <c r="L98" s="383"/>
      <c r="M98" s="381">
        <v>0</v>
      </c>
      <c r="N98" s="383"/>
    </row>
    <row r="99" spans="1:25" x14ac:dyDescent="0.3">
      <c r="E99" s="40" t="str">
        <f ca="1" xml:space="preserve"> ReadMe!J$12</f>
        <v>Check: 800MMbbl_B</v>
      </c>
      <c r="F99" s="381">
        <f xml:space="preserve"> ReadMe!K$12</f>
        <v>0</v>
      </c>
      <c r="G99" s="40" t="str">
        <f xml:space="preserve"> ReadMe!L$12</f>
        <v>Check</v>
      </c>
      <c r="I99" s="465">
        <f t="shared" si="13"/>
        <v>0</v>
      </c>
      <c r="J99" s="387">
        <f t="shared" si="12"/>
        <v>0</v>
      </c>
      <c r="L99" s="383"/>
      <c r="M99" s="381">
        <v>0</v>
      </c>
      <c r="N99" s="383"/>
    </row>
    <row r="100" spans="1:25" x14ac:dyDescent="0.3">
      <c r="L100" s="383"/>
      <c r="N100" s="383"/>
    </row>
    <row r="101" spans="1:25" s="969" customFormat="1" ht="12.75" customHeight="1" x14ac:dyDescent="0.35">
      <c r="A101" s="966" t="str">
        <f>Translate!$E$763</f>
        <v>Model info</v>
      </c>
      <c r="B101" s="966"/>
      <c r="C101" s="966"/>
      <c r="D101" s="966"/>
      <c r="E101" s="966"/>
      <c r="F101" s="966"/>
      <c r="G101" s="966"/>
      <c r="H101" s="966"/>
      <c r="I101" s="967"/>
      <c r="J101" s="966"/>
      <c r="K101" s="966"/>
      <c r="L101" s="966"/>
      <c r="M101" s="966"/>
      <c r="N101" s="968"/>
      <c r="O101" s="966"/>
      <c r="P101" s="966"/>
      <c r="Q101" s="966"/>
      <c r="R101" s="966"/>
      <c r="S101" s="966"/>
      <c r="T101" s="966"/>
      <c r="U101" s="966"/>
      <c r="V101" s="966"/>
      <c r="W101" s="966"/>
      <c r="X101" s="966"/>
      <c r="Y101" s="966"/>
    </row>
    <row r="102" spans="1:25" s="969" customFormat="1" ht="12.75" customHeight="1" x14ac:dyDescent="0.35">
      <c r="A102" s="21"/>
      <c r="B102" s="21"/>
      <c r="C102" s="288"/>
      <c r="D102" s="289"/>
      <c r="E102" s="305"/>
      <c r="F102" s="305"/>
      <c r="G102" s="305"/>
      <c r="H102" s="544"/>
      <c r="I102" s="970"/>
      <c r="J102" s="544"/>
      <c r="K102" s="544"/>
      <c r="L102" s="968"/>
      <c r="M102" s="305"/>
      <c r="N102" s="968"/>
      <c r="O102" s="544"/>
      <c r="P102" s="544"/>
      <c r="Q102" s="544"/>
      <c r="R102" s="544"/>
      <c r="S102" s="544"/>
      <c r="T102" s="544"/>
      <c r="U102" s="544"/>
      <c r="V102" s="544"/>
      <c r="W102" s="544"/>
      <c r="X102" s="544"/>
      <c r="Y102" s="544"/>
    </row>
    <row r="103" spans="1:25" s="979" customFormat="1" ht="12.75" customHeight="1" x14ac:dyDescent="0.35">
      <c r="A103" s="971"/>
      <c r="B103" s="971"/>
      <c r="C103" s="972"/>
      <c r="D103" s="973"/>
      <c r="E103" s="24" t="str">
        <f xml:space="preserve"> Translate!E$781</f>
        <v>Date</v>
      </c>
      <c r="F103" s="974">
        <f ca="1" xml:space="preserve"> TODAY()</f>
        <v>44979</v>
      </c>
      <c r="G103" s="975"/>
      <c r="H103" s="974"/>
      <c r="I103" s="976"/>
      <c r="J103" s="975"/>
      <c r="K103" s="975"/>
      <c r="L103" s="977"/>
      <c r="M103" s="978">
        <v>44747</v>
      </c>
      <c r="N103" s="977"/>
      <c r="O103" s="975"/>
      <c r="P103" s="975"/>
      <c r="Q103" s="975"/>
      <c r="R103" s="975"/>
      <c r="S103" s="975"/>
      <c r="T103" s="975"/>
      <c r="U103" s="975"/>
      <c r="V103" s="975"/>
      <c r="W103" s="975"/>
      <c r="X103" s="975"/>
      <c r="Y103" s="975"/>
    </row>
    <row r="104" spans="1:25" s="969" customFormat="1" ht="12.75" customHeight="1" x14ac:dyDescent="0.35">
      <c r="A104" s="21"/>
      <c r="B104" s="21"/>
      <c r="C104" s="288"/>
      <c r="D104" s="289"/>
      <c r="E104" s="24" t="str">
        <f xml:space="preserve"> Translate!E$790</f>
        <v>Time</v>
      </c>
      <c r="F104" s="980">
        <f ca="1" xml:space="preserve"> NOW()</f>
        <v>44979.425196759257</v>
      </c>
      <c r="G104" s="544"/>
      <c r="H104" s="980"/>
      <c r="I104" s="970"/>
      <c r="J104" s="544"/>
      <c r="K104" s="544"/>
      <c r="L104" s="968"/>
      <c r="M104" s="981">
        <v>44747.502228240737</v>
      </c>
      <c r="N104" s="968"/>
      <c r="O104" s="544"/>
      <c r="P104" s="544"/>
      <c r="Q104" s="544"/>
      <c r="R104" s="544"/>
      <c r="S104" s="544"/>
      <c r="T104" s="544"/>
      <c r="U104" s="544"/>
      <c r="V104" s="544"/>
      <c r="W104" s="544"/>
      <c r="X104" s="544"/>
      <c r="Y104" s="544"/>
    </row>
    <row r="105" spans="1:25" s="969" customFormat="1" ht="12.75" customHeight="1" x14ac:dyDescent="0.35">
      <c r="A105" s="21"/>
      <c r="B105" s="21"/>
      <c r="C105" s="288"/>
      <c r="D105" s="289"/>
      <c r="E105" s="24" t="str">
        <f xml:space="preserve"> Translate!E$791</f>
        <v>File</v>
      </c>
      <c r="F105" s="24" t="str">
        <f ca="1" xml:space="preserve"> MID(CELL("filename",$A$1), SEARCH("[", CELL("filename",$A$1)) + 1, SEARCH("]", CELL("filename",$A$1)) - SEARCH("[", CELL("filename",$A$1)) - 1)</f>
        <v>Petroleum FARI model (2022).xlsm</v>
      </c>
      <c r="G105" s="544"/>
      <c r="H105" s="24"/>
      <c r="I105" s="970"/>
      <c r="J105" s="544"/>
      <c r="K105" s="544"/>
      <c r="L105" s="968"/>
      <c r="M105" s="982" t="s">
        <v>22</v>
      </c>
      <c r="N105" s="968"/>
      <c r="O105" s="544"/>
      <c r="P105" s="544"/>
      <c r="Q105" s="544"/>
      <c r="R105" s="544"/>
      <c r="S105" s="544"/>
      <c r="T105" s="544"/>
      <c r="U105" s="544"/>
      <c r="V105" s="544"/>
      <c r="W105" s="544"/>
      <c r="X105" s="544"/>
      <c r="Y105" s="544"/>
    </row>
    <row r="106" spans="1:25" s="969" customFormat="1" ht="12.75" customHeight="1" x14ac:dyDescent="0.35">
      <c r="A106" s="21"/>
      <c r="B106" s="21"/>
      <c r="C106" s="288"/>
      <c r="D106" s="289"/>
      <c r="E106" s="305"/>
      <c r="F106" s="305"/>
      <c r="G106" s="305"/>
      <c r="H106" s="544"/>
      <c r="I106" s="970"/>
      <c r="J106" s="544"/>
      <c r="K106" s="544"/>
      <c r="L106" s="968"/>
      <c r="M106" s="305"/>
      <c r="N106" s="968"/>
      <c r="O106" s="544"/>
      <c r="P106" s="544"/>
      <c r="Q106" s="544"/>
      <c r="R106" s="544"/>
      <c r="S106" s="544"/>
      <c r="T106" s="544"/>
      <c r="U106" s="544"/>
      <c r="V106" s="544"/>
      <c r="W106" s="544"/>
      <c r="X106" s="544"/>
      <c r="Y106" s="544"/>
    </row>
    <row r="107" spans="1:25" s="969" customFormat="1" ht="12.75" customHeight="1" x14ac:dyDescent="0.35">
      <c r="A107" s="983"/>
      <c r="B107" s="983"/>
      <c r="C107" s="984"/>
      <c r="D107" s="985"/>
      <c r="E107" s="986" t="str">
        <f xml:space="preserve"> Translate!E$793</f>
        <v>Bottom of track results</v>
      </c>
      <c r="F107" s="987"/>
      <c r="G107" s="987"/>
      <c r="H107" s="987"/>
      <c r="I107" s="988"/>
      <c r="J107" s="987"/>
      <c r="K107" s="987"/>
      <c r="L107" s="968"/>
      <c r="M107" s="987"/>
      <c r="N107" s="968"/>
      <c r="O107" s="987"/>
      <c r="P107" s="987"/>
      <c r="Q107" s="987"/>
      <c r="R107" s="987"/>
      <c r="S107" s="987"/>
      <c r="T107" s="987"/>
      <c r="U107" s="987"/>
      <c r="V107" s="987"/>
      <c r="W107" s="987"/>
      <c r="X107" s="987"/>
      <c r="Y107" s="987"/>
    </row>
    <row r="108" spans="1:25" s="969" customFormat="1" ht="12.75" customHeight="1" x14ac:dyDescent="0.25">
      <c r="A108" s="966" t="str">
        <f>Translate!$E$764</f>
        <v>Comments and version changes</v>
      </c>
      <c r="B108" s="966"/>
      <c r="C108" s="966"/>
      <c r="D108" s="966"/>
      <c r="E108" s="966"/>
      <c r="F108" s="966"/>
      <c r="G108" s="966"/>
      <c r="H108" s="966"/>
      <c r="I108" s="967"/>
      <c r="J108" s="966"/>
      <c r="K108" s="966"/>
      <c r="L108" s="966"/>
      <c r="M108" s="966"/>
      <c r="N108" s="966"/>
      <c r="O108" s="966"/>
      <c r="P108" s="966"/>
      <c r="Q108" s="966"/>
      <c r="R108" s="966"/>
      <c r="S108" s="966"/>
      <c r="T108" s="966"/>
      <c r="U108" s="966"/>
      <c r="V108" s="966"/>
      <c r="W108" s="966"/>
      <c r="X108" s="966"/>
      <c r="Y108" s="966"/>
    </row>
    <row r="109" spans="1:25" s="24" customFormat="1" ht="159" customHeight="1" x14ac:dyDescent="0.35">
      <c r="A109" s="21"/>
      <c r="B109" s="21"/>
      <c r="C109" s="288"/>
      <c r="D109" s="289"/>
      <c r="E109" s="989" t="str">
        <f xml:space="preserve"> Translate!E$789</f>
        <v>Describe changes</v>
      </c>
      <c r="I109" s="990"/>
      <c r="K109" s="544"/>
      <c r="L109" s="968"/>
      <c r="M109" s="991"/>
      <c r="N109" s="968"/>
    </row>
  </sheetData>
  <mergeCells count="9">
    <mergeCell ref="P18:Y18"/>
    <mergeCell ref="P21:Y21"/>
    <mergeCell ref="P19:Y20"/>
    <mergeCell ref="P13:Y13"/>
    <mergeCell ref="P9:Y12"/>
    <mergeCell ref="P14:Y14"/>
    <mergeCell ref="P15:Y15"/>
    <mergeCell ref="P16:Y16"/>
    <mergeCell ref="P17:Y17"/>
  </mergeCells>
  <conditionalFormatting sqref="I10:I12 I77:I88 I14:I17 I60:I72">
    <cfRule type="cellIs" dxfId="287" priority="35" stopIfTrue="1" operator="notEqual">
      <formula>0</formula>
    </cfRule>
    <cfRule type="cellIs" dxfId="286" priority="36" stopIfTrue="1" operator="equal">
      <formula>""</formula>
    </cfRule>
  </conditionalFormatting>
  <conditionalFormatting sqref="I20:I29">
    <cfRule type="cellIs" dxfId="285" priority="33" stopIfTrue="1" operator="notEqual">
      <formula>0</formula>
    </cfRule>
    <cfRule type="cellIs" dxfId="284" priority="34" stopIfTrue="1" operator="equal">
      <formula>""</formula>
    </cfRule>
  </conditionalFormatting>
  <conditionalFormatting sqref="I32:I41">
    <cfRule type="cellIs" dxfId="283" priority="31" stopIfTrue="1" operator="notEqual">
      <formula>0</formula>
    </cfRule>
    <cfRule type="cellIs" dxfId="282" priority="32" stopIfTrue="1" operator="equal">
      <formula>""</formula>
    </cfRule>
  </conditionalFormatting>
  <conditionalFormatting sqref="I44:I52">
    <cfRule type="cellIs" dxfId="281" priority="29" stopIfTrue="1" operator="notEqual">
      <formula>0</formula>
    </cfRule>
    <cfRule type="cellIs" dxfId="280" priority="30" stopIfTrue="1" operator="equal">
      <formula>""</formula>
    </cfRule>
  </conditionalFormatting>
  <conditionalFormatting sqref="I54">
    <cfRule type="cellIs" dxfId="279" priority="27" stopIfTrue="1" operator="notEqual">
      <formula>0</formula>
    </cfRule>
    <cfRule type="cellIs" dxfId="278" priority="28" stopIfTrue="1" operator="equal">
      <formula>""</formula>
    </cfRule>
  </conditionalFormatting>
  <conditionalFormatting sqref="I58">
    <cfRule type="cellIs" dxfId="277" priority="25" stopIfTrue="1" operator="notEqual">
      <formula>0</formula>
    </cfRule>
    <cfRule type="cellIs" dxfId="276" priority="26" stopIfTrue="1" operator="equal">
      <formula>""</formula>
    </cfRule>
  </conditionalFormatting>
  <conditionalFormatting sqref="F92:F99">
    <cfRule type="cellIs" dxfId="275" priority="19" stopIfTrue="1" operator="notEqual">
      <formula>0</formula>
    </cfRule>
    <cfRule type="cellIs" dxfId="274" priority="20" stopIfTrue="1" operator="equal">
      <formula>""</formula>
    </cfRule>
  </conditionalFormatting>
  <conditionalFormatting sqref="I92:I99">
    <cfRule type="cellIs" dxfId="273" priority="17" stopIfTrue="1" operator="notEqual">
      <formula>0</formula>
    </cfRule>
    <cfRule type="cellIs" dxfId="272" priority="18" stopIfTrue="1" operator="equal">
      <formula>""</formula>
    </cfRule>
  </conditionalFormatting>
  <conditionalFormatting sqref="F1">
    <cfRule type="cellIs" dxfId="271" priority="13" stopIfTrue="1" operator="notEqual">
      <formula>0</formula>
    </cfRule>
    <cfRule type="cellIs" dxfId="270" priority="14" stopIfTrue="1" operator="equal">
      <formula>""</formula>
    </cfRule>
  </conditionalFormatting>
  <conditionalFormatting sqref="M92:M99">
    <cfRule type="cellIs" dxfId="269" priority="11" stopIfTrue="1" operator="notEqual">
      <formula>0</formula>
    </cfRule>
    <cfRule type="cellIs" dxfId="268" priority="12" stopIfTrue="1" operator="equal">
      <formula>""</formula>
    </cfRule>
  </conditionalFormatting>
  <conditionalFormatting sqref="I13">
    <cfRule type="cellIs" dxfId="267" priority="9" stopIfTrue="1" operator="notEqual">
      <formula>0</formula>
    </cfRule>
    <cfRule type="cellIs" dxfId="266" priority="10" stopIfTrue="1" operator="equal">
      <formula>""</formula>
    </cfRule>
  </conditionalFormatting>
  <dataValidations disablePrompts="1" count="1">
    <dataValidation type="list" allowBlank="1" showInputMessage="1" showErrorMessage="1" sqref="E2" xr:uid="{202B7546-5F0B-4E86-90C4-40EC2960F2C4}">
      <formula1>$L$4:$N$4</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02060"/>
    <pageSetUpPr autoPageBreaks="0"/>
  </sheetPr>
  <dimension ref="A1:BH227"/>
  <sheetViews>
    <sheetView showGridLines="0" topLeftCell="A50" zoomScale="70" zoomScaleNormal="70" workbookViewId="0">
      <selection activeCell="R128" sqref="R128"/>
    </sheetView>
  </sheetViews>
  <sheetFormatPr defaultColWidth="0" defaultRowHeight="14.5" zeroHeight="1" x14ac:dyDescent="0.25"/>
  <cols>
    <col min="1" max="1" width="3.7265625" style="3" customWidth="1"/>
    <col min="2" max="2" width="65.453125" style="3" customWidth="1"/>
    <col min="3" max="3" width="20.7265625" style="3" customWidth="1"/>
    <col min="4" max="4" width="11.1796875" style="3" customWidth="1"/>
    <col min="5" max="5" width="7.7265625" style="3" customWidth="1"/>
    <col min="6" max="6" width="30.26953125" style="3" customWidth="1"/>
    <col min="7" max="12" width="11.453125" style="3" customWidth="1"/>
    <col min="13" max="13" width="6.54296875" style="3" customWidth="1"/>
    <col min="14" max="14" width="79.54296875" style="3" bestFit="1" customWidth="1"/>
    <col min="15" max="15" width="15" style="3" bestFit="1" customWidth="1"/>
    <col min="16" max="16" width="14.81640625" style="3" customWidth="1"/>
    <col min="17" max="17" width="3.7265625" style="3" customWidth="1"/>
    <col min="18" max="18" width="69" style="3" bestFit="1" customWidth="1"/>
    <col min="19" max="19" width="20.81640625" style="3" bestFit="1" customWidth="1"/>
    <col min="20" max="48" width="9.7265625" style="3" customWidth="1"/>
    <col min="49" max="49" width="9.7265625" style="48" customWidth="1"/>
    <col min="50" max="59" width="9.7265625" style="3" customWidth="1"/>
    <col min="60" max="60" width="0" style="3" hidden="1" customWidth="1"/>
    <col min="61" max="16384" width="9.1796875" style="3" hidden="1"/>
  </cols>
  <sheetData>
    <row r="1" spans="1:18" ht="15" thickBot="1" x14ac:dyDescent="0.3">
      <c r="A1" s="2" t="str">
        <f ca="1" xml:space="preserve"> RIGHT( CELL("filename",$A$1), LEN( CELL("filename",$A$1)) - SEARCH("]", CELL("filename",$A$1)))</f>
        <v>Dashboard</v>
      </c>
      <c r="B1" s="2"/>
      <c r="C1" s="17">
        <f ca="1" xml:space="preserve"> ReadMe!D7</f>
        <v>0</v>
      </c>
      <c r="D1" s="18" t="str">
        <f xml:space="preserve"> ReadMe!E7</f>
        <v>Checks</v>
      </c>
      <c r="E1" s="19"/>
      <c r="F1" s="344" t="str">
        <f xml:space="preserve"> Inputs!E75</f>
        <v>Simplified Petroleum FARI model: April 2022</v>
      </c>
      <c r="G1" s="344"/>
      <c r="H1" s="344"/>
      <c r="I1" s="344"/>
      <c r="J1" s="465">
        <f ca="1" xml:space="preserve"> Track!$F$1</f>
        <v>0</v>
      </c>
      <c r="K1" s="18" t="str">
        <f xml:space="preserve"> Track!G1</f>
        <v>Track changes</v>
      </c>
      <c r="L1" s="344"/>
      <c r="M1" s="344"/>
      <c r="N1" s="344"/>
      <c r="O1" s="344"/>
      <c r="P1" s="344"/>
      <c r="Q1" s="469"/>
      <c r="R1" s="48"/>
    </row>
    <row r="2" spans="1:18" ht="5.15" customHeight="1" x14ac:dyDescent="0.25">
      <c r="A2" s="41"/>
      <c r="Q2" s="468"/>
      <c r="R2" s="48"/>
    </row>
    <row r="3" spans="1:18" x14ac:dyDescent="0.25">
      <c r="A3" s="41"/>
      <c r="B3" s="42" t="str">
        <f>Translate!E$98</f>
        <v>Project, Fiscal Regime &amp; Prices</v>
      </c>
      <c r="C3" s="42"/>
      <c r="D3" s="42"/>
      <c r="F3" s="1016" t="str">
        <f>Translate!E122</f>
        <v>Participant cashflows</v>
      </c>
      <c r="G3" s="1094" t="str">
        <f xml:space="preserve"> Translate!E$624 &amp; " " &amp; Inputs!F$91</f>
        <v>IRR real</v>
      </c>
      <c r="H3" s="1094"/>
      <c r="I3" s="1094" t="str">
        <f xml:space="preserve"> Inputs!F$52</f>
        <v>US$ mn 2021</v>
      </c>
      <c r="J3" s="1094"/>
      <c r="K3" s="1094" t="str">
        <f xml:space="preserve"> Inputs!$F$62</f>
        <v>US$ mn NPV 8.0 real</v>
      </c>
      <c r="L3" s="1094"/>
      <c r="N3" s="1016" t="str">
        <f xml:space="preserve"> Translate!E$622</f>
        <v>Project cashflows and government revenues</v>
      </c>
      <c r="O3" s="1017" t="str">
        <f xml:space="preserve"> Analysis!$F$81</f>
        <v>US$ mn 2021</v>
      </c>
      <c r="P3" s="1017" t="str">
        <f xml:space="preserve"> Inputs!F$56</f>
        <v>US$ 2021 / bbl</v>
      </c>
      <c r="Q3" s="468"/>
      <c r="R3" s="48"/>
    </row>
    <row r="4" spans="1:18" ht="15" customHeight="1" x14ac:dyDescent="0.25">
      <c r="A4" s="41"/>
      <c r="B4" s="48"/>
      <c r="C4" s="147"/>
      <c r="D4" s="48"/>
      <c r="E4" s="48"/>
      <c r="F4" s="45"/>
      <c r="G4" s="1093" t="str">
        <f>Inputs!F$89</f>
        <v>full-cycle</v>
      </c>
      <c r="H4" s="1093" t="str">
        <f>Inputs!F$90</f>
        <v>FID forward</v>
      </c>
      <c r="I4" s="1093" t="str">
        <f>Inputs!F$89</f>
        <v>full-cycle</v>
      </c>
      <c r="J4" s="1093" t="str">
        <f>Inputs!F$90</f>
        <v>FID forward</v>
      </c>
      <c r="K4" s="1093" t="str">
        <f>Inputs!F$89</f>
        <v>full-cycle</v>
      </c>
      <c r="L4" s="1093" t="str">
        <f>Inputs!F$90</f>
        <v>FID forward</v>
      </c>
      <c r="M4" s="48"/>
      <c r="N4" s="48"/>
      <c r="O4" s="48"/>
      <c r="P4" s="48"/>
      <c r="Q4" s="468"/>
      <c r="R4" s="48"/>
    </row>
    <row r="5" spans="1:18" ht="15" customHeight="1" x14ac:dyDescent="0.25">
      <c r="A5" s="41"/>
      <c r="B5" s="3" t="str">
        <f>Translate!E$99</f>
        <v>Language</v>
      </c>
      <c r="C5" s="737" t="s">
        <v>23</v>
      </c>
      <c r="D5" s="3" t="str">
        <f xml:space="preserve"> Translate!E$103</f>
        <v>Option</v>
      </c>
      <c r="F5" s="45"/>
      <c r="G5" s="1093"/>
      <c r="H5" s="1093"/>
      <c r="I5" s="1093"/>
      <c r="J5" s="1093"/>
      <c r="K5" s="1093"/>
      <c r="L5" s="1093"/>
      <c r="Q5" s="468"/>
      <c r="R5" s="48"/>
    </row>
    <row r="6" spans="1:18" ht="15" customHeight="1" x14ac:dyDescent="0.25">
      <c r="A6" s="41"/>
      <c r="B6" s="3" t="str">
        <f>Translate!E$100</f>
        <v>Fiscal regime selected</v>
      </c>
      <c r="C6" s="716" t="s">
        <v>20</v>
      </c>
      <c r="D6" s="3" t="str">
        <f xml:space="preserve"> Translate!E$103</f>
        <v>Option</v>
      </c>
      <c r="F6" s="3" t="str">
        <f>Translate!E112</f>
        <v>Project</v>
      </c>
      <c r="G6" s="47">
        <f ca="1" xml:space="preserve"> Analysis!F160</f>
        <v>0.32080257078416663</v>
      </c>
      <c r="H6" s="47">
        <f ca="1" xml:space="preserve"> Analysis!F260</f>
        <v>0.39148985987226625</v>
      </c>
      <c r="I6" s="3">
        <f ca="1" xml:space="preserve"> Analysis!F142</f>
        <v>29282.023863224542</v>
      </c>
      <c r="J6" s="48">
        <f ca="1" xml:space="preserve"> Analysis!F242</f>
        <v>29702.023863224542</v>
      </c>
      <c r="K6" s="3">
        <f ca="1" xml:space="preserve"> Analysis!F197</f>
        <v>9993.7794756460353</v>
      </c>
      <c r="L6" s="48">
        <f ca="1" xml:space="preserve"> Analysis!F297</f>
        <v>11246.881833697722</v>
      </c>
      <c r="N6" s="3" t="str">
        <f xml:space="preserve"> Analysis!E84</f>
        <v>Oil revenues gross, after ELT</v>
      </c>
      <c r="O6" s="3">
        <f ca="1" xml:space="preserve"> Analysis!F97</f>
        <v>44103.023863224538</v>
      </c>
      <c r="P6" s="49">
        <f ca="1" xml:space="preserve"> Analysis!F116</f>
        <v>55</v>
      </c>
      <c r="Q6" s="468"/>
      <c r="R6" s="48"/>
    </row>
    <row r="7" spans="1:18" ht="15" customHeight="1" x14ac:dyDescent="0.25">
      <c r="A7" s="41"/>
      <c r="B7" s="3" t="str">
        <f>Translate!E$101</f>
        <v>Selected project</v>
      </c>
      <c r="C7" s="51" t="s">
        <v>21</v>
      </c>
      <c r="D7" s="3" t="str">
        <f xml:space="preserve"> Translate!E$103</f>
        <v>Option</v>
      </c>
      <c r="F7" s="3" t="str">
        <f>Translate!E113</f>
        <v>IOC</v>
      </c>
      <c r="G7" s="47">
        <f ca="1" xml:space="preserve"> Analysis!F161</f>
        <v>0.2657782298330591</v>
      </c>
      <c r="H7" s="47">
        <f ca="1" xml:space="preserve"> Analysis!F261</f>
        <v>0.4755504698958648</v>
      </c>
      <c r="I7" s="3">
        <f ca="1" xml:space="preserve"> IFERROR(Analysis!F147, 0)</f>
        <v>8704.1330285901367</v>
      </c>
      <c r="J7" s="48">
        <f ca="1" xml:space="preserve"> IFERROR( Analysis!F247, 0)</f>
        <v>9134.1330285901367</v>
      </c>
      <c r="K7" s="3">
        <f ca="1" xml:space="preserve"> Analysis!F202</f>
        <v>2826.9198732996342</v>
      </c>
      <c r="L7" s="48">
        <f ca="1" xml:space="preserve"> Analysis!F302</f>
        <v>3517.4734631636056</v>
      </c>
      <c r="N7" s="3" t="str">
        <f xml:space="preserve"> Analysis!E85</f>
        <v>Transport costs post-fiscal point, after ELT</v>
      </c>
      <c r="O7" s="3">
        <f ca="1" xml:space="preserve"> Analysis!F98</f>
        <v>0</v>
      </c>
      <c r="P7" s="49">
        <f ca="1" xml:space="preserve"> Analysis!F117</f>
        <v>0</v>
      </c>
      <c r="Q7" s="468"/>
      <c r="R7" s="48"/>
    </row>
    <row r="8" spans="1:18" ht="15" customHeight="1" x14ac:dyDescent="0.25">
      <c r="A8" s="41"/>
      <c r="C8" s="44"/>
      <c r="F8" s="3" t="str">
        <f>Translate!E114</f>
        <v>Lender</v>
      </c>
      <c r="G8" s="47">
        <f ca="1" xml:space="preserve"> Analysis!F162</f>
        <v>3.0303570450990636E-2</v>
      </c>
      <c r="H8" s="47">
        <f ca="1" xml:space="preserve"> Analysis!F262</f>
        <v>3.0303570450990636E-2</v>
      </c>
      <c r="I8" s="3">
        <f ca="1" xml:space="preserve"> IFERROR(Analysis!F148, 0)</f>
        <v>523.4019380701593</v>
      </c>
      <c r="J8" s="48">
        <f ca="1" xml:space="preserve"> IFERROR( Analysis!F248, 0)</f>
        <v>523.4019380701593</v>
      </c>
      <c r="K8" s="3">
        <f ca="1" xml:space="preserve"> Analysis!F203</f>
        <v>-466.14241440768484</v>
      </c>
      <c r="L8" s="48">
        <f ca="1" xml:space="preserve"> Analysis!F303</f>
        <v>-503.43380756029967</v>
      </c>
      <c r="N8" s="3" t="str">
        <f xml:space="preserve"> Analysis!E86</f>
        <v>Net revenues after ELT</v>
      </c>
      <c r="O8" s="3">
        <f ca="1" xml:space="preserve"> Analysis!F99</f>
        <v>44103.023863224538</v>
      </c>
      <c r="P8" s="49">
        <f ca="1" xml:space="preserve"> Analysis!F118</f>
        <v>55</v>
      </c>
      <c r="Q8" s="468"/>
      <c r="R8" s="48"/>
    </row>
    <row r="9" spans="1:18" ht="15" customHeight="1" x14ac:dyDescent="0.25">
      <c r="A9" s="41"/>
      <c r="B9" s="52" t="str">
        <f>Translate!E$102</f>
        <v>Oil price (constant real terms)</v>
      </c>
      <c r="C9" s="53">
        <v>55</v>
      </c>
      <c r="D9" s="54" t="str">
        <f xml:space="preserve"> Inputs!F$56</f>
        <v>US$ 2021 / bbl</v>
      </c>
      <c r="F9" s="3" t="str">
        <f xml:space="preserve"> F7 &amp; " + " &amp; F8</f>
        <v>IOC + Lender</v>
      </c>
      <c r="G9" s="47">
        <f ca="1" xml:space="preserve"> Analysis!F163</f>
        <v>0.17257303285373449</v>
      </c>
      <c r="H9" s="47">
        <f ca="1" xml:space="preserve"> Analysis!F263</f>
        <v>0.21546251757197021</v>
      </c>
      <c r="I9" s="3">
        <f ca="1" xml:space="preserve"> IFERROR( Analysis!F149, 0)</f>
        <v>9227.534966660296</v>
      </c>
      <c r="J9" s="48">
        <f ca="1" xml:space="preserve"> IFERROR( Analysis!F249, 0)</f>
        <v>9657.534966660296</v>
      </c>
      <c r="K9" s="3">
        <f ca="1" xml:space="preserve"> Analysis!F204</f>
        <v>2360.7774588919497</v>
      </c>
      <c r="L9" s="48">
        <f ca="1" xml:space="preserve"> Analysis!F304</f>
        <v>3014.0396556033056</v>
      </c>
      <c r="P9" s="49"/>
      <c r="Q9" s="468"/>
      <c r="R9" s="48"/>
    </row>
    <row r="10" spans="1:18" ht="15" customHeight="1" x14ac:dyDescent="0.25">
      <c r="A10" s="41"/>
      <c r="C10" s="44"/>
      <c r="F10" s="3" t="str">
        <f>Translate!E115</f>
        <v>Government excl. participation</v>
      </c>
      <c r="G10" s="47"/>
      <c r="H10" s="47"/>
      <c r="I10" s="3">
        <f ca="1" xml:space="preserve"> IFERROR( Analysis!F144, 0)</f>
        <v>16056.404234002974</v>
      </c>
      <c r="J10" s="48">
        <f ca="1" xml:space="preserve"> IFERROR( Analysis!F244, 0)</f>
        <v>16046.404234002974</v>
      </c>
      <c r="K10" s="3">
        <f ca="1" xml:space="preserve"> Analysis!F199</f>
        <v>6243.0321694016075</v>
      </c>
      <c r="L10" s="48">
        <f ca="1" xml:space="preserve"> Analysis!F299</f>
        <v>6731.6747429537372</v>
      </c>
      <c r="N10" s="3" t="str">
        <f xml:space="preserve"> Analysis!E88</f>
        <v>Exploration costs, after ELT</v>
      </c>
      <c r="O10" s="3">
        <f ca="1" xml:space="preserve"> Analysis!F101</f>
        <v>420</v>
      </c>
      <c r="P10" s="49">
        <f ca="1" xml:space="preserve"> Analysis!F120</f>
        <v>0.52377360952934604</v>
      </c>
      <c r="Q10" s="468"/>
      <c r="R10" s="48"/>
    </row>
    <row r="11" spans="1:18" ht="15" customHeight="1" x14ac:dyDescent="0.25">
      <c r="A11" s="41"/>
      <c r="B11" s="55" t="str">
        <f xml:space="preserve"> Translate!E$104</f>
        <v>Price sensitivity</v>
      </c>
      <c r="C11" s="528">
        <v>1</v>
      </c>
      <c r="D11" s="56" t="str">
        <f xml:space="preserve"> Translate!E$110</f>
        <v>factor</v>
      </c>
      <c r="F11" s="3" t="str">
        <f xml:space="preserve"> Translate!E$173</f>
        <v>State participation</v>
      </c>
      <c r="G11" s="47">
        <f ca="1" xml:space="preserve"> Analysis!F164</f>
        <v>0.30921009023404911</v>
      </c>
      <c r="H11" s="47">
        <f ca="1" xml:space="preserve"> Analysis!F264</f>
        <v>0.30921009023404911</v>
      </c>
      <c r="I11" s="3">
        <f ca="1" xml:space="preserve"> IFERROR( Analysis!F145, 0)</f>
        <v>3982.9846625612686</v>
      </c>
      <c r="J11" s="48">
        <f ca="1" xml:space="preserve"> IFERROR(Analysis!F245, 0)</f>
        <v>3982.9846625612686</v>
      </c>
      <c r="K11" s="3">
        <f ca="1" xml:space="preserve"> Analysis!F200</f>
        <v>1287.7447599378931</v>
      </c>
      <c r="L11" s="48">
        <f ca="1" xml:space="preserve"> Analysis!F300</f>
        <v>1390.7643407329244</v>
      </c>
      <c r="N11" s="3" t="str">
        <f xml:space="preserve"> Analysis!E89</f>
        <v>Development costs, after ELT</v>
      </c>
      <c r="O11" s="3">
        <f ca="1" xml:space="preserve"> Analysis!F102</f>
        <v>9050</v>
      </c>
      <c r="P11" s="49">
        <f ca="1" xml:space="preserve"> Analysis!F121</f>
        <v>11.286074205334719</v>
      </c>
      <c r="Q11" s="468"/>
      <c r="R11" s="48"/>
    </row>
    <row r="12" spans="1:18" ht="15" customHeight="1" x14ac:dyDescent="0.25">
      <c r="A12" s="41"/>
      <c r="B12" s="55" t="str">
        <f xml:space="preserve"> Translate!E$105</f>
        <v>Production sensitivity</v>
      </c>
      <c r="C12" s="528">
        <v>1</v>
      </c>
      <c r="D12" s="56" t="str">
        <f xml:space="preserve"> Translate!E$110</f>
        <v>factor</v>
      </c>
      <c r="F12" s="3" t="str">
        <f>Translate!E116</f>
        <v>Government including participation</v>
      </c>
      <c r="I12" s="3">
        <f ca="1" xml:space="preserve"> IFERROR( Analysis!F146, 0)</f>
        <v>20039.388896564244</v>
      </c>
      <c r="J12" s="48">
        <f ca="1" xml:space="preserve"> IFERROR(Analysis!F246, 0)</f>
        <v>20029.388896564244</v>
      </c>
      <c r="K12" s="3">
        <f ca="1" xml:space="preserve"> Analysis!F201</f>
        <v>7530.7769293395004</v>
      </c>
      <c r="L12" s="48">
        <f ca="1" xml:space="preserve"> Analysis!F301</f>
        <v>8122.4390836866605</v>
      </c>
      <c r="N12" s="3" t="str">
        <f xml:space="preserve"> Analysis!E90</f>
        <v>Replacement capital costs, after ELT</v>
      </c>
      <c r="O12" s="3">
        <f ca="1" xml:space="preserve"> Analysis!F103</f>
        <v>0</v>
      </c>
      <c r="P12" s="49">
        <f ca="1" xml:space="preserve"> Analysis!F122</f>
        <v>0</v>
      </c>
      <c r="Q12" s="468"/>
      <c r="R12" s="48"/>
    </row>
    <row r="13" spans="1:18" ht="15" customHeight="1" x14ac:dyDescent="0.25">
      <c r="A13" s="41"/>
      <c r="B13" s="55" t="str">
        <f xml:space="preserve"> Translate!E$106</f>
        <v>Exploration cost sensitivity</v>
      </c>
      <c r="C13" s="528">
        <v>1</v>
      </c>
      <c r="D13" s="56" t="str">
        <f xml:space="preserve"> Translate!E$110</f>
        <v>factor</v>
      </c>
      <c r="F13" s="3" t="str">
        <f>Translate!E$118</f>
        <v>Government share (AETR)</v>
      </c>
      <c r="I13" s="47">
        <f ca="1" xml:space="preserve"> IFERROR( Analysis!F156, 0)</f>
        <v>0.68435805496804558</v>
      </c>
      <c r="J13" s="57">
        <f ca="1" xml:space="preserve"> IFERROR(Analysis!F256, 0)</f>
        <v>0.67434424633142798</v>
      </c>
      <c r="K13" s="47">
        <f ca="1" xml:space="preserve"> Analysis!F211</f>
        <v>0.75354643833109825</v>
      </c>
      <c r="L13" s="57">
        <f ca="1" xml:space="preserve"> Analysis!F311</f>
        <v>0.7221947561812504</v>
      </c>
      <c r="N13" s="3" t="str">
        <f xml:space="preserve"> Analysis!E91</f>
        <v>Operating costs, after ELT</v>
      </c>
      <c r="O13" s="3">
        <f ca="1" xml:space="preserve"> Analysis!F104</f>
        <v>4601</v>
      </c>
      <c r="P13" s="49">
        <f ca="1" xml:space="preserve"> Analysis!F123</f>
        <v>5.7378151843917173</v>
      </c>
      <c r="Q13" s="468"/>
      <c r="R13" s="48"/>
    </row>
    <row r="14" spans="1:18" ht="15" customHeight="1" x14ac:dyDescent="0.25">
      <c r="A14" s="41"/>
      <c r="B14" s="55" t="str">
        <f xml:space="preserve"> Translate!E$107</f>
        <v xml:space="preserve">Capex sensitivity (Dev; Replace; Decomm.) </v>
      </c>
      <c r="C14" s="528">
        <v>1</v>
      </c>
      <c r="D14" s="56" t="str">
        <f xml:space="preserve"> Translate!E$110</f>
        <v>factor</v>
      </c>
      <c r="F14" s="3" t="str">
        <f>Translate!E119</f>
        <v>Government share of project benefits</v>
      </c>
      <c r="I14" s="47">
        <f ca="1" xml:space="preserve"> IFERROR( Analysis!F157, 0)</f>
        <v>0.51711851146906207</v>
      </c>
      <c r="J14" s="57">
        <f ca="1" xml:space="preserve"> IFERROR( Analysis!F257, 0)</f>
        <v>0.51686046043061062</v>
      </c>
      <c r="K14" s="47">
        <f ca="1" xml:space="preserve"> Analysis!F212</f>
        <v>0.47252242788692667</v>
      </c>
      <c r="L14" s="57">
        <f ca="1" xml:space="preserve"> Analysis!F312</f>
        <v>0.47189497280185311</v>
      </c>
      <c r="N14" s="3" t="str">
        <f xml:space="preserve"> Analysis!E92</f>
        <v>Decommissioning costs, after ELT</v>
      </c>
      <c r="O14" s="3">
        <f ca="1" xml:space="preserve"> Analysis!F105</f>
        <v>750</v>
      </c>
      <c r="P14" s="49">
        <f ca="1" xml:space="preserve"> Analysis!F124</f>
        <v>0.93531001701668937</v>
      </c>
      <c r="Q14" s="468"/>
      <c r="R14" s="48"/>
    </row>
    <row r="15" spans="1:18" ht="15" customHeight="1" x14ac:dyDescent="0.25">
      <c r="A15" s="41"/>
      <c r="B15" s="55" t="str">
        <f xml:space="preserve"> Translate!E$108</f>
        <v>Operating cost sensitivity</v>
      </c>
      <c r="C15" s="528">
        <v>1</v>
      </c>
      <c r="D15" s="56" t="str">
        <f xml:space="preserve"> Translate!E$110</f>
        <v>factor</v>
      </c>
      <c r="F15" s="58" t="str">
        <f>Translate!E121</f>
        <v>Net decommissioning fund</v>
      </c>
      <c r="I15" s="58">
        <f ca="1" xml:space="preserve"> IFERROR( Analysis!F143, 0)</f>
        <v>-15.100000000000165</v>
      </c>
      <c r="J15" s="470">
        <f ca="1" xml:space="preserve"> IFERROR(Analysis!F243, 0)</f>
        <v>-15.100000000000165</v>
      </c>
      <c r="K15" s="58">
        <f ca="1" xml:space="preserve"> Analysis!F198</f>
        <v>-102.22508741458664</v>
      </c>
      <c r="L15" s="470">
        <f ca="1" xml:space="preserve"> Analysis!F298</f>
        <v>-110.4030944077535</v>
      </c>
      <c r="N15" s="3" t="str">
        <f xml:space="preserve"> Analysis!E93</f>
        <v>Project costs</v>
      </c>
      <c r="O15" s="3">
        <f ca="1" xml:space="preserve"> Analysis!F106</f>
        <v>14821</v>
      </c>
      <c r="P15" s="49">
        <f ca="1" xml:space="preserve"> Analysis!F125</f>
        <v>18.482973016272471</v>
      </c>
      <c r="Q15" s="468"/>
      <c r="R15" s="48"/>
    </row>
    <row r="16" spans="1:18" ht="15" customHeight="1" x14ac:dyDescent="0.25">
      <c r="A16" s="41"/>
      <c r="B16" s="55"/>
      <c r="C16" s="48"/>
      <c r="F16" s="58" t="str">
        <f xml:space="preserve"> Translate!E$755 &amp; " " &amp; Translate!E$701</f>
        <v>Check:  Project cashflows</v>
      </c>
      <c r="G16" s="58"/>
      <c r="H16" s="58"/>
      <c r="I16" s="71">
        <f ca="1" xml:space="preserve"> IF( ABS( I6 - I9 - I12 + I15) &gt; CHK_TOL, 1, 0)</f>
        <v>0</v>
      </c>
      <c r="J16" s="71">
        <f ca="1" xml:space="preserve"> IF( ABS( J6 - J9 - J12 + J15) &gt; CHK_TOL, 1, 0)</f>
        <v>0</v>
      </c>
      <c r="K16" s="71">
        <f ca="1" xml:space="preserve"> IF( ABS( K6 - K9 - K12 + K15) &gt; CHK_TOL, 1, 0)</f>
        <v>0</v>
      </c>
      <c r="L16" s="71">
        <f ca="1" xml:space="preserve"> IF( ABS( L6 - L9 - L12 + L15) &gt; CHK_TOL, 1, 0)</f>
        <v>0</v>
      </c>
      <c r="M16"/>
      <c r="P16" s="49"/>
      <c r="Q16" s="468"/>
      <c r="R16" s="48"/>
    </row>
    <row r="17" spans="1:18" ht="15" customHeight="1" x14ac:dyDescent="0.25">
      <c r="A17" s="41"/>
      <c r="B17" s="116" t="str">
        <f xml:space="preserve"> Translate!E$109</f>
        <v>Discount rate</v>
      </c>
      <c r="C17" s="765">
        <v>0.08</v>
      </c>
      <c r="D17" s="109" t="str">
        <f xml:space="preserve"> "% " &amp; Inputs!F$91</f>
        <v>% real</v>
      </c>
      <c r="F17" s="58" t="str">
        <f xml:space="preserve"> Translate!E$755 &amp; " " &amp; Translate!E$120</f>
        <v>Check:  AETR</v>
      </c>
      <c r="G17" s="58"/>
      <c r="H17" s="58"/>
      <c r="I17" s="71">
        <f ca="1" xml:space="preserve"> IF( ABS( I12 / I6 - I13) &gt; CHK_TOL, 1, 0)</f>
        <v>0</v>
      </c>
      <c r="J17" s="71">
        <f ca="1" xml:space="preserve"> IF( ABS( J12 / J6 - J13) &gt; CHK_TOL, 1, 0)</f>
        <v>0</v>
      </c>
      <c r="K17" s="71">
        <f ca="1" xml:space="preserve"> IF( ABS( K12 / K6 - K13) &gt; CHK_TOL, 1, 0)</f>
        <v>0</v>
      </c>
      <c r="L17" s="71">
        <f ca="1" xml:space="preserve"> IF( ABS( L12 / L6 - L13) &gt; CHK_TOL, 1, 0)</f>
        <v>0</v>
      </c>
      <c r="M17"/>
      <c r="N17" s="3" t="str">
        <f xml:space="preserve"> Analysis!E95</f>
        <v>Cashflow before decommissioning fund</v>
      </c>
      <c r="O17" s="3">
        <f ca="1" xml:space="preserve"> Analysis!F108</f>
        <v>29282.023863224542</v>
      </c>
      <c r="P17" s="49">
        <f ca="1" xml:space="preserve"> Analysis!F127</f>
        <v>36.517026983727533</v>
      </c>
      <c r="Q17" s="468"/>
      <c r="R17" s="48"/>
    </row>
    <row r="18" spans="1:18" x14ac:dyDescent="0.25">
      <c r="A18" s="41"/>
      <c r="C18"/>
      <c r="D18"/>
      <c r="Q18" s="468"/>
      <c r="R18" s="48"/>
    </row>
    <row r="19" spans="1:18" x14ac:dyDescent="0.25">
      <c r="A19" s="41"/>
      <c r="B19" s="42" t="str">
        <f xml:space="preserve"> Translate!E$612</f>
        <v>Project statistics and economic limit (EL)</v>
      </c>
      <c r="C19" s="42"/>
      <c r="D19" s="42"/>
      <c r="N19" s="42" t="str">
        <f xml:space="preserve"> Translate!E$623</f>
        <v>Government revenues</v>
      </c>
      <c r="O19" s="992" t="str">
        <f xml:space="preserve"> Analysis!$F$81</f>
        <v>US$ mn 2021</v>
      </c>
      <c r="P19" s="43" t="s">
        <v>24</v>
      </c>
      <c r="Q19" s="468"/>
      <c r="R19" s="48"/>
    </row>
    <row r="20" spans="1:18" ht="15" customHeight="1" x14ac:dyDescent="0.25">
      <c r="A20" s="41"/>
      <c r="B20" s="56" t="str">
        <f xml:space="preserve"> ProjectCashflows!E$133</f>
        <v>Total: Oil production Volume after ELT</v>
      </c>
      <c r="C20" s="56">
        <f ca="1" xml:space="preserve"> ProjectCashflows!F$133</f>
        <v>801.87316114953705</v>
      </c>
      <c r="D20" s="56" t="str">
        <f xml:space="preserve"> ProjectCashflows!G$133</f>
        <v>Mn Bbl</v>
      </c>
      <c r="N20" s="3" t="str">
        <f xml:space="preserve"> FiscalModel!E1120</f>
        <v>Bonuses</v>
      </c>
      <c r="O20" s="3">
        <f ca="1" xml:space="preserve"> FiscalModel!F1134</f>
        <v>56.192271301325711</v>
      </c>
      <c r="P20" s="47">
        <f t="shared" ref="P20:P31" ca="1" si="0" xml:space="preserve"> O20 / $O$31</f>
        <v>2.8040910624255555E-3</v>
      </c>
      <c r="Q20" s="468"/>
      <c r="R20" s="48"/>
    </row>
    <row r="21" spans="1:18" ht="15" customHeight="1" x14ac:dyDescent="0.25">
      <c r="A21" s="41"/>
      <c r="B21" s="3" t="str">
        <f xml:space="preserve"> ProjectCashflows!E183</f>
        <v>Production years, after ELT</v>
      </c>
      <c r="C21" s="3">
        <f ca="1" xml:space="preserve"> ProjectCashflows!F183</f>
        <v>27</v>
      </c>
      <c r="D21" s="3" t="str">
        <f xml:space="preserve"> ProjectCashflows!G183</f>
        <v>Year</v>
      </c>
      <c r="N21" s="3" t="str">
        <f xml:space="preserve"> FiscalModel!E1121</f>
        <v>Royalty</v>
      </c>
      <c r="O21" s="3">
        <f ca="1" xml:space="preserve"> FiscalModel!F1135</f>
        <v>8820.6047726449069</v>
      </c>
      <c r="P21" s="47">
        <f t="shared" ca="1" si="0"/>
        <v>0.44016336117700677</v>
      </c>
      <c r="Q21" s="468"/>
      <c r="R21" s="48"/>
    </row>
    <row r="22" spans="1:18" ht="15" customHeight="1" x14ac:dyDescent="0.25">
      <c r="A22" s="41"/>
      <c r="B22" s="3" t="str">
        <f xml:space="preserve"> ProjectCashflows!E$120</f>
        <v>EL reached before project end</v>
      </c>
      <c r="C22" s="3">
        <f ca="1" xml:space="preserve"> ProjectCashflows!F$120</f>
        <v>0</v>
      </c>
      <c r="D22" s="3" t="str">
        <f xml:space="preserve"> ProjectCashflows!G$120</f>
        <v>Year</v>
      </c>
      <c r="N22" s="3" t="str">
        <f xml:space="preserve"> FiscalModel!E1122</f>
        <v>Carbon tax</v>
      </c>
      <c r="O22" s="3">
        <f ca="1" xml:space="preserve"> FiscalModel!F1136</f>
        <v>788.47391027310312</v>
      </c>
      <c r="P22" s="47">
        <f t="shared" ca="1" si="0"/>
        <v>3.9346205333052199E-2</v>
      </c>
      <c r="Q22" s="468"/>
      <c r="R22" s="48"/>
    </row>
    <row r="23" spans="1:18" ht="15" customHeight="1" x14ac:dyDescent="0.25">
      <c r="A23" s="41"/>
      <c r="B23" s="3" t="str">
        <f xml:space="preserve"> FiscalModel!E$1036</f>
        <v>IOC EL after tax reached before project EL</v>
      </c>
      <c r="C23" s="3">
        <f ca="1" xml:space="preserve"> FiscalModel!F$1036</f>
        <v>0</v>
      </c>
      <c r="D23" s="3" t="str">
        <f xml:space="preserve"> FiscalModel!G$1036</f>
        <v>Year</v>
      </c>
      <c r="E23" s="1"/>
      <c r="N23" s="3" t="str">
        <f xml:space="preserve"> FiscalModel!E1123</f>
        <v>PSC: Government profit oil</v>
      </c>
      <c r="O23" s="3">
        <f ca="1" xml:space="preserve"> FiscalModel!F1137</f>
        <v>0</v>
      </c>
      <c r="P23" s="47">
        <f t="shared" ca="1" si="0"/>
        <v>0</v>
      </c>
      <c r="Q23" s="468"/>
      <c r="R23" s="48"/>
    </row>
    <row r="24" spans="1:18" ht="15" customHeight="1" x14ac:dyDescent="0.25">
      <c r="A24" s="41"/>
      <c r="N24" s="3" t="str">
        <f xml:space="preserve"> FiscalModel!E1124</f>
        <v>CIT paid: IOC</v>
      </c>
      <c r="O24" s="3">
        <f ca="1" xml:space="preserve"> FiscalModel!F1138</f>
        <v>5284.9099061807456</v>
      </c>
      <c r="P24" s="47">
        <f t="shared" ca="1" si="0"/>
        <v>0.26372610130276197</v>
      </c>
      <c r="Q24" s="468"/>
      <c r="R24" s="48"/>
    </row>
    <row r="25" spans="1:18" ht="15" customHeight="1" x14ac:dyDescent="0.25">
      <c r="A25" s="41"/>
      <c r="N25" s="3" t="str">
        <f xml:space="preserve"> FiscalModel!E1125</f>
        <v>Resource rent tax: IOC</v>
      </c>
      <c r="O25" s="3">
        <f ca="1" xml:space="preserve"> FiscalModel!F1139</f>
        <v>0</v>
      </c>
      <c r="P25" s="47">
        <f t="shared" ca="1" si="0"/>
        <v>0</v>
      </c>
      <c r="Q25" s="468"/>
      <c r="R25" s="48"/>
    </row>
    <row r="26" spans="1:18" ht="15" customHeight="1" x14ac:dyDescent="0.25">
      <c r="A26" s="41"/>
      <c r="N26" s="3" t="str">
        <f xml:space="preserve"> FiscalModel!E1126</f>
        <v>Dividend withholding tax</v>
      </c>
      <c r="O26" s="3">
        <f ca="1" xml:space="preserve"> FiscalModel!F1140</f>
        <v>1013.9780597960219</v>
      </c>
      <c r="P26" s="47">
        <f t="shared" ca="1" si="0"/>
        <v>5.0599250557479256E-2</v>
      </c>
      <c r="Q26" s="468"/>
      <c r="R26" s="48"/>
    </row>
    <row r="27" spans="1:18" ht="15" customHeight="1" x14ac:dyDescent="0.25">
      <c r="A27" s="41"/>
      <c r="N27" s="3" t="str">
        <f xml:space="preserve"> FiscalModel!E1127</f>
        <v>Interest withholding tax</v>
      </c>
      <c r="O27" s="3">
        <f ca="1" xml:space="preserve"> FiscalModel!F1141</f>
        <v>92.245313806865923</v>
      </c>
      <c r="P27" s="47">
        <f t="shared" ca="1" si="0"/>
        <v>4.6031999420242499E-3</v>
      </c>
      <c r="Q27" s="468"/>
      <c r="R27" s="48"/>
    </row>
    <row r="28" spans="1:18" ht="15" customHeight="1" x14ac:dyDescent="0.25">
      <c r="A28" s="41"/>
      <c r="N28" s="3" t="str">
        <f xml:space="preserve"> FiscalModel!E1128</f>
        <v>VAT cashflow: government</v>
      </c>
      <c r="O28" s="3">
        <f ca="1" xml:space="preserve"> FiscalModel!F1142</f>
        <v>0</v>
      </c>
      <c r="P28" s="47">
        <f t="shared" ca="1" si="0"/>
        <v>0</v>
      </c>
      <c r="Q28" s="468"/>
      <c r="R28" s="48"/>
    </row>
    <row r="29" spans="1:18" ht="15" customHeight="1" x14ac:dyDescent="0.25">
      <c r="A29" s="41"/>
      <c r="N29" s="3" t="str">
        <f xml:space="preserve"> FiscalModel!E1129</f>
        <v>Government revenues excluding participation</v>
      </c>
      <c r="O29" s="3">
        <f ca="1" xml:space="preserve"> FiscalModel!F1143</f>
        <v>16056.404234002975</v>
      </c>
      <c r="P29" s="47">
        <f t="shared" ca="1" si="0"/>
        <v>0.80124220937475032</v>
      </c>
      <c r="Q29" s="468"/>
      <c r="R29" s="48"/>
    </row>
    <row r="30" spans="1:18" ht="15" customHeight="1" x14ac:dyDescent="0.25">
      <c r="A30" s="41"/>
      <c r="N30" s="3" t="str">
        <f xml:space="preserve"> FiscalModel!E1130</f>
        <v>SOC net cash flow before tax, after carried interest, including share of lender cashflows</v>
      </c>
      <c r="O30" s="3">
        <f ca="1" xml:space="preserve"> FiscalModel!F1144</f>
        <v>3982.9846625612686</v>
      </c>
      <c r="P30" s="47">
        <f t="shared" ca="1" si="0"/>
        <v>0.19875779062524965</v>
      </c>
      <c r="Q30" s="468"/>
      <c r="R30" s="48"/>
    </row>
    <row r="31" spans="1:18" ht="15" customHeight="1" x14ac:dyDescent="0.25">
      <c r="A31" s="41"/>
      <c r="N31" s="3" t="str">
        <f xml:space="preserve"> FiscalModel!E1131</f>
        <v>Government revenues including participation</v>
      </c>
      <c r="O31" s="3">
        <f ca="1" xml:space="preserve"> FiscalModel!F1145</f>
        <v>20039.388896564244</v>
      </c>
      <c r="P31" s="47">
        <f t="shared" ca="1" si="0"/>
        <v>1</v>
      </c>
      <c r="Q31" s="468"/>
      <c r="R31" s="48"/>
    </row>
    <row r="32" spans="1:18" x14ac:dyDescent="0.25">
      <c r="A32" s="41"/>
      <c r="N32" s="257" t="str">
        <f xml:space="preserve"> Translate!E$118 &amp;  ": " &amp; Inputs!F$93</f>
        <v>Government share (AETR): undiscounted</v>
      </c>
      <c r="O32" s="47">
        <f ca="1" xml:space="preserve"> O31 / I6</f>
        <v>0.68435805496804558</v>
      </c>
      <c r="Q32" s="468"/>
      <c r="R32" s="48"/>
    </row>
    <row r="33" spans="1:18" x14ac:dyDescent="0.25">
      <c r="A33" s="41"/>
      <c r="Q33" s="468"/>
      <c r="R33" s="48"/>
    </row>
    <row r="34" spans="1:18" x14ac:dyDescent="0.25">
      <c r="A34" s="41"/>
      <c r="Q34" s="468"/>
      <c r="R34" s="48"/>
    </row>
    <row r="35" spans="1:18" x14ac:dyDescent="0.25">
      <c r="A35" s="41"/>
      <c r="Q35" s="468"/>
      <c r="R35" s="48"/>
    </row>
    <row r="36" spans="1:18" x14ac:dyDescent="0.25">
      <c r="A36" s="41"/>
      <c r="Q36" s="468"/>
      <c r="R36" s="48"/>
    </row>
    <row r="37" spans="1:18" x14ac:dyDescent="0.25">
      <c r="A37" s="41"/>
      <c r="Q37" s="468"/>
      <c r="R37" s="48"/>
    </row>
    <row r="38" spans="1:18" x14ac:dyDescent="0.25">
      <c r="A38" s="41"/>
      <c r="Q38" s="468"/>
      <c r="R38" s="48"/>
    </row>
    <row r="39" spans="1:18" x14ac:dyDescent="0.25">
      <c r="A39" s="41"/>
      <c r="Q39" s="468"/>
      <c r="R39" s="48"/>
    </row>
    <row r="40" spans="1:18" x14ac:dyDescent="0.25">
      <c r="A40" s="41"/>
      <c r="Q40" s="468"/>
      <c r="R40" s="48"/>
    </row>
    <row r="41" spans="1:18" x14ac:dyDescent="0.25">
      <c r="A41" s="41"/>
      <c r="Q41" s="468"/>
      <c r="R41" s="48"/>
    </row>
    <row r="42" spans="1:18" x14ac:dyDescent="0.25">
      <c r="A42" s="41"/>
      <c r="Q42" s="468"/>
      <c r="R42" s="48"/>
    </row>
    <row r="43" spans="1:18" x14ac:dyDescent="0.25">
      <c r="A43" s="41"/>
      <c r="Q43" s="468"/>
      <c r="R43" s="48"/>
    </row>
    <row r="44" spans="1:18" s="48" customFormat="1" x14ac:dyDescent="0.25">
      <c r="A44" s="41"/>
      <c r="B44" s="3"/>
      <c r="C44" s="3"/>
      <c r="D44" s="3"/>
      <c r="E44" s="3"/>
      <c r="F44" s="3"/>
      <c r="G44" s="3"/>
      <c r="H44" s="3"/>
      <c r="I44" s="3"/>
      <c r="J44" s="3"/>
      <c r="K44" s="3"/>
      <c r="L44" s="3"/>
      <c r="M44" s="3"/>
      <c r="N44" s="3"/>
      <c r="O44" s="3"/>
      <c r="P44" s="3"/>
      <c r="Q44" s="468"/>
    </row>
    <row r="45" spans="1:18" s="48" customFormat="1" x14ac:dyDescent="0.25">
      <c r="A45" s="41"/>
      <c r="B45" s="3"/>
      <c r="C45" s="3"/>
      <c r="D45" s="3"/>
      <c r="E45" s="3"/>
      <c r="F45" s="3"/>
      <c r="G45" s="3"/>
      <c r="H45" s="3"/>
      <c r="I45" s="3"/>
      <c r="J45" s="3"/>
      <c r="K45" s="3"/>
      <c r="L45" s="3"/>
      <c r="M45" s="3"/>
      <c r="N45" s="3"/>
      <c r="O45" s="3"/>
      <c r="P45" s="3"/>
      <c r="Q45" s="468"/>
    </row>
    <row r="46" spans="1:18" ht="14.15" customHeight="1" x14ac:dyDescent="0.25">
      <c r="A46" s="41"/>
      <c r="B46" s="41"/>
      <c r="C46" s="41"/>
      <c r="D46" s="41"/>
      <c r="E46" s="41"/>
      <c r="F46" s="41"/>
      <c r="G46" s="41"/>
      <c r="H46" s="41"/>
      <c r="I46" s="41"/>
      <c r="J46" s="41"/>
      <c r="K46" s="41"/>
      <c r="L46" s="41"/>
      <c r="M46" s="41"/>
      <c r="N46" s="41"/>
      <c r="O46" s="41"/>
      <c r="P46" s="41"/>
      <c r="Q46" s="468"/>
      <c r="R46" s="48"/>
    </row>
    <row r="47" spans="1:18" x14ac:dyDescent="0.25">
      <c r="Q47" s="48"/>
    </row>
    <row r="48" spans="1:18" x14ac:dyDescent="0.25">
      <c r="B48" s="966" t="str">
        <f xml:space="preserve"> Translate!E$613</f>
        <v>Links to analytical routines</v>
      </c>
      <c r="C48" s="468"/>
      <c r="D48" s="468"/>
      <c r="F48" s="66" t="str">
        <f ca="1">A$1 &amp; ": " &amp; Translate!E$626</f>
        <v>Dashboard: Sheet checks</v>
      </c>
      <c r="G48" s="66"/>
      <c r="H48" s="66"/>
      <c r="I48" s="66"/>
      <c r="J48" s="66"/>
      <c r="K48" s="66"/>
      <c r="L48" s="66"/>
    </row>
    <row r="49" spans="1:59" x14ac:dyDescent="0.25">
      <c r="B49" s="1013" t="str">
        <f>A60</f>
        <v>Results from selected fiscal regimes</v>
      </c>
      <c r="E49" s="350"/>
      <c r="F49" s="68"/>
      <c r="G49" s="68"/>
      <c r="H49" s="68"/>
      <c r="I49" s="68"/>
      <c r="J49" s="68"/>
      <c r="K49" s="67" t="str">
        <f xml:space="preserve"> Translate!E$651</f>
        <v>do not delete row</v>
      </c>
      <c r="L49" s="69"/>
      <c r="M49" s="48"/>
      <c r="Q49" s="48"/>
      <c r="R49" s="48"/>
      <c r="S49" s="48"/>
      <c r="T49" s="48"/>
      <c r="U49" s="48"/>
      <c r="V49" s="48"/>
      <c r="W49" s="48"/>
      <c r="X49" s="48"/>
      <c r="Y49" s="48"/>
      <c r="Z49" s="48"/>
      <c r="AA49" s="48"/>
    </row>
    <row r="50" spans="1:59" x14ac:dyDescent="0.25">
      <c r="B50" s="1013" t="str">
        <f>A93</f>
        <v>Government revenue profiles under alternative regimes</v>
      </c>
      <c r="E50" s="56"/>
      <c r="F50" s="70" t="str">
        <f xml:space="preserve"> F16</f>
        <v>Check:  Project cashflows</v>
      </c>
      <c r="J50" s="48"/>
      <c r="K50" s="71">
        <f ca="1" xml:space="preserve"> IF( ABS( SUM(I16:L16) ) &gt; 0, 1, 0)</f>
        <v>0</v>
      </c>
      <c r="L50" s="73" t="str">
        <f xml:space="preserve"> Translate!E$604</f>
        <v>Check</v>
      </c>
      <c r="Q50" s="184"/>
      <c r="R50" s="184"/>
      <c r="S50" s="184"/>
      <c r="T50" s="184"/>
      <c r="U50" s="184"/>
      <c r="V50" s="184"/>
      <c r="W50" s="184"/>
    </row>
    <row r="51" spans="1:59" x14ac:dyDescent="0.25">
      <c r="B51" s="1013" t="str">
        <f>A118</f>
        <v>Government share of profit oil</v>
      </c>
      <c r="E51" s="56"/>
      <c r="F51" s="70" t="str">
        <f xml:space="preserve"> F17</f>
        <v>Check:  AETR</v>
      </c>
      <c r="J51" s="48"/>
      <c r="K51" s="71">
        <f ca="1" xml:space="preserve"> IF( ABS( SUM(I17:L17) ) &gt; 0, 1, 0)</f>
        <v>0</v>
      </c>
      <c r="L51" s="13" t="str">
        <f xml:space="preserve"> Translate!E$604</f>
        <v>Check</v>
      </c>
      <c r="Q51" s="443"/>
      <c r="R51" s="441"/>
      <c r="S51" s="441"/>
      <c r="T51" s="441"/>
      <c r="U51" s="441"/>
      <c r="V51" s="441"/>
    </row>
    <row r="52" spans="1:59" x14ac:dyDescent="0.25">
      <c r="B52" s="1013" t="str">
        <f>A143</f>
        <v>Progressivity analysis across a range of oil prices</v>
      </c>
      <c r="E52" s="48"/>
      <c r="F52" s="3" t="str">
        <f xml:space="preserve"> Translate!E$755 &amp; " " &amp; Translate!E$623</f>
        <v>Check:  Government revenues</v>
      </c>
      <c r="J52" s="48"/>
      <c r="K52" s="71">
        <f ca="1" xml:space="preserve"> IF( ABS(SUM(O20:O28) + O30 - O31) &gt;CHK_TOL, 1, 0)</f>
        <v>0</v>
      </c>
      <c r="L52" s="13" t="str">
        <f xml:space="preserve"> Translate!E$604</f>
        <v>Check</v>
      </c>
      <c r="Q52" s="147"/>
      <c r="R52" s="55"/>
      <c r="S52" s="444"/>
      <c r="T52" s="61"/>
      <c r="U52" s="61"/>
      <c r="V52" s="61"/>
    </row>
    <row r="53" spans="1:59" x14ac:dyDescent="0.25">
      <c r="B53" s="1013" t="str">
        <f>A167</f>
        <v>Breakeven oil price and marginal effective tax rate</v>
      </c>
      <c r="E53" s="48"/>
      <c r="F53" s="3" t="str">
        <f xml:space="preserve"> R91</f>
        <v>Check:  Government revenues data table</v>
      </c>
      <c r="J53" s="48"/>
      <c r="K53" s="71">
        <f ca="1" xml:space="preserve"> IF( ABS(T91) &gt; CHK_TOL, 1, 0)</f>
        <v>0</v>
      </c>
      <c r="L53" s="13" t="str">
        <f xml:space="preserve"> Translate!E$604</f>
        <v>Check</v>
      </c>
      <c r="Q53" s="64"/>
      <c r="R53" s="55"/>
      <c r="S53" s="55"/>
      <c r="T53" s="55"/>
      <c r="U53" s="55"/>
      <c r="V53" s="55"/>
    </row>
    <row r="54" spans="1:59" x14ac:dyDescent="0.25">
      <c r="B54" s="1013" t="str">
        <f>A189</f>
        <v>Net present value table: full-cycle, real</v>
      </c>
      <c r="E54" s="48"/>
      <c r="F54" s="3" t="str">
        <f xml:space="preserve"> R210</f>
        <v>Check: Project totals</v>
      </c>
      <c r="J54" s="48"/>
      <c r="K54" s="71">
        <f ca="1" xml:space="preserve"> V210</f>
        <v>0</v>
      </c>
      <c r="L54" s="13" t="str">
        <f xml:space="preserve"> Translate!E$604</f>
        <v>Check</v>
      </c>
      <c r="Q54" s="64"/>
      <c r="R54" s="55"/>
      <c r="S54" s="55"/>
      <c r="T54" s="55"/>
      <c r="U54" s="55"/>
      <c r="V54" s="55"/>
    </row>
    <row r="55" spans="1:59" x14ac:dyDescent="0.25">
      <c r="B55" s="1013" t="str">
        <f xml:space="preserve"> A$212</f>
        <v>Expected monetary value (EMV)</v>
      </c>
      <c r="E55" s="350"/>
      <c r="F55" s="67"/>
      <c r="G55" s="67"/>
      <c r="H55" s="67"/>
      <c r="I55" s="67"/>
      <c r="J55" s="67"/>
      <c r="K55" s="67" t="str">
        <f xml:space="preserve"> Translate!E$651</f>
        <v>do not delete row</v>
      </c>
      <c r="L55" s="67"/>
      <c r="Q55" s="64"/>
      <c r="R55" s="55"/>
      <c r="S55" s="55"/>
      <c r="T55" s="55"/>
      <c r="U55" s="55"/>
      <c r="V55" s="55"/>
    </row>
    <row r="56" spans="1:59" x14ac:dyDescent="0.25">
      <c r="B56" s="544"/>
      <c r="E56" s="21"/>
      <c r="F56" s="544" t="str">
        <f ca="1" xml:space="preserve"> Translate!E$604 &amp; ": " &amp; A$1</f>
        <v>Check: Dashboard</v>
      </c>
      <c r="K56" s="72">
        <f ca="1" xml:space="preserve"> SUM(K49:K55)</f>
        <v>0</v>
      </c>
      <c r="L56" s="544" t="str">
        <f xml:space="preserve"> Translate!E$604</f>
        <v>Check</v>
      </c>
      <c r="Q56" s="64"/>
      <c r="R56" s="55"/>
      <c r="S56" s="55"/>
      <c r="T56" s="55"/>
      <c r="U56" s="55"/>
      <c r="V56" s="55"/>
    </row>
    <row r="57" spans="1:59" x14ac:dyDescent="0.25">
      <c r="Q57" s="64"/>
      <c r="R57" s="55"/>
      <c r="S57" s="55"/>
      <c r="T57" s="55"/>
      <c r="U57" s="55"/>
      <c r="V57" s="55"/>
    </row>
    <row r="58" spans="1:59" x14ac:dyDescent="0.25">
      <c r="A58" s="2" t="str">
        <f xml:space="preserve"> Translate!E$614</f>
        <v>Dashboard analytical routines</v>
      </c>
      <c r="B58" s="41"/>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row>
    <row r="59" spans="1:59" x14ac:dyDescent="0.25">
      <c r="A59" s="41"/>
      <c r="B59" s="48"/>
      <c r="AW59" s="3"/>
    </row>
    <row r="60" spans="1:59" x14ac:dyDescent="0.25">
      <c r="A60" s="101" t="str">
        <f xml:space="preserve"> Translate!E$615</f>
        <v>Results from selected fiscal regimes</v>
      </c>
      <c r="B60" s="41"/>
      <c r="C60" s="2"/>
      <c r="D60" s="42"/>
      <c r="E60" s="42"/>
      <c r="F60" s="939" t="str">
        <f xml:space="preserve"> Translate!E$621</f>
        <v xml:space="preserve">Return to </v>
      </c>
      <c r="G60" s="1015" t="str">
        <f ca="1">$A$1</f>
        <v>Dashboard</v>
      </c>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row>
    <row r="61" spans="1:59" x14ac:dyDescent="0.25">
      <c r="A61" s="101"/>
      <c r="B61" s="48"/>
      <c r="C61" s="442"/>
      <c r="D61" s="441"/>
      <c r="E61" s="441"/>
      <c r="F61" s="713"/>
      <c r="G61" s="714"/>
      <c r="H61" s="441"/>
      <c r="I61" s="441"/>
      <c r="J61" s="441"/>
      <c r="K61" s="441"/>
      <c r="L61" s="441"/>
      <c r="M61" s="441"/>
      <c r="N61" s="441"/>
      <c r="O61" s="441"/>
      <c r="P61" s="441"/>
      <c r="Q61" s="441"/>
      <c r="R61" s="441"/>
      <c r="S61" s="441"/>
      <c r="T61" s="441"/>
      <c r="U61" s="441"/>
      <c r="V61" s="441"/>
      <c r="W61" s="441"/>
      <c r="X61" s="441"/>
      <c r="Y61" s="441"/>
      <c r="Z61" s="441"/>
      <c r="AA61" s="441"/>
      <c r="AB61" s="441"/>
      <c r="AC61" s="441"/>
      <c r="AD61" s="441"/>
      <c r="AE61" s="441"/>
      <c r="AF61" s="441"/>
      <c r="AG61" s="441"/>
      <c r="AH61" s="441"/>
      <c r="AI61" s="441"/>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c r="BG61" s="441"/>
    </row>
    <row r="62" spans="1:59" ht="45" customHeight="1" x14ac:dyDescent="0.35">
      <c r="A62" s="1014"/>
      <c r="T62" s="943" t="str">
        <f xml:space="preserve"> Translate!E$645</f>
        <v>Live results</v>
      </c>
      <c r="U62" s="718" t="str">
        <f xml:space="preserve"> Translate!E$646</f>
        <v>Select from drop down list</v>
      </c>
      <c r="V62" s="718"/>
      <c r="W62" s="718"/>
      <c r="X62" s="718"/>
      <c r="Y62" s="719"/>
      <c r="AA62" s="717" t="str">
        <f xml:space="preserve"> V63</f>
        <v>RRT</v>
      </c>
      <c r="AB62" s="44" t="s">
        <v>25</v>
      </c>
      <c r="AC62" s="941" t="str">
        <f xml:space="preserve"> Translate!E$647</f>
        <v xml:space="preserve">Difference between two selected regimes </v>
      </c>
      <c r="AW62" s="442"/>
    </row>
    <row r="63" spans="1:59" ht="45" customHeight="1" x14ac:dyDescent="0.25">
      <c r="A63" s="1014"/>
      <c r="R63" s="50" t="str">
        <f xml:space="preserve"> Translate!E$95</f>
        <v>Fiscal regime selection</v>
      </c>
      <c r="S63" s="3" t="str">
        <f xml:space="preserve"> Translate!E$103</f>
        <v>Option</v>
      </c>
      <c r="T63" s="715" t="str">
        <f xml:space="preserve"> C6</f>
        <v>Royalty + CIT</v>
      </c>
      <c r="U63" s="716" t="str">
        <f xml:space="preserve"> FiscalModel!K11</f>
        <v>Royalty + CIT</v>
      </c>
      <c r="V63" s="716" t="str">
        <f xml:space="preserve"> FiscalModel!L11</f>
        <v>RRT</v>
      </c>
      <c r="W63" s="716" t="str">
        <f xml:space="preserve"> FiscalModel!M11</f>
        <v>Royalty + CIT, no debt</v>
      </c>
      <c r="X63" s="716" t="str">
        <f xml:space="preserve"> FiscalModel!N11</f>
        <v>DROP PSC</v>
      </c>
      <c r="Y63" s="716" t="s">
        <v>26</v>
      </c>
      <c r="Z63" s="541"/>
      <c r="AA63" s="1030" t="str">
        <f xml:space="preserve"> U63</f>
        <v>Royalty + CIT</v>
      </c>
      <c r="AW63" s="442"/>
    </row>
    <row r="64" spans="1:59" x14ac:dyDescent="0.25">
      <c r="A64" s="1014"/>
      <c r="B64" s="940" t="str">
        <f xml:space="preserve"> Translate!E$639</f>
        <v>Chart details</v>
      </c>
      <c r="R64" s="3" t="str">
        <f xml:space="preserve"> Analysis!E$13</f>
        <v>Effective royalty rate (calculated)</v>
      </c>
      <c r="S64" s="59"/>
      <c r="T64" s="325">
        <f ca="1" xml:space="preserve"> Analysis!F$13</f>
        <v>0.21768345788622107</v>
      </c>
      <c r="U64" s="473">
        <f t="dataTable" ref="U64:Y91" dt2D="0" dtr="1" r1="C6" ca="1"/>
        <v>0.21768345788622107</v>
      </c>
      <c r="V64" s="473">
        <v>6.7683457886221071E-2</v>
      </c>
      <c r="W64" s="473">
        <v>0.16768345788622105</v>
      </c>
      <c r="X64" s="473">
        <v>0.13448345788622107</v>
      </c>
      <c r="Y64" s="473">
        <v>0.13448345788622107</v>
      </c>
      <c r="AA64" s="336" cm="1">
        <f t="array" ref="AA64" xml:space="preserve"> INDEX(U64:Y64, , MATCH(AA$62, U$63:Y$63, 0)) - INDEX(U64:Y64, , MATCH(AA$63, U$63:Y$63, 0))</f>
        <v>-0.15</v>
      </c>
      <c r="AW64" s="442"/>
    </row>
    <row r="65" spans="1:49" x14ac:dyDescent="0.25">
      <c r="A65" s="1014"/>
      <c r="B65" s="62" t="str">
        <f xml:space="preserve"> Translate!E$649</f>
        <v>Government revenues under alternative regimes</v>
      </c>
      <c r="C65" s="3" t="str">
        <f xml:space="preserve"> Translate!E$640</f>
        <v>Chart title</v>
      </c>
      <c r="R65" s="50" t="str">
        <f xml:space="preserve"> Translate!E$623</f>
        <v>Government revenues</v>
      </c>
      <c r="T65" s="345" t="s">
        <v>27</v>
      </c>
      <c r="U65" s="474" t="str">
        <v>--------------</v>
      </c>
      <c r="V65" s="474" t="str">
        <v>--------------</v>
      </c>
      <c r="W65" s="474" t="str">
        <v>--------------</v>
      </c>
      <c r="X65" s="474" t="str">
        <v>--------------</v>
      </c>
      <c r="Y65" s="474" t="str">
        <v>--------------</v>
      </c>
      <c r="AA65" s="346" t="s">
        <v>27</v>
      </c>
      <c r="AW65" s="442"/>
    </row>
    <row r="66" spans="1:49" x14ac:dyDescent="0.25">
      <c r="A66" s="1014"/>
      <c r="B66" s="63" t="str">
        <f>Dashboard!$S$67</f>
        <v>US$ mn 2021</v>
      </c>
      <c r="C66" s="3" t="str">
        <f xml:space="preserve"> Translate!E$641</f>
        <v>Vertical axis 1</v>
      </c>
      <c r="R66" s="3" t="str">
        <f t="shared" ref="R66:R73" si="1" xml:space="preserve"> N20</f>
        <v>Bonuses</v>
      </c>
      <c r="S66" s="3" t="str">
        <f t="shared" ref="S66:S74" si="2" xml:space="preserve"> $O$19</f>
        <v>US$ mn 2021</v>
      </c>
      <c r="T66" s="326">
        <f t="shared" ref="T66:T73" ca="1" si="3" xml:space="preserve"> IFERROR(O20, 0)</f>
        <v>56.192271301325711</v>
      </c>
      <c r="U66" s="474">
        <v>56.192271301325711</v>
      </c>
      <c r="V66" s="474">
        <v>56.192271301325711</v>
      </c>
      <c r="W66" s="474">
        <v>56.192271301325711</v>
      </c>
      <c r="X66" s="474">
        <v>56.192271301325711</v>
      </c>
      <c r="Y66" s="474">
        <v>56.192271301325711</v>
      </c>
      <c r="AA66" s="48">
        <f xml:space="preserve"> INDEX(U66:Y66, , MATCH(AA$62, U$63:Y$63, 0)) - INDEX(U66:Y66, , MATCH(AA$63, U$63:Y$63, 0))</f>
        <v>0</v>
      </c>
      <c r="AW66" s="442"/>
    </row>
    <row r="67" spans="1:49" x14ac:dyDescent="0.25">
      <c r="A67" s="1014"/>
      <c r="B67" s="63" t="str">
        <f>Dashboard!$R$88</f>
        <v>AETR: full-cycle, NPV8</v>
      </c>
      <c r="C67" s="3" t="str">
        <f xml:space="preserve"> Translate!E$642</f>
        <v>Vertical axis 2</v>
      </c>
      <c r="R67" s="3" t="str">
        <f t="shared" si="1"/>
        <v>Royalty</v>
      </c>
      <c r="S67" s="3" t="str">
        <f t="shared" si="2"/>
        <v>US$ mn 2021</v>
      </c>
      <c r="T67" s="326">
        <f t="shared" ca="1" si="3"/>
        <v>8820.6047726449069</v>
      </c>
      <c r="U67" s="474">
        <v>8820.6047726449069</v>
      </c>
      <c r="V67" s="474">
        <v>2205.1511931612267</v>
      </c>
      <c r="W67" s="474">
        <v>6615.4535794836784</v>
      </c>
      <c r="X67" s="474">
        <v>3528.2419090579633</v>
      </c>
      <c r="Y67" s="474">
        <v>3528.2419090579633</v>
      </c>
      <c r="AA67" s="48">
        <f xml:space="preserve"> INDEX(U67:Y67, , MATCH(AA$62, U$63:Y$63, 0)) - INDEX(U67:Y67, , MATCH(AA$63, U$63:Y$63, 0))</f>
        <v>-6615.4535794836802</v>
      </c>
      <c r="AW67" s="442"/>
    </row>
    <row r="68" spans="1:49" x14ac:dyDescent="0.25">
      <c r="A68" s="1014"/>
      <c r="B68" s="62" t="str">
        <f xml:space="preserve"> Translate!E$648</f>
        <v>Fiscal regimes</v>
      </c>
      <c r="C68" s="3" t="str">
        <f xml:space="preserve"> Translate!E$643</f>
        <v>Horizontal axis</v>
      </c>
      <c r="R68" s="3" t="str">
        <f t="shared" si="1"/>
        <v>Carbon tax</v>
      </c>
      <c r="S68" s="3" t="str">
        <f t="shared" si="2"/>
        <v>US$ mn 2021</v>
      </c>
      <c r="T68" s="326">
        <f t="shared" ca="1" si="3"/>
        <v>788.47391027310312</v>
      </c>
      <c r="U68" s="474">
        <v>788.47391027310312</v>
      </c>
      <c r="V68" s="474">
        <v>788.47391027310312</v>
      </c>
      <c r="W68" s="474">
        <v>788.47391027310312</v>
      </c>
      <c r="X68" s="474">
        <v>788.47391027310312</v>
      </c>
      <c r="Y68" s="474">
        <v>788.47391027310312</v>
      </c>
      <c r="AA68" s="48">
        <f xml:space="preserve"> INDEX(U68:Y68, , MATCH(AA$62, U$63:Y$63, 0)) - INDEX(U68:Y68, , MATCH(AA$63, U$63:Y$63, 0))</f>
        <v>0</v>
      </c>
      <c r="AW68" s="442"/>
    </row>
    <row r="69" spans="1:49" x14ac:dyDescent="0.25">
      <c r="A69" s="1014"/>
      <c r="B69" s="448" t="str">
        <f xml:space="preserve"> Translate!E$112 &amp; ": " &amp; C$7</f>
        <v>Project: 800MMbbl_A</v>
      </c>
      <c r="C69" s="3" t="str">
        <f xml:space="preserve"> Translate!E$644</f>
        <v>Text box</v>
      </c>
      <c r="R69" s="3" t="str">
        <f t="shared" si="1"/>
        <v>PSC: Government profit oil</v>
      </c>
      <c r="S69" s="3" t="str">
        <f t="shared" si="2"/>
        <v>US$ mn 2021</v>
      </c>
      <c r="T69" s="326">
        <f t="shared" ca="1" si="3"/>
        <v>0</v>
      </c>
      <c r="U69" s="474">
        <v>0</v>
      </c>
      <c r="V69" s="474">
        <v>0</v>
      </c>
      <c r="W69" s="474">
        <v>0</v>
      </c>
      <c r="X69" s="474">
        <v>8401.912674710964</v>
      </c>
      <c r="Y69" s="474">
        <v>9911.695323405771</v>
      </c>
      <c r="AA69" s="48" cm="1">
        <f t="array" ref="AA69" xml:space="preserve"> INDEX(U69:Y69, , MATCH(AA$62, U$63:Y$63, 0)) - INDEX(U69:Y69, , MATCH(AA$63, U$63:Y$63, 0))</f>
        <v>0</v>
      </c>
      <c r="AW69" s="442"/>
    </row>
    <row r="70" spans="1:49" x14ac:dyDescent="0.25">
      <c r="A70" s="1014"/>
      <c r="R70" s="3" t="str">
        <f t="shared" si="1"/>
        <v>CIT paid: IOC</v>
      </c>
      <c r="S70" s="3" t="str">
        <f t="shared" si="2"/>
        <v>US$ mn 2021</v>
      </c>
      <c r="T70" s="326">
        <f t="shared" ca="1" si="3"/>
        <v>5284.9099061807456</v>
      </c>
      <c r="U70" s="474">
        <v>5284.9099061807456</v>
      </c>
      <c r="V70" s="474">
        <v>6888.9400205614647</v>
      </c>
      <c r="W70" s="474">
        <v>7165.5517468611515</v>
      </c>
      <c r="X70" s="474">
        <v>4264.201640143091</v>
      </c>
      <c r="Y70" s="474">
        <v>3856.4104001719643</v>
      </c>
      <c r="AA70" s="48" cm="1">
        <f t="array" ref="AA70" xml:space="preserve"> INDEX(U70:Y70, , MATCH(AA$62, U$63:Y$63, 0)) - INDEX(U70:Y70, , MATCH(AA$63, U$63:Y$63, 0))</f>
        <v>1604.0301143807192</v>
      </c>
      <c r="AW70" s="442"/>
    </row>
    <row r="71" spans="1:49" x14ac:dyDescent="0.25">
      <c r="A71" s="1014"/>
      <c r="B71" s="940" t="str">
        <f xml:space="preserve"> Translate!E$639</f>
        <v>Chart details</v>
      </c>
      <c r="R71" s="3" t="str">
        <f t="shared" si="1"/>
        <v>Resource rent tax: IOC</v>
      </c>
      <c r="S71" s="3" t="str">
        <f t="shared" si="2"/>
        <v>US$ mn 2021</v>
      </c>
      <c r="T71" s="326">
        <f t="shared" ca="1" si="3"/>
        <v>0</v>
      </c>
      <c r="U71" s="474">
        <v>0</v>
      </c>
      <c r="V71" s="474">
        <v>6944.6851231337878</v>
      </c>
      <c r="W71" s="474">
        <v>0</v>
      </c>
      <c r="X71" s="474">
        <v>0</v>
      </c>
      <c r="Y71" s="474">
        <v>0</v>
      </c>
      <c r="AA71" s="48" cm="1">
        <f t="array" ref="AA71" xml:space="preserve"> INDEX(U71:Y71, , MATCH(AA$62, U$63:Y$63, 0)) - INDEX(U71:Y71, , MATCH(AA$63, U$63:Y$63, 0))</f>
        <v>6944.6851231337878</v>
      </c>
      <c r="AW71" s="442"/>
    </row>
    <row r="72" spans="1:49" x14ac:dyDescent="0.25">
      <c r="A72" s="1014"/>
      <c r="B72" s="62" t="str">
        <f xml:space="preserve"> Translate!E$650</f>
        <v>Investor NPV and IRR under alternative regimes</v>
      </c>
      <c r="C72" s="3" t="str">
        <f xml:space="preserve"> Translate!E$640</f>
        <v>Chart title</v>
      </c>
      <c r="R72" s="3" t="str">
        <f t="shared" si="1"/>
        <v>Dividend withholding tax</v>
      </c>
      <c r="S72" s="3" t="str">
        <f t="shared" si="2"/>
        <v>US$ mn 2021</v>
      </c>
      <c r="T72" s="326">
        <f t="shared" ca="1" si="3"/>
        <v>1013.9780597960219</v>
      </c>
      <c r="U72" s="474">
        <v>1013.9780597960219</v>
      </c>
      <c r="V72" s="474">
        <v>945.8390138842251</v>
      </c>
      <c r="W72" s="474">
        <v>1143.8458072681472</v>
      </c>
      <c r="X72" s="474">
        <v>1029.2063050062354</v>
      </c>
      <c r="Y72" s="474">
        <v>931.96445088461428</v>
      </c>
      <c r="AA72" s="48" cm="1">
        <f t="array" ref="AA72" xml:space="preserve"> INDEX(U72:Y72, , MATCH(AA$62, U$63:Y$63, 0)) - INDEX(U72:Y72, , MATCH(AA$63, U$63:Y$63, 0))</f>
        <v>-68.139045911796757</v>
      </c>
      <c r="AW72" s="442"/>
    </row>
    <row r="73" spans="1:49" x14ac:dyDescent="0.25">
      <c r="A73" s="1014"/>
      <c r="B73" s="63" t="str">
        <f>Dashboard!$S$82</f>
        <v>US$ mn NPV 8.0 real</v>
      </c>
      <c r="C73" s="3" t="str">
        <f xml:space="preserve"> Translate!E$641</f>
        <v>Vertical axis 1</v>
      </c>
      <c r="R73" s="3" t="str">
        <f t="shared" si="1"/>
        <v>Interest withholding tax</v>
      </c>
      <c r="S73" s="3" t="str">
        <f t="shared" si="2"/>
        <v>US$ mn 2021</v>
      </c>
      <c r="T73" s="326">
        <f t="shared" ca="1" si="3"/>
        <v>92.245313806865923</v>
      </c>
      <c r="U73" s="474">
        <v>92.245313806865923</v>
      </c>
      <c r="V73" s="474">
        <v>92.245313806865923</v>
      </c>
      <c r="W73" s="474">
        <v>0</v>
      </c>
      <c r="X73" s="474">
        <v>92.245313806865923</v>
      </c>
      <c r="Y73" s="474">
        <v>92.245313806865923</v>
      </c>
      <c r="AA73" s="48" cm="1">
        <f t="array" ref="AA73" xml:space="preserve"> INDEX(U73:Y73, , MATCH(AA$62, U$63:Y$63, 0)) - INDEX(U73:Y73, , MATCH(AA$63, U$63:Y$63, 0))</f>
        <v>0</v>
      </c>
      <c r="AW73" s="442"/>
    </row>
    <row r="74" spans="1:49" x14ac:dyDescent="0.25">
      <c r="A74" s="1014"/>
      <c r="B74" s="63" t="str">
        <f xml:space="preserve"> G$3</f>
        <v>IRR real</v>
      </c>
      <c r="C74" s="3" t="str">
        <f xml:space="preserve"> Translate!E$642</f>
        <v>Vertical axis 2</v>
      </c>
      <c r="R74" s="3" t="str">
        <f xml:space="preserve"> N28</f>
        <v>VAT cashflow: government</v>
      </c>
      <c r="S74" s="3" t="str">
        <f t="shared" si="2"/>
        <v>US$ mn 2021</v>
      </c>
      <c r="T74" s="326">
        <f ca="1" xml:space="preserve"> IFERROR(O28, 0)</f>
        <v>0</v>
      </c>
      <c r="U74" s="474">
        <v>0</v>
      </c>
      <c r="V74" s="474">
        <v>0</v>
      </c>
      <c r="W74" s="474">
        <v>0</v>
      </c>
      <c r="X74" s="474">
        <v>0</v>
      </c>
      <c r="Y74" s="474">
        <v>0</v>
      </c>
      <c r="AA74" s="48" cm="1">
        <f t="array" ref="AA74" xml:space="preserve"> INDEX(U74:Y74, , MATCH(AA$62, U$63:Y$63, 0)) - INDEX(U74:Y74, , MATCH(AA$63, U$63:Y$63, 0))</f>
        <v>0</v>
      </c>
      <c r="AW74" s="442"/>
    </row>
    <row r="75" spans="1:49" x14ac:dyDescent="0.25">
      <c r="A75" s="1014"/>
      <c r="B75" s="62" t="str">
        <f xml:space="preserve"> Translate!E$648</f>
        <v>Fiscal regimes</v>
      </c>
      <c r="C75" s="3" t="str">
        <f xml:space="preserve"> Translate!E$643</f>
        <v>Horizontal axis</v>
      </c>
      <c r="R75" s="3" t="str">
        <f xml:space="preserve"> N29</f>
        <v>Government revenues excluding participation</v>
      </c>
      <c r="S75" s="3" t="str">
        <f xml:space="preserve"> $O$19</f>
        <v>US$ mn 2021</v>
      </c>
      <c r="T75" s="326">
        <f ca="1" xml:space="preserve"> IFERROR(O29, 0)</f>
        <v>16056.404234002975</v>
      </c>
      <c r="U75" s="474">
        <v>16056.404234002975</v>
      </c>
      <c r="V75" s="474">
        <v>17921.526846121997</v>
      </c>
      <c r="W75" s="474">
        <v>15769.51731518741</v>
      </c>
      <c r="X75" s="474">
        <v>18160.474024299547</v>
      </c>
      <c r="Y75" s="474">
        <v>19165.223578901601</v>
      </c>
      <c r="AA75" s="48" cm="1">
        <f t="array" ref="AA75" xml:space="preserve"> INDEX(U75:Y75, , MATCH(AA$62, U$63:Y$63, 0)) - INDEX(U75:Y75, , MATCH(AA$63, U$63:Y$63, 0))</f>
        <v>1865.1226121190211</v>
      </c>
      <c r="AW75" s="442"/>
    </row>
    <row r="76" spans="1:49" x14ac:dyDescent="0.25">
      <c r="A76" s="1014"/>
      <c r="B76" s="448" t="str">
        <f xml:space="preserve"> Translate!E$112 &amp; ": " &amp; C$7</f>
        <v>Project: 800MMbbl_A</v>
      </c>
      <c r="C76" s="3" t="str">
        <f xml:space="preserve"> Translate!E$644</f>
        <v>Text box</v>
      </c>
      <c r="R76" s="3" t="str">
        <f xml:space="preserve"> N30</f>
        <v>SOC net cash flow before tax, after carried interest, including share of lender cashflows</v>
      </c>
      <c r="S76" s="3" t="str">
        <f xml:space="preserve"> $O$19</f>
        <v>US$ mn 2021</v>
      </c>
      <c r="T76" s="326">
        <f ca="1" xml:space="preserve"> IFERROR(O30, 0)</f>
        <v>3982.9846625612686</v>
      </c>
      <c r="U76" s="474">
        <v>3982.9846625612686</v>
      </c>
      <c r="V76" s="474">
        <v>2653.9496946000945</v>
      </c>
      <c r="W76" s="474">
        <v>4363.2823309137557</v>
      </c>
      <c r="X76" s="474">
        <v>1680.9780244415153</v>
      </c>
      <c r="Y76" s="474">
        <v>1530.0649442779172</v>
      </c>
      <c r="AA76" s="48" cm="1">
        <f t="array" ref="AA76" xml:space="preserve"> INDEX(U76:Y76, , MATCH(AA$62, U$63:Y$63, 0)) - INDEX(U76:Y76, , MATCH(AA$63, U$63:Y$63, 0))</f>
        <v>-1329.0349679611741</v>
      </c>
      <c r="AW76" s="442"/>
    </row>
    <row r="77" spans="1:49" x14ac:dyDescent="0.25">
      <c r="A77" s="1014"/>
      <c r="R77" s="3" t="str">
        <f xml:space="preserve"> N31</f>
        <v>Government revenues including participation</v>
      </c>
      <c r="S77" s="3" t="str">
        <f xml:space="preserve"> $O$19</f>
        <v>US$ mn 2021</v>
      </c>
      <c r="T77" s="326">
        <f ca="1" xml:space="preserve"> IFERROR(O31, 0)</f>
        <v>20039.388896564244</v>
      </c>
      <c r="U77" s="474">
        <v>20039.388896564244</v>
      </c>
      <c r="V77" s="474">
        <v>20575.476540722095</v>
      </c>
      <c r="W77" s="474">
        <v>20132.799646101164</v>
      </c>
      <c r="X77" s="474">
        <v>19841.452048741059</v>
      </c>
      <c r="Y77" s="474">
        <v>20695.288523179523</v>
      </c>
      <c r="AA77" s="48" cm="1">
        <f t="array" ref="AA77" xml:space="preserve"> INDEX(U77:Y77, , MATCH(AA$62, U$63:Y$63, 0)) - INDEX(U77:Y77, , MATCH(AA$63, U$63:Y$63, 0))</f>
        <v>536.08764415785117</v>
      </c>
      <c r="AW77" s="442"/>
    </row>
    <row r="78" spans="1:49" x14ac:dyDescent="0.25">
      <c r="A78" s="1014"/>
      <c r="R78" s="940" t="str">
        <f xml:space="preserve"> Translate!E$624 &amp; ": " &amp; Inputs!F$90</f>
        <v>IRR: FID forward</v>
      </c>
      <c r="T78" s="324" t="s">
        <v>27</v>
      </c>
      <c r="U78" s="474" t="str">
        <v>--------------</v>
      </c>
      <c r="V78" s="474" t="str">
        <v>--------------</v>
      </c>
      <c r="W78" s="474" t="str">
        <v>--------------</v>
      </c>
      <c r="X78" s="474" t="str">
        <v>--------------</v>
      </c>
      <c r="Y78" s="474" t="str">
        <v>--------------</v>
      </c>
      <c r="AA78" s="346" t="s">
        <v>27</v>
      </c>
      <c r="AW78" s="442"/>
    </row>
    <row r="79" spans="1:49" x14ac:dyDescent="0.25">
      <c r="A79" s="1014"/>
      <c r="R79" s="3" t="str">
        <f xml:space="preserve"> Translate!E$624 &amp; ": " &amp; F$6</f>
        <v>IRR: Project</v>
      </c>
      <c r="S79" s="3" t="str">
        <f xml:space="preserve"> G$3</f>
        <v>IRR real</v>
      </c>
      <c r="T79" s="325">
        <f ca="1" xml:space="preserve"> IFERROR( IF( T62 = 0, NA(), H6), 0)</f>
        <v>0.39148985987226625</v>
      </c>
      <c r="U79" s="475">
        <v>0.39148985987226625</v>
      </c>
      <c r="V79" s="475">
        <v>0.39148985987226625</v>
      </c>
      <c r="W79" s="475">
        <v>0.39148985987226625</v>
      </c>
      <c r="X79" s="475">
        <v>0.39148985987226625</v>
      </c>
      <c r="Y79" s="475">
        <v>0.39148985987226625</v>
      </c>
      <c r="Z79" s="446"/>
      <c r="AA79" s="57" cm="1">
        <f t="array" ref="AA79" xml:space="preserve"> INDEX(U79:Y79, , MATCH(AA$62, U$63:Y$63, 0)) - INDEX(U79:Y79, , MATCH(AA$63, U$63:Y$63, 0))</f>
        <v>0</v>
      </c>
      <c r="AW79" s="442"/>
    </row>
    <row r="80" spans="1:49" x14ac:dyDescent="0.25">
      <c r="A80" s="1014"/>
      <c r="R80" s="3" t="str">
        <f xml:space="preserve"> Translate!E$624 &amp; ": " &amp; F9 &amp; " (rhs)"</f>
        <v>IRR: IOC + Lender (rhs)</v>
      </c>
      <c r="S80" s="3" t="str">
        <f xml:space="preserve"> G$3</f>
        <v>IRR real</v>
      </c>
      <c r="T80" s="325">
        <f ca="1" xml:space="preserve"> IFERROR( IF( T63 = 0, NA(), H9), 0)</f>
        <v>0.21546251757197021</v>
      </c>
      <c r="U80" s="475">
        <v>0.21546251757197021</v>
      </c>
      <c r="V80" s="475">
        <v>0.22732828286125306</v>
      </c>
      <c r="W80" s="475">
        <v>0.19443924035149407</v>
      </c>
      <c r="X80" s="475">
        <v>0.21549212609092039</v>
      </c>
      <c r="Y80" s="475">
        <v>0.2203188674724128</v>
      </c>
      <c r="Z80" s="446"/>
      <c r="AA80" s="57" cm="1">
        <f t="array" ref="AA80" xml:space="preserve"> INDEX(U80:Y80, , MATCH(AA$62, U$63:Y$63, 0)) - INDEX(U80:Y80, , MATCH(AA$63, U$63:Y$63, 0))</f>
        <v>1.1865765289282848E-2</v>
      </c>
      <c r="AW80" s="442"/>
    </row>
    <row r="81" spans="1:59" x14ac:dyDescent="0.25">
      <c r="A81" s="1014"/>
      <c r="R81" s="940" t="str">
        <f xml:space="preserve"> Translate!E$652 &amp; ":  " &amp; Inputs!F$90</f>
        <v>Participant NPV:  FID forward</v>
      </c>
      <c r="T81" s="324" t="s">
        <v>27</v>
      </c>
      <c r="U81" s="474" t="str">
        <v>--------------</v>
      </c>
      <c r="V81" s="474" t="str">
        <v>--------------</v>
      </c>
      <c r="W81" s="474" t="str">
        <v>--------------</v>
      </c>
      <c r="X81" s="474" t="str">
        <v>--------------</v>
      </c>
      <c r="Y81" s="474" t="str">
        <v>--------------</v>
      </c>
      <c r="AA81" s="346" t="s">
        <v>27</v>
      </c>
      <c r="AW81" s="442"/>
    </row>
    <row r="82" spans="1:59" x14ac:dyDescent="0.25">
      <c r="A82" s="1014"/>
      <c r="R82" s="3" t="str">
        <f xml:space="preserve"> F6 &amp; ": " &amp; Inputs!F$63</f>
        <v>Project: NPV8</v>
      </c>
      <c r="S82" s="3" t="str">
        <f xml:space="preserve"> Inputs!$F$62</f>
        <v>US$ mn NPV 8.0 real</v>
      </c>
      <c r="T82" s="326">
        <f ca="1">IFERROR( IF(T63 = 0, NA(), IFERROR(L6, NA())), 0)</f>
        <v>11246.881833697722</v>
      </c>
      <c r="U82" s="474">
        <v>11246.881833697722</v>
      </c>
      <c r="V82" s="474">
        <v>11246.881833697722</v>
      </c>
      <c r="W82" s="474">
        <v>11246.881833697722</v>
      </c>
      <c r="X82" s="474">
        <v>11246.881833697722</v>
      </c>
      <c r="Y82" s="474">
        <v>11246.881833697722</v>
      </c>
      <c r="AA82" s="48" cm="1">
        <f t="array" ref="AA82" xml:space="preserve"> INDEX(U82:Y82, , MATCH(AA$62, U$63:Y$63, 0)) - INDEX(U82:Y82, , MATCH(AA$63, U$63:Y$63, 0))</f>
        <v>0</v>
      </c>
      <c r="AW82" s="442"/>
    </row>
    <row r="83" spans="1:59" x14ac:dyDescent="0.25">
      <c r="A83" s="1014"/>
      <c r="R83" s="3" t="str">
        <f xml:space="preserve"> F7 &amp; ": " &amp; Inputs!F$63</f>
        <v>IOC: NPV8</v>
      </c>
      <c r="S83" s="3" t="str">
        <f xml:space="preserve"> Inputs!$F$62</f>
        <v>US$ mn NPV 8.0 real</v>
      </c>
      <c r="T83" s="326">
        <f ca="1" xml:space="preserve"> IFERROR(L7, 0)</f>
        <v>3517.4734631636056</v>
      </c>
      <c r="U83" s="474">
        <v>3517.4734631636056</v>
      </c>
      <c r="V83" s="474">
        <v>3592.9753510714017</v>
      </c>
      <c r="W83" s="474">
        <v>2803.221247454635</v>
      </c>
      <c r="X83" s="474">
        <v>3642.3183762230587</v>
      </c>
      <c r="Y83" s="474">
        <v>3533.2683336974947</v>
      </c>
      <c r="AA83" s="48" cm="1">
        <f t="array" ref="AA83" xml:space="preserve"> INDEX(U83:Y83, , MATCH(AA$62, U$63:Y$63, 0)) - INDEX(U83:Y83, , MATCH(AA$63, U$63:Y$63, 0))</f>
        <v>75.501887907796117</v>
      </c>
      <c r="AW83" s="442"/>
    </row>
    <row r="84" spans="1:59" x14ac:dyDescent="0.25">
      <c r="A84" s="1014"/>
      <c r="R84" s="3" t="str">
        <f xml:space="preserve"> F$9 &amp; ": " &amp; Inputs!F$63</f>
        <v>IOC + Lender: NPV8</v>
      </c>
      <c r="S84" s="3" t="str">
        <f xml:space="preserve"> Inputs!$F$62</f>
        <v>US$ mn NPV 8.0 real</v>
      </c>
      <c r="T84" s="326">
        <f ca="1" xml:space="preserve"> IFERROR(L9, 0)</f>
        <v>3014.0396556033056</v>
      </c>
      <c r="U84" s="474">
        <v>3014.0396556033056</v>
      </c>
      <c r="V84" s="474">
        <v>3026.6123175660646</v>
      </c>
      <c r="W84" s="474">
        <v>2803.221247454635</v>
      </c>
      <c r="X84" s="474">
        <v>3075.9553427177211</v>
      </c>
      <c r="Y84" s="474">
        <v>2966.9053001921579</v>
      </c>
      <c r="AA84" s="48" cm="1">
        <f t="array" ref="AA84" xml:space="preserve"> INDEX(U84:Y84, , MATCH(AA$62, U$63:Y$63, 0)) - INDEX(U84:Y84, , MATCH(AA$63, U$63:Y$63, 0))</f>
        <v>12.572661962758957</v>
      </c>
      <c r="AW84" s="442"/>
    </row>
    <row r="85" spans="1:59" x14ac:dyDescent="0.25">
      <c r="A85" s="1014"/>
      <c r="R85" s="3" t="str">
        <f xml:space="preserve"> F12 &amp; ": " &amp; Inputs!F$63</f>
        <v>Government including participation: NPV8</v>
      </c>
      <c r="S85" s="3" t="str">
        <f xml:space="preserve"> Inputs!$F$62</f>
        <v>US$ mn NPV 8.0 real</v>
      </c>
      <c r="T85" s="326">
        <f ca="1" xml:space="preserve"> IFERROR(L12, 0)</f>
        <v>8122.4390836866605</v>
      </c>
      <c r="U85" s="474">
        <v>8122.4390836866605</v>
      </c>
      <c r="V85" s="474">
        <v>8109.8664217239002</v>
      </c>
      <c r="W85" s="474">
        <v>8333.2574918353293</v>
      </c>
      <c r="X85" s="474">
        <v>8060.5233965722418</v>
      </c>
      <c r="Y85" s="474">
        <v>8169.5734390978096</v>
      </c>
      <c r="AA85" s="48" cm="1">
        <f t="array" ref="AA85" xml:space="preserve"> INDEX(U85:Y85, , MATCH(AA$62, U$63:Y$63, 0)) - INDEX(U85:Y85, , MATCH(AA$63, U$63:Y$63, 0))</f>
        <v>-12.572661962760321</v>
      </c>
      <c r="AW85" s="442"/>
    </row>
    <row r="86" spans="1:59" x14ac:dyDescent="0.25">
      <c r="A86" s="1014"/>
      <c r="R86" s="940" t="str">
        <f xml:space="preserve"> Translate!E$117 &amp; " (" &amp; Inputs!F$89 &amp; ")"</f>
        <v>Government share (full-cycle)</v>
      </c>
      <c r="T86" s="324" t="s">
        <v>27</v>
      </c>
      <c r="U86" s="474" t="str">
        <v>--------------</v>
      </c>
      <c r="V86" s="474" t="str">
        <v>--------------</v>
      </c>
      <c r="W86" s="474" t="str">
        <v>--------------</v>
      </c>
      <c r="X86" s="474" t="str">
        <v>--------------</v>
      </c>
      <c r="Y86" s="474" t="str">
        <v>--------------</v>
      </c>
      <c r="AA86" s="346" t="s">
        <v>27</v>
      </c>
      <c r="AW86" s="442"/>
    </row>
    <row r="87" spans="1:59" x14ac:dyDescent="0.25">
      <c r="A87" s="1014"/>
      <c r="R87" s="3" t="str">
        <f xml:space="preserve"> Translate!E$120 &amp; ": " &amp; Inputs!F$89 &amp; ", " &amp; Translate!E$59</f>
        <v>AETR: full-cycle, undiscounted</v>
      </c>
      <c r="S87" s="3" t="str">
        <f xml:space="preserve"> "% " &amp; Inputs!F$52</f>
        <v>% US$ mn 2021</v>
      </c>
      <c r="T87" s="325">
        <f ca="1" xml:space="preserve"> IFERROR(I13, NA())</f>
        <v>0.68435805496804558</v>
      </c>
      <c r="U87" s="475">
        <v>0.68435805496804558</v>
      </c>
      <c r="V87" s="475">
        <v>0.70266579375898097</v>
      </c>
      <c r="W87" s="475">
        <v>0.68754809230881275</v>
      </c>
      <c r="X87" s="475">
        <v>0.67759838395801764</v>
      </c>
      <c r="Y87" s="475">
        <v>0.70675745023112457</v>
      </c>
      <c r="AA87" s="57" cm="1">
        <f t="array" ref="AA87" xml:space="preserve"> INDEX(U87:Y87, , MATCH(AA$62, U$63:Y$63, 0)) - INDEX(U87:Y87, , MATCH(AA$63, U$63:Y$63, 0))</f>
        <v>1.8307738790935391E-2</v>
      </c>
      <c r="AW87" s="442"/>
    </row>
    <row r="88" spans="1:59" x14ac:dyDescent="0.25">
      <c r="A88" s="1014"/>
      <c r="R88" s="3" t="str">
        <f xml:space="preserve"> Translate!E$120 &amp; ": " &amp; Inputs!F$89 &amp; ", " &amp; Inputs!$F$63</f>
        <v>AETR: full-cycle, NPV8</v>
      </c>
      <c r="S88" s="3" t="str">
        <f>"% " &amp; Inputs!$F$63</f>
        <v>% NPV8</v>
      </c>
      <c r="T88" s="325">
        <f ca="1" xml:space="preserve"> IFERROR( IF( T63 = 0, NA(), K13), 0)</f>
        <v>0.75354643833109825</v>
      </c>
      <c r="U88" s="475">
        <v>0.75354643833109825</v>
      </c>
      <c r="V88" s="475">
        <v>0.75238157836019426</v>
      </c>
      <c r="W88" s="475">
        <v>0.77307881146810598</v>
      </c>
      <c r="X88" s="475">
        <v>0.74780993593373579</v>
      </c>
      <c r="Y88" s="475">
        <v>0.75791344700717955</v>
      </c>
      <c r="AA88" s="57" cm="1">
        <f t="array" ref="AA88" xml:space="preserve"> INDEX(U88:Y88, , MATCH(AA$62, U$63:Y$63, 0)) - INDEX(U88:Y88, , MATCH(AA$63, U$63:Y$63, 0))</f>
        <v>-1.1648599709039864E-3</v>
      </c>
      <c r="AW88" s="442"/>
    </row>
    <row r="89" spans="1:59" x14ac:dyDescent="0.25">
      <c r="A89" s="1014"/>
      <c r="R89" s="3" t="str">
        <f xml:space="preserve"> Translate!E$119 &amp; ": " &amp; Inputs!F$89 &amp; ", " &amp; Translate!E$59</f>
        <v>Government share of project benefits: full-cycle, undiscounted</v>
      </c>
      <c r="S89" s="3" t="str">
        <f xml:space="preserve"> "% " &amp; Inputs!F$52</f>
        <v>% US$ mn 2021</v>
      </c>
      <c r="T89" s="325">
        <f ca="1" xml:space="preserve"> I14</f>
        <v>0.51711851146906207</v>
      </c>
      <c r="U89" s="475">
        <v>0.51711851146906207</v>
      </c>
      <c r="V89" s="475">
        <v>0.53095230879665389</v>
      </c>
      <c r="W89" s="475">
        <v>0.51952898556111493</v>
      </c>
      <c r="X89" s="475">
        <v>0.51201073055620427</v>
      </c>
      <c r="Y89" s="475">
        <v>0.53404406944586036</v>
      </c>
      <c r="AA89" s="57" cm="1">
        <f t="array" ref="AA89" xml:space="preserve"> INDEX(U89:Y89, , MATCH(AA$62, U$63:Y$63, 0)) - INDEX(U89:Y89, , MATCH(AA$63, U$63:Y$63, 0))</f>
        <v>1.3833797327591824E-2</v>
      </c>
      <c r="AW89" s="442"/>
    </row>
    <row r="90" spans="1:59" x14ac:dyDescent="0.25">
      <c r="A90" s="1014"/>
      <c r="R90" s="3" t="str">
        <f xml:space="preserve"> Translate!E$119 &amp; ": " &amp; Inputs!F$89 &amp; ", " &amp; Inputs!$F$63</f>
        <v>Government share of project benefits: full-cycle, NPV8</v>
      </c>
      <c r="S90" s="3" t="str">
        <f>"% " &amp; Inputs!$F$63</f>
        <v>% NPV8</v>
      </c>
      <c r="T90" s="325">
        <f ca="1" xml:space="preserve"> K14</f>
        <v>0.47252242788692667</v>
      </c>
      <c r="U90" s="475">
        <v>0.47252242788692667</v>
      </c>
      <c r="V90" s="475">
        <v>0.47179198523123728</v>
      </c>
      <c r="W90" s="475">
        <v>0.48477049105544628</v>
      </c>
      <c r="X90" s="475">
        <v>0.46892526930120743</v>
      </c>
      <c r="Y90" s="475">
        <v>0.47526082520029639</v>
      </c>
      <c r="AA90" s="57" cm="1">
        <f t="array" ref="AA90" xml:space="preserve"> INDEX(U90:Y90, , MATCH(AA$62, U$63:Y$63, 0)) - INDEX(U90:Y90, , MATCH(AA$63, U$63:Y$63, 0))</f>
        <v>-7.3044265568938949E-4</v>
      </c>
      <c r="AW90" s="442"/>
    </row>
    <row r="91" spans="1:59" x14ac:dyDescent="0.25">
      <c r="A91" s="1014"/>
      <c r="R91" s="257" t="str">
        <f xml:space="preserve"> Translate!E$755 &amp; " " &amp; Translate!E$654</f>
        <v>Check:  Government revenues data table</v>
      </c>
      <c r="T91" s="326">
        <f ca="1" xml:space="preserve"> SUM(T66:T74) + T76 - I12</f>
        <v>0</v>
      </c>
      <c r="U91" s="474">
        <v>0</v>
      </c>
      <c r="V91" s="474">
        <v>0</v>
      </c>
      <c r="W91" s="474">
        <v>0</v>
      </c>
      <c r="X91" s="474">
        <v>0</v>
      </c>
      <c r="Y91" s="474">
        <v>0</v>
      </c>
      <c r="AA91" s="48" cm="1">
        <f t="array" ref="AA91" xml:space="preserve"> INDEX(U91:Y91, , MATCH(AA$62, U$63:Y$63, 0)) - INDEX(U91:Y91, , MATCH(AA$63, U$63:Y$63, 0))</f>
        <v>0</v>
      </c>
      <c r="AW91" s="442"/>
    </row>
    <row r="92" spans="1:59" x14ac:dyDescent="0.25">
      <c r="A92" s="101"/>
      <c r="AW92" s="442"/>
    </row>
    <row r="93" spans="1:59" x14ac:dyDescent="0.25">
      <c r="A93" s="101" t="str">
        <f xml:space="preserve"> Translate!E$616</f>
        <v>Government revenue profiles under alternative regimes</v>
      </c>
      <c r="B93" s="41"/>
      <c r="C93" s="2"/>
      <c r="D93" s="42"/>
      <c r="E93" s="42"/>
      <c r="F93" s="939" t="str">
        <f xml:space="preserve"> Translate!E$621</f>
        <v xml:space="preserve">Return to </v>
      </c>
      <c r="G93" s="1015" t="str">
        <f ca="1">$A$1</f>
        <v>Dashboard</v>
      </c>
      <c r="H93" s="42"/>
      <c r="I93" s="42"/>
      <c r="J93" s="42"/>
      <c r="K93" s="42"/>
      <c r="L93" s="42"/>
      <c r="M93" s="42"/>
      <c r="N93" s="42"/>
      <c r="O93" s="42"/>
      <c r="P93" s="42"/>
      <c r="Q93" s="42"/>
      <c r="R93" s="42"/>
      <c r="S93" s="42"/>
      <c r="T93" s="42"/>
      <c r="U93" s="42"/>
      <c r="V93" s="42"/>
      <c r="W93" s="42"/>
      <c r="X93" s="42"/>
      <c r="Y93" s="42"/>
      <c r="Z93" s="42"/>
      <c r="AA93" s="42"/>
      <c r="AB93" s="42"/>
      <c r="AC93" s="42"/>
      <c r="AD93" s="42"/>
      <c r="AE93" s="42"/>
      <c r="AF93" s="42"/>
      <c r="AG93" s="42"/>
      <c r="AH93" s="42"/>
      <c r="AI93" s="42"/>
      <c r="AJ93" s="42"/>
      <c r="AK93" s="42"/>
      <c r="AL93" s="42"/>
      <c r="AM93" s="42"/>
      <c r="AN93" s="42"/>
      <c r="AO93" s="42"/>
      <c r="AP93" s="42"/>
      <c r="AQ93" s="42"/>
      <c r="AR93" s="42"/>
      <c r="AS93" s="42"/>
      <c r="AT93" s="42"/>
      <c r="AU93" s="42"/>
      <c r="AV93" s="42"/>
      <c r="AW93" s="42"/>
      <c r="AX93" s="42"/>
      <c r="AY93" s="42"/>
      <c r="AZ93" s="42"/>
      <c r="BA93" s="42"/>
      <c r="BB93" s="42"/>
      <c r="BC93" s="42"/>
      <c r="BD93" s="42"/>
      <c r="BE93" s="42"/>
      <c r="BF93" s="42"/>
      <c r="BG93" s="42"/>
    </row>
    <row r="94" spans="1:59" x14ac:dyDescent="0.35">
      <c r="A94" s="1014"/>
      <c r="R94" s="718" t="str">
        <f xml:space="preserve"> Translate!E$645</f>
        <v>Live results</v>
      </c>
      <c r="AW94" s="3"/>
    </row>
    <row r="95" spans="1:59" x14ac:dyDescent="0.25">
      <c r="A95" s="1014"/>
      <c r="B95" s="940" t="str">
        <f xml:space="preserve"> Translate!E$639</f>
        <v>Chart details</v>
      </c>
      <c r="R95" s="40" t="str">
        <f xml:space="preserve"> ProjectCashflows!E$34</f>
        <v>Model calendar years</v>
      </c>
      <c r="S95" s="40" t="str">
        <f xml:space="preserve"> ProjectCashflows!G$34</f>
        <v>Year</v>
      </c>
      <c r="T95" s="310">
        <f xml:space="preserve"> ProjectCashflows!K$34</f>
        <v>2021</v>
      </c>
      <c r="U95" s="310">
        <f xml:space="preserve"> ProjectCashflows!L$34</f>
        <v>2022</v>
      </c>
      <c r="V95" s="310">
        <f xml:space="preserve"> ProjectCashflows!M$34</f>
        <v>2023</v>
      </c>
      <c r="W95" s="310">
        <f xml:space="preserve"> ProjectCashflows!N$34</f>
        <v>2024</v>
      </c>
      <c r="X95" s="310">
        <f xml:space="preserve"> ProjectCashflows!O$34</f>
        <v>2025</v>
      </c>
      <c r="Y95" s="310">
        <f xml:space="preserve"> ProjectCashflows!P$34</f>
        <v>2026</v>
      </c>
      <c r="Z95" s="310">
        <f xml:space="preserve"> ProjectCashflows!Q$34</f>
        <v>2027</v>
      </c>
      <c r="AA95" s="310">
        <f xml:space="preserve"> ProjectCashflows!R$34</f>
        <v>2028</v>
      </c>
      <c r="AB95" s="310">
        <f xml:space="preserve"> ProjectCashflows!S$34</f>
        <v>2029</v>
      </c>
      <c r="AC95" s="310">
        <f xml:space="preserve"> ProjectCashflows!T$34</f>
        <v>2030</v>
      </c>
      <c r="AD95" s="310">
        <f xml:space="preserve"> ProjectCashflows!U$34</f>
        <v>2031</v>
      </c>
      <c r="AE95" s="310">
        <f xml:space="preserve"> ProjectCashflows!V$34</f>
        <v>2032</v>
      </c>
      <c r="AF95" s="310">
        <f xml:space="preserve"> ProjectCashflows!W$34</f>
        <v>2033</v>
      </c>
      <c r="AG95" s="310">
        <f xml:space="preserve"> ProjectCashflows!X$34</f>
        <v>2034</v>
      </c>
      <c r="AH95" s="310">
        <f xml:space="preserve"> ProjectCashflows!Y$34</f>
        <v>2035</v>
      </c>
      <c r="AI95" s="310">
        <f xml:space="preserve"> ProjectCashflows!Z$34</f>
        <v>2036</v>
      </c>
      <c r="AJ95" s="310">
        <f xml:space="preserve"> ProjectCashflows!AA$34</f>
        <v>2037</v>
      </c>
      <c r="AK95" s="310">
        <f xml:space="preserve"> ProjectCashflows!AB$34</f>
        <v>2038</v>
      </c>
      <c r="AL95" s="310">
        <f xml:space="preserve"> ProjectCashflows!AC$34</f>
        <v>2039</v>
      </c>
      <c r="AM95" s="310">
        <f xml:space="preserve"> ProjectCashflows!AD$34</f>
        <v>2040</v>
      </c>
      <c r="AN95" s="310">
        <f xml:space="preserve"> ProjectCashflows!AE$34</f>
        <v>2041</v>
      </c>
      <c r="AO95" s="310">
        <f xml:space="preserve"> ProjectCashflows!AF$34</f>
        <v>2042</v>
      </c>
      <c r="AP95" s="310">
        <f xml:space="preserve"> ProjectCashflows!AG$34</f>
        <v>2043</v>
      </c>
      <c r="AQ95" s="310">
        <f xml:space="preserve"> ProjectCashflows!AH$34</f>
        <v>2044</v>
      </c>
      <c r="AR95" s="310">
        <f xml:space="preserve"> ProjectCashflows!AI$34</f>
        <v>2045</v>
      </c>
      <c r="AS95" s="310">
        <f xml:space="preserve"> ProjectCashflows!AJ$34</f>
        <v>2046</v>
      </c>
      <c r="AT95" s="310">
        <f xml:space="preserve"> ProjectCashflows!AK$34</f>
        <v>2047</v>
      </c>
      <c r="AU95" s="310">
        <f xml:space="preserve"> ProjectCashflows!AL$34</f>
        <v>2048</v>
      </c>
      <c r="AV95" s="310">
        <f xml:space="preserve"> ProjectCashflows!AM$34</f>
        <v>2049</v>
      </c>
      <c r="AW95" s="310">
        <f xml:space="preserve"> ProjectCashflows!AN$34</f>
        <v>2050</v>
      </c>
      <c r="AX95" s="310">
        <f xml:space="preserve"> ProjectCashflows!AO$34</f>
        <v>2051</v>
      </c>
      <c r="AY95" s="310">
        <f xml:space="preserve"> ProjectCashflows!AP$34</f>
        <v>2052</v>
      </c>
      <c r="AZ95" s="310">
        <f xml:space="preserve"> ProjectCashflows!AQ$34</f>
        <v>2053</v>
      </c>
      <c r="BA95" s="310">
        <f xml:space="preserve"> ProjectCashflows!AR$34</f>
        <v>2054</v>
      </c>
      <c r="BB95" s="310">
        <f xml:space="preserve"> ProjectCashflows!AS$34</f>
        <v>2055</v>
      </c>
      <c r="BC95" s="310">
        <f xml:space="preserve"> ProjectCashflows!AT$34</f>
        <v>2056</v>
      </c>
      <c r="BD95" s="310">
        <f xml:space="preserve"> ProjectCashflows!AU$34</f>
        <v>2057</v>
      </c>
      <c r="BE95" s="310">
        <f xml:space="preserve"> ProjectCashflows!AV$34</f>
        <v>2058</v>
      </c>
      <c r="BF95" s="310">
        <f xml:space="preserve"> ProjectCashflows!AW$34</f>
        <v>2059</v>
      </c>
      <c r="BG95" s="310">
        <f xml:space="preserve"> ProjectCashflows!AX$34</f>
        <v>2060</v>
      </c>
    </row>
    <row r="96" spans="1:59" x14ac:dyDescent="0.25">
      <c r="A96" s="1014"/>
      <c r="B96" s="62" t="str">
        <f xml:space="preserve"> Translate!E$616</f>
        <v>Government revenue profiles under alternative regimes</v>
      </c>
      <c r="C96" s="3" t="str">
        <f xml:space="preserve"> Translate!E$640</f>
        <v>Chart title</v>
      </c>
      <c r="R96" s="40" t="str">
        <f xml:space="preserve"> FiscalModel!E$1131</f>
        <v>Government revenues including participation</v>
      </c>
      <c r="S96" s="40" t="str">
        <f xml:space="preserve"> FiscalModel!G$1131</f>
        <v>US$ mn 2021</v>
      </c>
      <c r="T96" s="40">
        <f ca="1" xml:space="preserve"> FiscalModel!K$1131</f>
        <v>10</v>
      </c>
      <c r="U96" s="40">
        <f ca="1" xml:space="preserve"> FiscalModel!L$1131</f>
        <v>-7</v>
      </c>
      <c r="V96" s="40">
        <f ca="1" xml:space="preserve"> FiscalModel!M$1131</f>
        <v>-42</v>
      </c>
      <c r="W96" s="40">
        <f ca="1" xml:space="preserve"> FiscalModel!N$1131</f>
        <v>-168</v>
      </c>
      <c r="X96" s="40">
        <f ca="1" xml:space="preserve"> FiscalModel!O$1131</f>
        <v>-79.417393719356809</v>
      </c>
      <c r="Y96" s="40">
        <f ca="1" xml:space="preserve"> FiscalModel!P$1131</f>
        <v>74.70789472108811</v>
      </c>
      <c r="Z96" s="40">
        <f ca="1" xml:space="preserve"> FiscalModel!Q$1131</f>
        <v>834.02285311303217</v>
      </c>
      <c r="AA96" s="40">
        <f ca="1" xml:space="preserve"> FiscalModel!R$1131</f>
        <v>1196.7426402778426</v>
      </c>
      <c r="AB96" s="40">
        <f ca="1" xml:space="preserve"> FiscalModel!S$1131</f>
        <v>1325.5965480811115</v>
      </c>
      <c r="AC96" s="40">
        <f ca="1" xml:space="preserve"> FiscalModel!T$1131</f>
        <v>1449.7366227461</v>
      </c>
      <c r="AD96" s="40">
        <f ca="1" xml:space="preserve"> FiscalModel!U$1131</f>
        <v>1541.5650709837716</v>
      </c>
      <c r="AE96" s="40">
        <f ca="1" xml:space="preserve"> FiscalModel!V$1131</f>
        <v>1585.8629753916148</v>
      </c>
      <c r="AF96" s="40">
        <f ca="1" xml:space="preserve"> FiscalModel!W$1131</f>
        <v>1572.8019820419881</v>
      </c>
      <c r="AG96" s="40">
        <f ca="1" xml:space="preserve"> FiscalModel!X$1131</f>
        <v>1577.5283262101759</v>
      </c>
      <c r="AH96" s="40">
        <f ca="1" xml:space="preserve"> FiscalModel!Y$1131</f>
        <v>1582.0855244849381</v>
      </c>
      <c r="AI96" s="40">
        <f ca="1" xml:space="preserve"> FiscalModel!Z$1131</f>
        <v>1586.4783929127805</v>
      </c>
      <c r="AJ96" s="40">
        <f ca="1" xml:space="preserve"> FiscalModel!AA$1131</f>
        <v>1251.3690388825701</v>
      </c>
      <c r="AK96" s="40">
        <f ca="1" xml:space="preserve"> FiscalModel!AB$1131</f>
        <v>1040.60654767799</v>
      </c>
      <c r="AL96" s="40">
        <f ca="1" xml:space="preserve"> FiscalModel!AC$1131</f>
        <v>874.00072866289145</v>
      </c>
      <c r="AM96" s="40">
        <f ca="1" xml:space="preserve"> FiscalModel!AD$1131</f>
        <v>633.12406726123163</v>
      </c>
      <c r="AN96" s="40">
        <f ca="1" xml:space="preserve"> FiscalModel!AE$1131</f>
        <v>490.16942270462158</v>
      </c>
      <c r="AO96" s="40">
        <f ca="1" xml:space="preserve"> FiscalModel!AF$1131</f>
        <v>436.44001776963444</v>
      </c>
      <c r="AP96" s="40">
        <f ca="1" xml:space="preserve"> FiscalModel!AG$1131</f>
        <v>318.50531939932284</v>
      </c>
      <c r="AQ96" s="40">
        <f ca="1" xml:space="preserve"> FiscalModel!AH$1131</f>
        <v>244.18007248183767</v>
      </c>
      <c r="AR96" s="40">
        <f ca="1" xml:space="preserve"> FiscalModel!AI$1131</f>
        <v>194.73152542044244</v>
      </c>
      <c r="AS96" s="40">
        <f ca="1" xml:space="preserve"> FiscalModel!AJ$1131</f>
        <v>157.01114098357735</v>
      </c>
      <c r="AT96" s="40">
        <f ca="1" xml:space="preserve"> FiscalModel!AK$1131</f>
        <v>118.6070114500837</v>
      </c>
      <c r="AU96" s="40">
        <f ca="1" xml:space="preserve"> FiscalModel!AL$1131</f>
        <v>88.026673046035484</v>
      </c>
      <c r="AV96" s="40">
        <f ca="1" xml:space="preserve"> FiscalModel!AM$1131</f>
        <v>70.092372595120622</v>
      </c>
      <c r="AW96" s="40">
        <f ca="1" xml:space="preserve"> FiscalModel!AN$1131</f>
        <v>48.450661822132645</v>
      </c>
      <c r="AX96" s="40">
        <f ca="1" xml:space="preserve"> FiscalModel!AO$1131</f>
        <v>33.36285916166166</v>
      </c>
      <c r="AY96" s="40">
        <f ca="1" xml:space="preserve"> FiscalModel!AP$1131</f>
        <v>0</v>
      </c>
      <c r="AZ96" s="40">
        <f ca="1" xml:space="preserve"> FiscalModel!AQ$1131</f>
        <v>0</v>
      </c>
      <c r="BA96" s="40">
        <f ca="1" xml:space="preserve"> FiscalModel!AR$1131</f>
        <v>0</v>
      </c>
      <c r="BB96" s="40">
        <f ca="1" xml:space="preserve"> FiscalModel!AS$1131</f>
        <v>0</v>
      </c>
      <c r="BC96" s="40">
        <f ca="1" xml:space="preserve"> FiscalModel!AT$1131</f>
        <v>0</v>
      </c>
      <c r="BD96" s="40">
        <f ca="1" xml:space="preserve"> FiscalModel!AU$1131</f>
        <v>0</v>
      </c>
      <c r="BE96" s="40">
        <f ca="1" xml:space="preserve"> FiscalModel!AV$1131</f>
        <v>0</v>
      </c>
      <c r="BF96" s="40">
        <f ca="1" xml:space="preserve"> FiscalModel!AW$1131</f>
        <v>0</v>
      </c>
      <c r="BG96" s="40">
        <f ca="1" xml:space="preserve"> FiscalModel!AX$1131</f>
        <v>0</v>
      </c>
    </row>
    <row r="97" spans="1:59" x14ac:dyDescent="0.25">
      <c r="A97" s="1014"/>
      <c r="B97" s="63" t="str">
        <f xml:space="preserve"> S95</f>
        <v>Year</v>
      </c>
      <c r="C97" s="3" t="str">
        <f xml:space="preserve"> Translate!E$641</f>
        <v>Vertical axis 1</v>
      </c>
      <c r="AW97" s="3"/>
    </row>
    <row r="98" spans="1:59" x14ac:dyDescent="0.25">
      <c r="A98" s="1014"/>
      <c r="B98" s="63" t="str">
        <f xml:space="preserve"> D143 &amp; " " &amp; E143</f>
        <v xml:space="preserve"> </v>
      </c>
      <c r="C98" s="3" t="str">
        <f xml:space="preserve"> Translate!E$642</f>
        <v>Vertical axis 2</v>
      </c>
      <c r="R98" s="50" t="str">
        <f xml:space="preserve"> Translate!E$95</f>
        <v>Fiscal regime selection</v>
      </c>
      <c r="AW98" s="3"/>
    </row>
    <row r="99" spans="1:59" x14ac:dyDescent="0.25">
      <c r="A99" s="1014"/>
      <c r="B99" s="63" t="str">
        <f xml:space="preserve"> S96</f>
        <v>US$ mn 2021</v>
      </c>
      <c r="C99" s="3" t="str">
        <f xml:space="preserve"> Translate!E$643</f>
        <v>Horizontal axis</v>
      </c>
      <c r="R99" s="326" t="str">
        <f xml:space="preserve"> $C$6</f>
        <v>Royalty + CIT</v>
      </c>
      <c r="S99" s="326" t="str">
        <f t="shared" ref="S99:BG99" si="4" xml:space="preserve"> IFERROR( IF( $R99 = 0, NA(), S96), "")</f>
        <v>US$ mn 2021</v>
      </c>
      <c r="T99" s="326">
        <f t="shared" ca="1" si="4"/>
        <v>10</v>
      </c>
      <c r="U99" s="326">
        <f t="shared" ca="1" si="4"/>
        <v>-7</v>
      </c>
      <c r="V99" s="326">
        <f t="shared" ca="1" si="4"/>
        <v>-42</v>
      </c>
      <c r="W99" s="326">
        <f t="shared" ca="1" si="4"/>
        <v>-168</v>
      </c>
      <c r="X99" s="326">
        <f t="shared" ca="1" si="4"/>
        <v>-79.417393719356809</v>
      </c>
      <c r="Y99" s="326">
        <f t="shared" ca="1" si="4"/>
        <v>74.70789472108811</v>
      </c>
      <c r="Z99" s="326">
        <f t="shared" ca="1" si="4"/>
        <v>834.02285311303217</v>
      </c>
      <c r="AA99" s="326">
        <f t="shared" ca="1" si="4"/>
        <v>1196.7426402778426</v>
      </c>
      <c r="AB99" s="326">
        <f t="shared" ca="1" si="4"/>
        <v>1325.5965480811115</v>
      </c>
      <c r="AC99" s="326">
        <f t="shared" ca="1" si="4"/>
        <v>1449.7366227461</v>
      </c>
      <c r="AD99" s="326">
        <f t="shared" ca="1" si="4"/>
        <v>1541.5650709837716</v>
      </c>
      <c r="AE99" s="326">
        <f t="shared" ca="1" si="4"/>
        <v>1585.8629753916148</v>
      </c>
      <c r="AF99" s="326">
        <f t="shared" ca="1" si="4"/>
        <v>1572.8019820419881</v>
      </c>
      <c r="AG99" s="326">
        <f t="shared" ca="1" si="4"/>
        <v>1577.5283262101759</v>
      </c>
      <c r="AH99" s="326">
        <f t="shared" ca="1" si="4"/>
        <v>1582.0855244849381</v>
      </c>
      <c r="AI99" s="326">
        <f t="shared" ca="1" si="4"/>
        <v>1586.4783929127805</v>
      </c>
      <c r="AJ99" s="326">
        <f t="shared" ca="1" si="4"/>
        <v>1251.3690388825701</v>
      </c>
      <c r="AK99" s="326">
        <f t="shared" ca="1" si="4"/>
        <v>1040.60654767799</v>
      </c>
      <c r="AL99" s="326">
        <f t="shared" ca="1" si="4"/>
        <v>874.00072866289145</v>
      </c>
      <c r="AM99" s="326">
        <f t="shared" ca="1" si="4"/>
        <v>633.12406726123163</v>
      </c>
      <c r="AN99" s="326">
        <f t="shared" ca="1" si="4"/>
        <v>490.16942270462158</v>
      </c>
      <c r="AO99" s="326">
        <f t="shared" ca="1" si="4"/>
        <v>436.44001776963444</v>
      </c>
      <c r="AP99" s="326">
        <f t="shared" ca="1" si="4"/>
        <v>318.50531939932284</v>
      </c>
      <c r="AQ99" s="326">
        <f t="shared" ca="1" si="4"/>
        <v>244.18007248183767</v>
      </c>
      <c r="AR99" s="326">
        <f t="shared" ca="1" si="4"/>
        <v>194.73152542044244</v>
      </c>
      <c r="AS99" s="326">
        <f t="shared" ca="1" si="4"/>
        <v>157.01114098357735</v>
      </c>
      <c r="AT99" s="326">
        <f t="shared" ca="1" si="4"/>
        <v>118.6070114500837</v>
      </c>
      <c r="AU99" s="326">
        <f t="shared" ca="1" si="4"/>
        <v>88.026673046035484</v>
      </c>
      <c r="AV99" s="326">
        <f t="shared" ca="1" si="4"/>
        <v>70.092372595120622</v>
      </c>
      <c r="AW99" s="326">
        <f t="shared" ca="1" si="4"/>
        <v>48.450661822132645</v>
      </c>
      <c r="AX99" s="326">
        <f t="shared" ca="1" si="4"/>
        <v>33.36285916166166</v>
      </c>
      <c r="AY99" s="326">
        <f t="shared" ca="1" si="4"/>
        <v>0</v>
      </c>
      <c r="AZ99" s="326">
        <f t="shared" ca="1" si="4"/>
        <v>0</v>
      </c>
      <c r="BA99" s="326">
        <f t="shared" ca="1" si="4"/>
        <v>0</v>
      </c>
      <c r="BB99" s="326">
        <f t="shared" ca="1" si="4"/>
        <v>0</v>
      </c>
      <c r="BC99" s="326">
        <f t="shared" ca="1" si="4"/>
        <v>0</v>
      </c>
      <c r="BD99" s="326">
        <f t="shared" ca="1" si="4"/>
        <v>0</v>
      </c>
      <c r="BE99" s="326">
        <f t="shared" ca="1" si="4"/>
        <v>0</v>
      </c>
      <c r="BF99" s="326">
        <f t="shared" ca="1" si="4"/>
        <v>0</v>
      </c>
      <c r="BG99" s="326">
        <f t="shared" ca="1" si="4"/>
        <v>0</v>
      </c>
    </row>
    <row r="100" spans="1:59" x14ac:dyDescent="0.25">
      <c r="A100" s="1014"/>
      <c r="B100" s="448" t="str">
        <f xml:space="preserve"> Translate!E$112 &amp; ": " &amp; C$7</f>
        <v>Project: 800MMbbl_A</v>
      </c>
      <c r="C100" s="3" t="str">
        <f xml:space="preserve"> Translate!E$644</f>
        <v>Text box</v>
      </c>
      <c r="R100" s="598" t="str">
        <f t="array" ref="R100:R104" xml:space="preserve"> TRANSPOSE( U63:Y63)</f>
        <v>Royalty + CIT</v>
      </c>
      <c r="S100" s="447" t="str">
        <f t="dataTable" ref="S100:BG104" dt2D="0" dtr="0" r1="C6" ca="1"/>
        <v>US$ mn 2021</v>
      </c>
      <c r="T100" s="447">
        <v>10</v>
      </c>
      <c r="U100" s="447">
        <v>-7</v>
      </c>
      <c r="V100" s="447">
        <v>-42</v>
      </c>
      <c r="W100" s="447">
        <v>-168</v>
      </c>
      <c r="X100" s="447">
        <v>-79.417393719356809</v>
      </c>
      <c r="Y100" s="447">
        <v>74.70789472108811</v>
      </c>
      <c r="Z100" s="447">
        <v>834.02285311303217</v>
      </c>
      <c r="AA100" s="447">
        <v>1196.7426402778426</v>
      </c>
      <c r="AB100" s="447">
        <v>1325.5965480811115</v>
      </c>
      <c r="AC100" s="447">
        <v>1449.7366227461</v>
      </c>
      <c r="AD100" s="447">
        <v>1541.5650709837716</v>
      </c>
      <c r="AE100" s="447">
        <v>1585.8629753916148</v>
      </c>
      <c r="AF100" s="447">
        <v>1572.8019820419881</v>
      </c>
      <c r="AG100" s="447">
        <v>1577.5283262101759</v>
      </c>
      <c r="AH100" s="447">
        <v>1582.0855244849381</v>
      </c>
      <c r="AI100" s="447">
        <v>1586.4783929127805</v>
      </c>
      <c r="AJ100" s="447">
        <v>1251.3690388825701</v>
      </c>
      <c r="AK100" s="447">
        <v>1040.60654767799</v>
      </c>
      <c r="AL100" s="447">
        <v>874.00072866289145</v>
      </c>
      <c r="AM100" s="447">
        <v>633.12406726123163</v>
      </c>
      <c r="AN100" s="447">
        <v>490.16942270462158</v>
      </c>
      <c r="AO100" s="447">
        <v>436.44001776963444</v>
      </c>
      <c r="AP100" s="447">
        <v>318.50531939932284</v>
      </c>
      <c r="AQ100" s="447">
        <v>244.18007248183767</v>
      </c>
      <c r="AR100" s="447">
        <v>194.73152542044244</v>
      </c>
      <c r="AS100" s="447">
        <v>157.01114098357735</v>
      </c>
      <c r="AT100" s="447">
        <v>118.6070114500837</v>
      </c>
      <c r="AU100" s="447">
        <v>88.026673046035484</v>
      </c>
      <c r="AV100" s="447">
        <v>70.092372595120622</v>
      </c>
      <c r="AW100" s="447">
        <v>48.450661822132645</v>
      </c>
      <c r="AX100" s="447">
        <v>33.36285916166166</v>
      </c>
      <c r="AY100" s="447">
        <v>0</v>
      </c>
      <c r="AZ100" s="447">
        <v>0</v>
      </c>
      <c r="BA100" s="447">
        <v>0</v>
      </c>
      <c r="BB100" s="447">
        <v>0</v>
      </c>
      <c r="BC100" s="447">
        <v>0</v>
      </c>
      <c r="BD100" s="447">
        <v>0</v>
      </c>
      <c r="BE100" s="447">
        <v>0</v>
      </c>
      <c r="BF100" s="447">
        <v>0</v>
      </c>
      <c r="BG100" s="447">
        <v>0</v>
      </c>
    </row>
    <row r="101" spans="1:59" x14ac:dyDescent="0.25">
      <c r="A101" s="1014"/>
      <c r="R101" s="598" t="str">
        <v>RRT</v>
      </c>
      <c r="S101" s="447" t="str">
        <v>US$ mn 2021</v>
      </c>
      <c r="T101" s="447">
        <v>10</v>
      </c>
      <c r="U101" s="447">
        <v>-3.5</v>
      </c>
      <c r="V101" s="447">
        <v>-21</v>
      </c>
      <c r="W101" s="447">
        <v>-84</v>
      </c>
      <c r="X101" s="447">
        <v>-24.166147444003379</v>
      </c>
      <c r="Y101" s="447">
        <v>18.448519721088104</v>
      </c>
      <c r="Z101" s="447">
        <v>544.37684700292334</v>
      </c>
      <c r="AA101" s="447">
        <v>857.66979260894391</v>
      </c>
      <c r="AB101" s="447">
        <v>894.21105503742535</v>
      </c>
      <c r="AC101" s="447">
        <v>1525.6580390759959</v>
      </c>
      <c r="AD101" s="447">
        <v>1718.7205852521681</v>
      </c>
      <c r="AE101" s="447">
        <v>1742.446395761852</v>
      </c>
      <c r="AF101" s="447">
        <v>1715.340869020424</v>
      </c>
      <c r="AG101" s="447">
        <v>1718.4707264742258</v>
      </c>
      <c r="AH101" s="447">
        <v>1721.4986564488995</v>
      </c>
      <c r="AI101" s="447">
        <v>1724.4274527719795</v>
      </c>
      <c r="AJ101" s="447">
        <v>1347.5829456784847</v>
      </c>
      <c r="AK101" s="447">
        <v>1164.7657582572201</v>
      </c>
      <c r="AL101" s="447">
        <v>981.38101909513489</v>
      </c>
      <c r="AM101" s="447">
        <v>663.41467801885301</v>
      </c>
      <c r="AN101" s="447">
        <v>504.19224210020627</v>
      </c>
      <c r="AO101" s="447">
        <v>477.36090648610701</v>
      </c>
      <c r="AP101" s="447">
        <v>362.05363060427032</v>
      </c>
      <c r="AQ101" s="447">
        <v>277.54044186325092</v>
      </c>
      <c r="AR101" s="447">
        <v>215.22499738996993</v>
      </c>
      <c r="AS101" s="447">
        <v>166.42151308056066</v>
      </c>
      <c r="AT101" s="447">
        <v>123.16035184944701</v>
      </c>
      <c r="AU101" s="447">
        <v>88.830263047697358</v>
      </c>
      <c r="AV101" s="447">
        <v>70.324711193741322</v>
      </c>
      <c r="AW101" s="447">
        <v>45.644724475463995</v>
      </c>
      <c r="AX101" s="447">
        <v>28.975565849765935</v>
      </c>
      <c r="AY101" s="447">
        <v>0</v>
      </c>
      <c r="AZ101" s="447">
        <v>0</v>
      </c>
      <c r="BA101" s="447">
        <v>0</v>
      </c>
      <c r="BB101" s="447">
        <v>0</v>
      </c>
      <c r="BC101" s="447">
        <v>0</v>
      </c>
      <c r="BD101" s="447">
        <v>0</v>
      </c>
      <c r="BE101" s="447">
        <v>0</v>
      </c>
      <c r="BF101" s="447">
        <v>0</v>
      </c>
      <c r="BG101" s="447">
        <v>0</v>
      </c>
    </row>
    <row r="102" spans="1:59" x14ac:dyDescent="0.25">
      <c r="A102" s="1014"/>
      <c r="R102" s="598" t="str">
        <v>Royalty + CIT, no debt</v>
      </c>
      <c r="S102" s="447" t="str">
        <v>US$ mn 2021</v>
      </c>
      <c r="T102" s="447">
        <v>10</v>
      </c>
      <c r="U102" s="447">
        <v>0</v>
      </c>
      <c r="V102" s="447">
        <v>0</v>
      </c>
      <c r="W102" s="447">
        <v>0</v>
      </c>
      <c r="X102" s="447">
        <v>78.99968837242767</v>
      </c>
      <c r="Y102" s="447">
        <v>257.10252191232007</v>
      </c>
      <c r="Z102" s="447">
        <v>754.51149354203176</v>
      </c>
      <c r="AA102" s="447">
        <v>994.36451583706514</v>
      </c>
      <c r="AB102" s="447">
        <v>1140.3718269009894</v>
      </c>
      <c r="AC102" s="447">
        <v>1487.9048005470243</v>
      </c>
      <c r="AD102" s="447">
        <v>1586.9822777246973</v>
      </c>
      <c r="AE102" s="447">
        <v>1631.9469646252326</v>
      </c>
      <c r="AF102" s="447">
        <v>1613.5710148151006</v>
      </c>
      <c r="AG102" s="447">
        <v>1613.6697734802767</v>
      </c>
      <c r="AH102" s="447">
        <v>1613.7665957010379</v>
      </c>
      <c r="AI102" s="447">
        <v>1613.8615194468821</v>
      </c>
      <c r="AJ102" s="447">
        <v>1241.4869616671804</v>
      </c>
      <c r="AK102" s="447">
        <v>965.33176941723207</v>
      </c>
      <c r="AL102" s="447">
        <v>813.26141637712442</v>
      </c>
      <c r="AM102" s="447">
        <v>598.95510021140149</v>
      </c>
      <c r="AN102" s="447">
        <v>464.51222419115726</v>
      </c>
      <c r="AO102" s="447">
        <v>405.20829939102362</v>
      </c>
      <c r="AP102" s="447">
        <v>314.91292388351172</v>
      </c>
      <c r="AQ102" s="447">
        <v>239.91675426563779</v>
      </c>
      <c r="AR102" s="447">
        <v>191.42627879109514</v>
      </c>
      <c r="AS102" s="447">
        <v>154.78117658594664</v>
      </c>
      <c r="AT102" s="447">
        <v>116.09317579251162</v>
      </c>
      <c r="AU102" s="447">
        <v>85.325425074797508</v>
      </c>
      <c r="AV102" s="447">
        <v>67.807861610988354</v>
      </c>
      <c r="AW102" s="447">
        <v>45.909918216270484</v>
      </c>
      <c r="AX102" s="447">
        <v>30.81736772020064</v>
      </c>
      <c r="AY102" s="447">
        <v>0</v>
      </c>
      <c r="AZ102" s="447">
        <v>0</v>
      </c>
      <c r="BA102" s="447">
        <v>0</v>
      </c>
      <c r="BB102" s="447">
        <v>0</v>
      </c>
      <c r="BC102" s="447">
        <v>0</v>
      </c>
      <c r="BD102" s="447">
        <v>0</v>
      </c>
      <c r="BE102" s="447">
        <v>0</v>
      </c>
      <c r="BF102" s="447">
        <v>0</v>
      </c>
      <c r="BG102" s="447">
        <v>0</v>
      </c>
    </row>
    <row r="103" spans="1:59" x14ac:dyDescent="0.25">
      <c r="A103" s="1014"/>
      <c r="R103" s="598" t="str">
        <v>DROP PSC</v>
      </c>
      <c r="S103" s="447" t="str">
        <v>US$ mn 2021</v>
      </c>
      <c r="T103" s="447">
        <v>10</v>
      </c>
      <c r="U103" s="447">
        <v>-3.5</v>
      </c>
      <c r="V103" s="447">
        <v>-21</v>
      </c>
      <c r="W103" s="447">
        <v>-84</v>
      </c>
      <c r="X103" s="447">
        <v>-11.363369118627432</v>
      </c>
      <c r="Y103" s="447">
        <v>128.91321472108808</v>
      </c>
      <c r="Z103" s="447">
        <v>664.0467991236801</v>
      </c>
      <c r="AA103" s="447">
        <v>1021.9879235089438</v>
      </c>
      <c r="AB103" s="447">
        <v>1058.5291859374254</v>
      </c>
      <c r="AC103" s="447">
        <v>1497.092102467768</v>
      </c>
      <c r="AD103" s="447">
        <v>1603.4162045277815</v>
      </c>
      <c r="AE103" s="447">
        <v>1646.3120231099829</v>
      </c>
      <c r="AF103" s="447">
        <v>1627.6555151955292</v>
      </c>
      <c r="AG103" s="447">
        <v>1632.5083768098525</v>
      </c>
      <c r="AH103" s="447">
        <v>1637.1923429564536</v>
      </c>
      <c r="AI103" s="447">
        <v>1641.7121712193748</v>
      </c>
      <c r="AJ103" s="447">
        <v>1256.752112713848</v>
      </c>
      <c r="AK103" s="447">
        <v>1043.7508971200991</v>
      </c>
      <c r="AL103" s="447">
        <v>865.25703569000325</v>
      </c>
      <c r="AM103" s="447">
        <v>601.93552810100243</v>
      </c>
      <c r="AN103" s="447">
        <v>459.53433459326044</v>
      </c>
      <c r="AO103" s="447">
        <v>417.34206754329239</v>
      </c>
      <c r="AP103" s="447">
        <v>312.2006300572242</v>
      </c>
      <c r="AQ103" s="447">
        <v>222.55914225068472</v>
      </c>
      <c r="AR103" s="447">
        <v>173.3419437469978</v>
      </c>
      <c r="AS103" s="447">
        <v>137.4921041907329</v>
      </c>
      <c r="AT103" s="447">
        <v>102.51356584968323</v>
      </c>
      <c r="AU103" s="447">
        <v>74.724965674269257</v>
      </c>
      <c r="AV103" s="447">
        <v>59.279389573018179</v>
      </c>
      <c r="AW103" s="447">
        <v>39.416029690743656</v>
      </c>
      <c r="AX103" s="447">
        <v>25.849811486951605</v>
      </c>
      <c r="AY103" s="447">
        <v>0</v>
      </c>
      <c r="AZ103" s="447">
        <v>0</v>
      </c>
      <c r="BA103" s="447">
        <v>0</v>
      </c>
      <c r="BB103" s="447">
        <v>0</v>
      </c>
      <c r="BC103" s="447">
        <v>0</v>
      </c>
      <c r="BD103" s="447">
        <v>0</v>
      </c>
      <c r="BE103" s="447">
        <v>0</v>
      </c>
      <c r="BF103" s="447">
        <v>0</v>
      </c>
      <c r="BG103" s="447">
        <v>0</v>
      </c>
    </row>
    <row r="104" spans="1:59" x14ac:dyDescent="0.25">
      <c r="A104" s="1014"/>
      <c r="R104" s="598" t="str">
        <v>R-factor PSC</v>
      </c>
      <c r="S104" s="447" t="str">
        <v>US$ mn 2021</v>
      </c>
      <c r="T104" s="447">
        <v>10</v>
      </c>
      <c r="U104" s="447">
        <v>-3.5</v>
      </c>
      <c r="V104" s="447">
        <v>-21</v>
      </c>
      <c r="W104" s="447">
        <v>-84</v>
      </c>
      <c r="X104" s="447">
        <v>-11.363369118627432</v>
      </c>
      <c r="Y104" s="447">
        <v>108.96669472108806</v>
      </c>
      <c r="Z104" s="447">
        <v>621.08551501779766</v>
      </c>
      <c r="AA104" s="447">
        <v>971.72269310894376</v>
      </c>
      <c r="AB104" s="447">
        <v>1008.2639555374253</v>
      </c>
      <c r="AC104" s="447">
        <v>1425.0918164313887</v>
      </c>
      <c r="AD104" s="447">
        <v>1528.4454482393871</v>
      </c>
      <c r="AE104" s="447">
        <v>1571.303495239008</v>
      </c>
      <c r="AF104" s="447">
        <v>1676.5459616169321</v>
      </c>
      <c r="AG104" s="447">
        <v>1681.4453779680905</v>
      </c>
      <c r="AH104" s="447">
        <v>1686.1749860135494</v>
      </c>
      <c r="AI104" s="447">
        <v>1690.7395612361356</v>
      </c>
      <c r="AJ104" s="447">
        <v>1418.1407264000175</v>
      </c>
      <c r="AK104" s="447">
        <v>1204.3817166308449</v>
      </c>
      <c r="AL104" s="447">
        <v>1016.3873431092004</v>
      </c>
      <c r="AM104" s="447">
        <v>705.1853789695848</v>
      </c>
      <c r="AN104" s="447">
        <v>538.8094477040238</v>
      </c>
      <c r="AO104" s="447">
        <v>483.43152736371138</v>
      </c>
      <c r="AP104" s="447">
        <v>375.15667154710331</v>
      </c>
      <c r="AQ104" s="447">
        <v>285.92041737690062</v>
      </c>
      <c r="AR104" s="447">
        <v>224.24526159871073</v>
      </c>
      <c r="AS104" s="447">
        <v>176.77409758249476</v>
      </c>
      <c r="AT104" s="447">
        <v>140.48046239119134</v>
      </c>
      <c r="AU104" s="447">
        <v>101.2883930146819</v>
      </c>
      <c r="AV104" s="447">
        <v>80.187814915946603</v>
      </c>
      <c r="AW104" s="447">
        <v>52.003029053611058</v>
      </c>
      <c r="AX104" s="447">
        <v>32.974099510380427</v>
      </c>
      <c r="AY104" s="447">
        <v>0</v>
      </c>
      <c r="AZ104" s="447">
        <v>0</v>
      </c>
      <c r="BA104" s="447">
        <v>0</v>
      </c>
      <c r="BB104" s="447">
        <v>0</v>
      </c>
      <c r="BC104" s="447">
        <v>0</v>
      </c>
      <c r="BD104" s="447">
        <v>0</v>
      </c>
      <c r="BE104" s="447">
        <v>0</v>
      </c>
      <c r="BF104" s="447">
        <v>0</v>
      </c>
      <c r="BG104" s="447">
        <v>0</v>
      </c>
    </row>
    <row r="105" spans="1:59" x14ac:dyDescent="0.25">
      <c r="A105" s="1014"/>
    </row>
    <row r="106" spans="1:59" x14ac:dyDescent="0.25">
      <c r="A106" s="1014"/>
      <c r="B106" s="48"/>
      <c r="R106" s="950" t="str">
        <f xml:space="preserve"> Translate!E$809</f>
        <v>Difference between first two regimes</v>
      </c>
      <c r="S106" s="48"/>
      <c r="T106" s="48">
        <f t="shared" ref="T106:BG106" si="5" xml:space="preserve"> T100 - T101</f>
        <v>0</v>
      </c>
      <c r="U106" s="48">
        <f t="shared" si="5"/>
        <v>-3.5</v>
      </c>
      <c r="V106" s="48">
        <f t="shared" si="5"/>
        <v>-21</v>
      </c>
      <c r="W106" s="48">
        <f t="shared" si="5"/>
        <v>-84</v>
      </c>
      <c r="X106" s="48">
        <f t="shared" si="5"/>
        <v>-55.251246275353431</v>
      </c>
      <c r="Y106" s="48">
        <f t="shared" si="5"/>
        <v>56.259375000000006</v>
      </c>
      <c r="Z106" s="48">
        <f t="shared" si="5"/>
        <v>289.64600611010883</v>
      </c>
      <c r="AA106" s="48">
        <f t="shared" si="5"/>
        <v>339.0728476688987</v>
      </c>
      <c r="AB106" s="48">
        <f t="shared" si="5"/>
        <v>431.3854930436861</v>
      </c>
      <c r="AC106" s="48">
        <f t="shared" si="5"/>
        <v>-75.921416329895919</v>
      </c>
      <c r="AD106" s="48">
        <f t="shared" si="5"/>
        <v>-177.15551426839647</v>
      </c>
      <c r="AE106" s="48">
        <f t="shared" si="5"/>
        <v>-156.58342037023726</v>
      </c>
      <c r="AF106" s="48">
        <f t="shared" si="5"/>
        <v>-142.53888697843581</v>
      </c>
      <c r="AG106" s="48">
        <f t="shared" si="5"/>
        <v>-140.94240026404987</v>
      </c>
      <c r="AH106" s="48">
        <f t="shared" si="5"/>
        <v>-139.4131319639614</v>
      </c>
      <c r="AI106" s="48">
        <f t="shared" si="5"/>
        <v>-137.949059859199</v>
      </c>
      <c r="AJ106" s="48">
        <f t="shared" si="5"/>
        <v>-96.213906795914681</v>
      </c>
      <c r="AK106" s="48">
        <f t="shared" si="5"/>
        <v>-124.15921057923015</v>
      </c>
      <c r="AL106" s="48">
        <f t="shared" si="5"/>
        <v>-107.38029043224344</v>
      </c>
      <c r="AM106" s="48">
        <f t="shared" si="5"/>
        <v>-30.29061075762138</v>
      </c>
      <c r="AN106" s="48">
        <f t="shared" si="5"/>
        <v>-14.02281939558469</v>
      </c>
      <c r="AO106" s="48">
        <f t="shared" si="5"/>
        <v>-40.920888716472575</v>
      </c>
      <c r="AP106" s="48">
        <f t="shared" si="5"/>
        <v>-43.548311204947481</v>
      </c>
      <c r="AQ106" s="48">
        <f t="shared" si="5"/>
        <v>-33.36036938141325</v>
      </c>
      <c r="AR106" s="48">
        <f t="shared" si="5"/>
        <v>-20.493471969527491</v>
      </c>
      <c r="AS106" s="48">
        <f t="shared" si="5"/>
        <v>-9.4103720969833091</v>
      </c>
      <c r="AT106" s="48">
        <f t="shared" si="5"/>
        <v>-4.5533403993633073</v>
      </c>
      <c r="AU106" s="48">
        <f t="shared" si="5"/>
        <v>-0.803590001661874</v>
      </c>
      <c r="AV106" s="48">
        <f t="shared" si="5"/>
        <v>-0.23233859862070005</v>
      </c>
      <c r="AW106" s="48">
        <f t="shared" si="5"/>
        <v>2.8059373466686495</v>
      </c>
      <c r="AX106" s="48">
        <f t="shared" si="5"/>
        <v>4.3872933118957249</v>
      </c>
      <c r="AY106" s="48">
        <f t="shared" si="5"/>
        <v>0</v>
      </c>
      <c r="AZ106" s="48">
        <f t="shared" si="5"/>
        <v>0</v>
      </c>
      <c r="BA106" s="48">
        <f t="shared" si="5"/>
        <v>0</v>
      </c>
      <c r="BB106" s="48">
        <f t="shared" si="5"/>
        <v>0</v>
      </c>
      <c r="BC106" s="48">
        <f t="shared" si="5"/>
        <v>0</v>
      </c>
      <c r="BD106" s="48">
        <f t="shared" si="5"/>
        <v>0</v>
      </c>
      <c r="BE106" s="48">
        <f t="shared" si="5"/>
        <v>0</v>
      </c>
      <c r="BF106" s="48">
        <f t="shared" si="5"/>
        <v>0</v>
      </c>
      <c r="BG106" s="48">
        <f t="shared" si="5"/>
        <v>0</v>
      </c>
    </row>
    <row r="107" spans="1:59" x14ac:dyDescent="0.25">
      <c r="A107" s="1014"/>
      <c r="R107" s="950" t="str">
        <f xml:space="preserve"> Translate!E$810</f>
        <v>Difference cumulative</v>
      </c>
      <c r="S107" s="48"/>
      <c r="T107" s="48">
        <f t="shared" ref="T107:BG107" si="6" xml:space="preserve"> S107 + T106</f>
        <v>0</v>
      </c>
      <c r="U107" s="48">
        <f t="shared" si="6"/>
        <v>-3.5</v>
      </c>
      <c r="V107" s="48">
        <f t="shared" si="6"/>
        <v>-24.5</v>
      </c>
      <c r="W107" s="48">
        <f t="shared" si="6"/>
        <v>-108.5</v>
      </c>
      <c r="X107" s="48">
        <f t="shared" si="6"/>
        <v>-163.75124627535342</v>
      </c>
      <c r="Y107" s="48">
        <f t="shared" si="6"/>
        <v>-107.49187127535342</v>
      </c>
      <c r="Z107" s="48">
        <f t="shared" si="6"/>
        <v>182.15413483475541</v>
      </c>
      <c r="AA107" s="48">
        <f t="shared" si="6"/>
        <v>521.22698250365409</v>
      </c>
      <c r="AB107" s="48">
        <f t="shared" si="6"/>
        <v>952.61247554734018</v>
      </c>
      <c r="AC107" s="48">
        <f t="shared" si="6"/>
        <v>876.69105921744426</v>
      </c>
      <c r="AD107" s="48">
        <f t="shared" si="6"/>
        <v>699.53554494904779</v>
      </c>
      <c r="AE107" s="48">
        <f t="shared" si="6"/>
        <v>542.95212457881053</v>
      </c>
      <c r="AF107" s="48">
        <f t="shared" si="6"/>
        <v>400.41323760037471</v>
      </c>
      <c r="AG107" s="48">
        <f t="shared" si="6"/>
        <v>259.47083733632485</v>
      </c>
      <c r="AH107" s="48">
        <f t="shared" si="6"/>
        <v>120.05770537236344</v>
      </c>
      <c r="AI107" s="48">
        <f t="shared" si="6"/>
        <v>-17.891354486835553</v>
      </c>
      <c r="AJ107" s="48">
        <f t="shared" si="6"/>
        <v>-114.10526128275023</v>
      </c>
      <c r="AK107" s="48">
        <f t="shared" si="6"/>
        <v>-238.26447186198038</v>
      </c>
      <c r="AL107" s="48">
        <f t="shared" si="6"/>
        <v>-345.64476229422382</v>
      </c>
      <c r="AM107" s="48">
        <f t="shared" si="6"/>
        <v>-375.9353730518452</v>
      </c>
      <c r="AN107" s="48">
        <f t="shared" si="6"/>
        <v>-389.95819244742989</v>
      </c>
      <c r="AO107" s="48">
        <f t="shared" si="6"/>
        <v>-430.87908116390247</v>
      </c>
      <c r="AP107" s="48">
        <f t="shared" si="6"/>
        <v>-474.42739236884995</v>
      </c>
      <c r="AQ107" s="48">
        <f t="shared" si="6"/>
        <v>-507.7877617502632</v>
      </c>
      <c r="AR107" s="48">
        <f t="shared" si="6"/>
        <v>-528.28123371979063</v>
      </c>
      <c r="AS107" s="48">
        <f t="shared" si="6"/>
        <v>-537.69160581677397</v>
      </c>
      <c r="AT107" s="48">
        <f t="shared" si="6"/>
        <v>-542.24494621613724</v>
      </c>
      <c r="AU107" s="48">
        <f t="shared" si="6"/>
        <v>-543.0485362177991</v>
      </c>
      <c r="AV107" s="48">
        <f t="shared" si="6"/>
        <v>-543.28087481641978</v>
      </c>
      <c r="AW107" s="48">
        <f t="shared" si="6"/>
        <v>-540.47493746975113</v>
      </c>
      <c r="AX107" s="48">
        <f t="shared" si="6"/>
        <v>-536.08764415785538</v>
      </c>
      <c r="AY107" s="48">
        <f t="shared" si="6"/>
        <v>-536.08764415785538</v>
      </c>
      <c r="AZ107" s="48">
        <f t="shared" si="6"/>
        <v>-536.08764415785538</v>
      </c>
      <c r="BA107" s="48">
        <f t="shared" si="6"/>
        <v>-536.08764415785538</v>
      </c>
      <c r="BB107" s="48">
        <f t="shared" si="6"/>
        <v>-536.08764415785538</v>
      </c>
      <c r="BC107" s="48">
        <f t="shared" si="6"/>
        <v>-536.08764415785538</v>
      </c>
      <c r="BD107" s="48">
        <f t="shared" si="6"/>
        <v>-536.08764415785538</v>
      </c>
      <c r="BE107" s="48">
        <f t="shared" si="6"/>
        <v>-536.08764415785538</v>
      </c>
      <c r="BF107" s="48">
        <f t="shared" si="6"/>
        <v>-536.08764415785538</v>
      </c>
      <c r="BG107" s="48">
        <f t="shared" si="6"/>
        <v>-536.08764415785538</v>
      </c>
    </row>
    <row r="108" spans="1:59" x14ac:dyDescent="0.25">
      <c r="A108" s="1014"/>
      <c r="AW108" s="442"/>
    </row>
    <row r="109" spans="1:59" x14ac:dyDescent="0.25">
      <c r="A109" s="1014"/>
      <c r="AW109" s="442"/>
    </row>
    <row r="110" spans="1:59" x14ac:dyDescent="0.25">
      <c r="A110" s="1014"/>
      <c r="AW110" s="442"/>
    </row>
    <row r="111" spans="1:59" x14ac:dyDescent="0.25">
      <c r="A111" s="1014"/>
      <c r="AW111" s="442"/>
    </row>
    <row r="112" spans="1:59" x14ac:dyDescent="0.25">
      <c r="A112" s="1014"/>
      <c r="AW112" s="442"/>
    </row>
    <row r="113" spans="1:59" x14ac:dyDescent="0.25">
      <c r="A113" s="1014"/>
      <c r="AW113" s="442"/>
    </row>
    <row r="114" spans="1:59" x14ac:dyDescent="0.25">
      <c r="A114" s="1014"/>
      <c r="AW114" s="442"/>
    </row>
    <row r="115" spans="1:59" x14ac:dyDescent="0.25">
      <c r="A115" s="1014"/>
      <c r="AW115" s="442"/>
    </row>
    <row r="116" spans="1:59" x14ac:dyDescent="0.25">
      <c r="A116" s="1014"/>
      <c r="AW116" s="442"/>
    </row>
    <row r="117" spans="1:59" x14ac:dyDescent="0.25">
      <c r="A117" s="1014"/>
      <c r="AW117" s="442"/>
    </row>
    <row r="118" spans="1:59" x14ac:dyDescent="0.25">
      <c r="A118" s="101" t="str">
        <f xml:space="preserve"> Translate!E$617</f>
        <v>Government share of profit oil</v>
      </c>
      <c r="B118" s="41"/>
      <c r="C118" s="2"/>
      <c r="D118" s="42"/>
      <c r="E118" s="42"/>
      <c r="F118" s="939" t="str">
        <f xml:space="preserve"> Translate!E$621</f>
        <v xml:space="preserve">Return to </v>
      </c>
      <c r="G118" s="1015" t="str">
        <f ca="1">$A$1</f>
        <v>Dashboard</v>
      </c>
      <c r="H118" s="42"/>
      <c r="I118" s="42"/>
      <c r="J118" s="42"/>
      <c r="K118" s="42"/>
      <c r="L118" s="42"/>
      <c r="M118" s="42"/>
      <c r="N118" s="42"/>
      <c r="O118" s="42"/>
      <c r="P118" s="42"/>
      <c r="Q118" s="42"/>
      <c r="R118" s="42"/>
      <c r="S118" s="42"/>
      <c r="T118" s="42"/>
      <c r="U118" s="42"/>
      <c r="V118" s="42"/>
      <c r="W118" s="42"/>
      <c r="X118" s="42"/>
      <c r="Y118" s="42"/>
      <c r="Z118" s="42"/>
      <c r="AA118" s="42"/>
      <c r="AB118" s="42"/>
      <c r="AC118" s="42"/>
      <c r="AD118" s="42"/>
      <c r="AE118" s="42"/>
      <c r="AF118" s="42"/>
      <c r="AG118" s="42"/>
      <c r="AH118" s="42"/>
      <c r="AI118" s="42"/>
      <c r="AJ118" s="42"/>
      <c r="AK118" s="42"/>
      <c r="AL118" s="42"/>
      <c r="AM118" s="42"/>
      <c r="AN118" s="42"/>
      <c r="AO118" s="42"/>
      <c r="AP118" s="42"/>
      <c r="AQ118" s="42"/>
      <c r="AR118" s="42"/>
      <c r="AS118" s="42"/>
      <c r="AT118" s="42"/>
      <c r="AU118" s="42"/>
      <c r="AV118" s="42"/>
      <c r="AW118" s="42"/>
      <c r="AX118" s="42"/>
      <c r="AY118" s="42"/>
      <c r="AZ118" s="42"/>
      <c r="BA118" s="42"/>
      <c r="BB118" s="42"/>
      <c r="BC118" s="42"/>
      <c r="BD118" s="42"/>
      <c r="BE118" s="42"/>
      <c r="BF118" s="42"/>
      <c r="BG118" s="42"/>
    </row>
    <row r="119" spans="1:59" x14ac:dyDescent="0.35">
      <c r="A119" s="101"/>
      <c r="R119" s="718" t="str">
        <f xml:space="preserve"> Translate!E$645</f>
        <v>Live results</v>
      </c>
      <c r="AW119" s="3"/>
    </row>
    <row r="120" spans="1:59" x14ac:dyDescent="0.25">
      <c r="A120" s="1014"/>
      <c r="B120" s="940" t="str">
        <f xml:space="preserve"> Translate!E$639</f>
        <v>Chart details</v>
      </c>
      <c r="R120" s="40" t="str">
        <f xml:space="preserve"> ProjectCashflows!E$34</f>
        <v>Model calendar years</v>
      </c>
      <c r="S120" s="40" t="str">
        <f xml:space="preserve"> ProjectCashflows!G$34</f>
        <v>Year</v>
      </c>
      <c r="T120" s="310">
        <f xml:space="preserve"> ProjectCashflows!K$34</f>
        <v>2021</v>
      </c>
      <c r="U120" s="310">
        <f xml:space="preserve"> ProjectCashflows!L$34</f>
        <v>2022</v>
      </c>
      <c r="V120" s="310">
        <f xml:space="preserve"> ProjectCashflows!M$34</f>
        <v>2023</v>
      </c>
      <c r="W120" s="310">
        <f xml:space="preserve"> ProjectCashflows!N$34</f>
        <v>2024</v>
      </c>
      <c r="X120" s="310">
        <f xml:space="preserve"> ProjectCashflows!O$34</f>
        <v>2025</v>
      </c>
      <c r="Y120" s="310">
        <f xml:space="preserve"> ProjectCashflows!P$34</f>
        <v>2026</v>
      </c>
      <c r="Z120" s="310">
        <f xml:space="preserve"> ProjectCashflows!Q$34</f>
        <v>2027</v>
      </c>
      <c r="AA120" s="310">
        <f xml:space="preserve"> ProjectCashflows!R$34</f>
        <v>2028</v>
      </c>
      <c r="AB120" s="310">
        <f xml:space="preserve"> ProjectCashflows!S$34</f>
        <v>2029</v>
      </c>
      <c r="AC120" s="310">
        <f xml:space="preserve"> ProjectCashflows!T$34</f>
        <v>2030</v>
      </c>
      <c r="AD120" s="310">
        <f xml:space="preserve"> ProjectCashflows!U$34</f>
        <v>2031</v>
      </c>
      <c r="AE120" s="310">
        <f xml:space="preserve"> ProjectCashflows!V$34</f>
        <v>2032</v>
      </c>
      <c r="AF120" s="310">
        <f xml:space="preserve"> ProjectCashflows!W$34</f>
        <v>2033</v>
      </c>
      <c r="AG120" s="310">
        <f xml:space="preserve"> ProjectCashflows!X$34</f>
        <v>2034</v>
      </c>
      <c r="AH120" s="310">
        <f xml:space="preserve"> ProjectCashflows!Y$34</f>
        <v>2035</v>
      </c>
      <c r="AI120" s="310">
        <f xml:space="preserve"> ProjectCashflows!Z$34</f>
        <v>2036</v>
      </c>
      <c r="AJ120" s="310">
        <f xml:space="preserve"> ProjectCashflows!AA$34</f>
        <v>2037</v>
      </c>
      <c r="AK120" s="310">
        <f xml:space="preserve"> ProjectCashflows!AB$34</f>
        <v>2038</v>
      </c>
      <c r="AL120" s="310">
        <f xml:space="preserve"> ProjectCashflows!AC$34</f>
        <v>2039</v>
      </c>
      <c r="AM120" s="310">
        <f xml:space="preserve"> ProjectCashflows!AD$34</f>
        <v>2040</v>
      </c>
      <c r="AN120" s="310">
        <f xml:space="preserve"> ProjectCashflows!AE$34</f>
        <v>2041</v>
      </c>
      <c r="AO120" s="310">
        <f xml:space="preserve"> ProjectCashflows!AF$34</f>
        <v>2042</v>
      </c>
      <c r="AP120" s="310">
        <f xml:space="preserve"> ProjectCashflows!AG$34</f>
        <v>2043</v>
      </c>
      <c r="AQ120" s="310">
        <f xml:space="preserve"> ProjectCashflows!AH$34</f>
        <v>2044</v>
      </c>
      <c r="AR120" s="310">
        <f xml:space="preserve"> ProjectCashflows!AI$34</f>
        <v>2045</v>
      </c>
      <c r="AS120" s="310">
        <f xml:space="preserve"> ProjectCashflows!AJ$34</f>
        <v>2046</v>
      </c>
      <c r="AT120" s="310">
        <f xml:space="preserve"> ProjectCashflows!AK$34</f>
        <v>2047</v>
      </c>
      <c r="AU120" s="310">
        <f xml:space="preserve"> ProjectCashflows!AL$34</f>
        <v>2048</v>
      </c>
      <c r="AV120" s="310">
        <f xml:space="preserve"> ProjectCashflows!AM$34</f>
        <v>2049</v>
      </c>
      <c r="AW120" s="310">
        <f xml:space="preserve"> ProjectCashflows!AN$34</f>
        <v>2050</v>
      </c>
      <c r="AX120" s="310">
        <f xml:space="preserve"> ProjectCashflows!AO$34</f>
        <v>2051</v>
      </c>
      <c r="AY120" s="310">
        <f xml:space="preserve"> ProjectCashflows!AP$34</f>
        <v>2052</v>
      </c>
      <c r="AZ120" s="310">
        <f xml:space="preserve"> ProjectCashflows!AQ$34</f>
        <v>2053</v>
      </c>
      <c r="BA120" s="310">
        <f xml:space="preserve"> ProjectCashflows!AR$34</f>
        <v>2054</v>
      </c>
      <c r="BB120" s="310">
        <f xml:space="preserve"> ProjectCashflows!AS$34</f>
        <v>2055</v>
      </c>
      <c r="BC120" s="310">
        <f xml:space="preserve"> ProjectCashflows!AT$34</f>
        <v>2056</v>
      </c>
      <c r="BD120" s="310">
        <f xml:space="preserve"> ProjectCashflows!AU$34</f>
        <v>2057</v>
      </c>
      <c r="BE120" s="310">
        <f xml:space="preserve"> ProjectCashflows!AV$34</f>
        <v>2058</v>
      </c>
      <c r="BF120" s="310">
        <f xml:space="preserve"> ProjectCashflows!AW$34</f>
        <v>2059</v>
      </c>
      <c r="BG120" s="310">
        <f xml:space="preserve"> ProjectCashflows!AX$34</f>
        <v>2060</v>
      </c>
    </row>
    <row r="121" spans="1:59" x14ac:dyDescent="0.25">
      <c r="A121" s="1014"/>
      <c r="B121" s="62" t="str">
        <f xml:space="preserve"> A$118</f>
        <v>Government share of profit oil</v>
      </c>
      <c r="C121" s="3" t="str">
        <f xml:space="preserve"> Translate!E$640</f>
        <v>Chart title</v>
      </c>
      <c r="R121" s="529" t="str">
        <f xml:space="preserve"> FiscalModel!E$651</f>
        <v>Government share of profit oil: 0</v>
      </c>
      <c r="S121" s="529" t="str">
        <f xml:space="preserve"> FiscalModel!G$651</f>
        <v>%</v>
      </c>
      <c r="T121" s="529">
        <f xml:space="preserve"> FiscalModel!K$651</f>
        <v>0</v>
      </c>
      <c r="U121" s="529">
        <f xml:space="preserve"> FiscalModel!L$651</f>
        <v>0</v>
      </c>
      <c r="V121" s="529">
        <f xml:space="preserve"> FiscalModel!M$651</f>
        <v>0</v>
      </c>
      <c r="W121" s="529">
        <f xml:space="preserve"> FiscalModel!N$651</f>
        <v>0</v>
      </c>
      <c r="X121" s="529">
        <f xml:space="preserve"> FiscalModel!O$651</f>
        <v>0</v>
      </c>
      <c r="Y121" s="529">
        <f xml:space="preserve"> FiscalModel!P$651</f>
        <v>0</v>
      </c>
      <c r="Z121" s="529">
        <f xml:space="preserve"> FiscalModel!Q$651</f>
        <v>0</v>
      </c>
      <c r="AA121" s="529">
        <f xml:space="preserve"> FiscalModel!R$651</f>
        <v>0</v>
      </c>
      <c r="AB121" s="529">
        <f xml:space="preserve"> FiscalModel!S$651</f>
        <v>0</v>
      </c>
      <c r="AC121" s="529">
        <f xml:space="preserve"> FiscalModel!T$651</f>
        <v>0</v>
      </c>
      <c r="AD121" s="529">
        <f xml:space="preserve"> FiscalModel!U$651</f>
        <v>0</v>
      </c>
      <c r="AE121" s="529">
        <f xml:space="preserve"> FiscalModel!V$651</f>
        <v>0</v>
      </c>
      <c r="AF121" s="529">
        <f xml:space="preserve"> FiscalModel!W$651</f>
        <v>0</v>
      </c>
      <c r="AG121" s="529">
        <f xml:space="preserve"> FiscalModel!X$651</f>
        <v>0</v>
      </c>
      <c r="AH121" s="529">
        <f xml:space="preserve"> FiscalModel!Y$651</f>
        <v>0</v>
      </c>
      <c r="AI121" s="529">
        <f xml:space="preserve"> FiscalModel!Z$651</f>
        <v>0</v>
      </c>
      <c r="AJ121" s="529">
        <f xml:space="preserve"> FiscalModel!AA$651</f>
        <v>0</v>
      </c>
      <c r="AK121" s="529">
        <f xml:space="preserve"> FiscalModel!AB$651</f>
        <v>0</v>
      </c>
      <c r="AL121" s="529">
        <f xml:space="preserve"> FiscalModel!AC$651</f>
        <v>0</v>
      </c>
      <c r="AM121" s="529">
        <f xml:space="preserve"> FiscalModel!AD$651</f>
        <v>0</v>
      </c>
      <c r="AN121" s="529">
        <f xml:space="preserve"> FiscalModel!AE$651</f>
        <v>0</v>
      </c>
      <c r="AO121" s="529">
        <f xml:space="preserve"> FiscalModel!AF$651</f>
        <v>0</v>
      </c>
      <c r="AP121" s="529">
        <f xml:space="preserve"> FiscalModel!AG$651</f>
        <v>0</v>
      </c>
      <c r="AQ121" s="529">
        <f xml:space="preserve"> FiscalModel!AH$651</f>
        <v>0</v>
      </c>
      <c r="AR121" s="529">
        <f xml:space="preserve"> FiscalModel!AI$651</f>
        <v>0</v>
      </c>
      <c r="AS121" s="529">
        <f xml:space="preserve"> FiscalModel!AJ$651</f>
        <v>0</v>
      </c>
      <c r="AT121" s="529">
        <f xml:space="preserve"> FiscalModel!AK$651</f>
        <v>0</v>
      </c>
      <c r="AU121" s="529">
        <f xml:space="preserve"> FiscalModel!AL$651</f>
        <v>0</v>
      </c>
      <c r="AV121" s="529">
        <f xml:space="preserve"> FiscalModel!AM$651</f>
        <v>0</v>
      </c>
      <c r="AW121" s="529">
        <f xml:space="preserve"> FiscalModel!AN$651</f>
        <v>0</v>
      </c>
      <c r="AX121" s="529">
        <f xml:space="preserve"> FiscalModel!AO$651</f>
        <v>0</v>
      </c>
      <c r="AY121" s="529">
        <f xml:space="preserve"> FiscalModel!AP$651</f>
        <v>0</v>
      </c>
      <c r="AZ121" s="529">
        <f xml:space="preserve"> FiscalModel!AQ$651</f>
        <v>0</v>
      </c>
      <c r="BA121" s="529">
        <f xml:space="preserve"> FiscalModel!AR$651</f>
        <v>0</v>
      </c>
      <c r="BB121" s="529">
        <f xml:space="preserve"> FiscalModel!AS$651</f>
        <v>0</v>
      </c>
      <c r="BC121" s="529">
        <f xml:space="preserve"> FiscalModel!AT$651</f>
        <v>0</v>
      </c>
      <c r="BD121" s="529">
        <f xml:space="preserve"> FiscalModel!AU$651</f>
        <v>0</v>
      </c>
      <c r="BE121" s="529">
        <f xml:space="preserve"> FiscalModel!AV$651</f>
        <v>0</v>
      </c>
      <c r="BF121" s="529">
        <f xml:space="preserve"> FiscalModel!AW$651</f>
        <v>0</v>
      </c>
      <c r="BG121" s="529">
        <f xml:space="preserve"> FiscalModel!AX$651</f>
        <v>0</v>
      </c>
    </row>
    <row r="122" spans="1:59" x14ac:dyDescent="0.25">
      <c r="A122" s="1014"/>
      <c r="B122" s="63"/>
      <c r="C122" s="3" t="str">
        <f xml:space="preserve"> Translate!E$641</f>
        <v>Vertical axis 1</v>
      </c>
      <c r="AW122" s="3"/>
    </row>
    <row r="123" spans="1:59" ht="12.65" customHeight="1" x14ac:dyDescent="0.25">
      <c r="A123" s="1014"/>
      <c r="B123" s="63" t="str">
        <f xml:space="preserve"> R132 &amp; " " &amp; S132</f>
        <v>Oil production RATE after ELT KBOPD</v>
      </c>
      <c r="C123" s="3" t="str">
        <f xml:space="preserve"> Translate!E$642</f>
        <v>Vertical axis 2</v>
      </c>
      <c r="R123" s="50" t="str">
        <f xml:space="preserve"> Translate!E$815</f>
        <v>Select regimes to compare</v>
      </c>
      <c r="AW123" s="3"/>
    </row>
    <row r="124" spans="1:59" x14ac:dyDescent="0.25">
      <c r="A124" s="1014"/>
      <c r="B124" s="63" t="s">
        <v>28</v>
      </c>
      <c r="C124" s="3" t="str">
        <f xml:space="preserve"> Translate!E$643</f>
        <v>Horizontal axis</v>
      </c>
      <c r="R124" s="326" t="str">
        <f xml:space="preserve"> $C$6</f>
        <v>Royalty + CIT</v>
      </c>
      <c r="S124" s="325" t="str">
        <f t="shared" ref="S124:BG124" si="7" xml:space="preserve"> IFERROR( IF( $R124 = 0, NA(), S121), 0)</f>
        <v>%</v>
      </c>
      <c r="T124" s="325">
        <f t="shared" si="7"/>
        <v>0</v>
      </c>
      <c r="U124" s="325">
        <f t="shared" si="7"/>
        <v>0</v>
      </c>
      <c r="V124" s="325">
        <f t="shared" si="7"/>
        <v>0</v>
      </c>
      <c r="W124" s="325">
        <f t="shared" si="7"/>
        <v>0</v>
      </c>
      <c r="X124" s="325">
        <f t="shared" si="7"/>
        <v>0</v>
      </c>
      <c r="Y124" s="325">
        <f t="shared" si="7"/>
        <v>0</v>
      </c>
      <c r="Z124" s="325">
        <f t="shared" si="7"/>
        <v>0</v>
      </c>
      <c r="AA124" s="325">
        <f t="shared" si="7"/>
        <v>0</v>
      </c>
      <c r="AB124" s="325">
        <f t="shared" si="7"/>
        <v>0</v>
      </c>
      <c r="AC124" s="325">
        <f t="shared" si="7"/>
        <v>0</v>
      </c>
      <c r="AD124" s="325">
        <f t="shared" si="7"/>
        <v>0</v>
      </c>
      <c r="AE124" s="325">
        <f t="shared" si="7"/>
        <v>0</v>
      </c>
      <c r="AF124" s="325">
        <f t="shared" si="7"/>
        <v>0</v>
      </c>
      <c r="AG124" s="325">
        <f t="shared" si="7"/>
        <v>0</v>
      </c>
      <c r="AH124" s="325">
        <f t="shared" si="7"/>
        <v>0</v>
      </c>
      <c r="AI124" s="325">
        <f t="shared" si="7"/>
        <v>0</v>
      </c>
      <c r="AJ124" s="325">
        <f t="shared" si="7"/>
        <v>0</v>
      </c>
      <c r="AK124" s="325">
        <f t="shared" si="7"/>
        <v>0</v>
      </c>
      <c r="AL124" s="325">
        <f t="shared" si="7"/>
        <v>0</v>
      </c>
      <c r="AM124" s="325">
        <f t="shared" si="7"/>
        <v>0</v>
      </c>
      <c r="AN124" s="325">
        <f t="shared" si="7"/>
        <v>0</v>
      </c>
      <c r="AO124" s="325">
        <f t="shared" si="7"/>
        <v>0</v>
      </c>
      <c r="AP124" s="325">
        <f t="shared" si="7"/>
        <v>0</v>
      </c>
      <c r="AQ124" s="325">
        <f t="shared" si="7"/>
        <v>0</v>
      </c>
      <c r="AR124" s="325">
        <f t="shared" si="7"/>
        <v>0</v>
      </c>
      <c r="AS124" s="325">
        <f t="shared" si="7"/>
        <v>0</v>
      </c>
      <c r="AT124" s="325">
        <f t="shared" si="7"/>
        <v>0</v>
      </c>
      <c r="AU124" s="325">
        <f t="shared" si="7"/>
        <v>0</v>
      </c>
      <c r="AV124" s="325">
        <f t="shared" si="7"/>
        <v>0</v>
      </c>
      <c r="AW124" s="325">
        <f t="shared" si="7"/>
        <v>0</v>
      </c>
      <c r="AX124" s="325">
        <f t="shared" si="7"/>
        <v>0</v>
      </c>
      <c r="AY124" s="325">
        <f t="shared" si="7"/>
        <v>0</v>
      </c>
      <c r="AZ124" s="325">
        <f t="shared" si="7"/>
        <v>0</v>
      </c>
      <c r="BA124" s="325">
        <f t="shared" si="7"/>
        <v>0</v>
      </c>
      <c r="BB124" s="325">
        <f t="shared" si="7"/>
        <v>0</v>
      </c>
      <c r="BC124" s="325">
        <f t="shared" si="7"/>
        <v>0</v>
      </c>
      <c r="BD124" s="325">
        <f t="shared" si="7"/>
        <v>0</v>
      </c>
      <c r="BE124" s="325">
        <f t="shared" si="7"/>
        <v>0</v>
      </c>
      <c r="BF124" s="325">
        <f t="shared" si="7"/>
        <v>0</v>
      </c>
      <c r="BG124" s="325">
        <f t="shared" si="7"/>
        <v>0</v>
      </c>
    </row>
    <row r="125" spans="1:59" x14ac:dyDescent="0.25">
      <c r="A125" s="1014"/>
      <c r="B125" s="448" t="str">
        <f xml:space="preserve"> Translate!E$112 &amp; ": " &amp; C$7</f>
        <v>Project: 800MMbbl_A</v>
      </c>
      <c r="C125" s="3" t="str">
        <f xml:space="preserve"> Translate!E$644</f>
        <v>Text box</v>
      </c>
      <c r="R125" s="598" t="str">
        <f t="array" ref="R125:R129" xml:space="preserve"> TRANSPOSE( U63:Y63)</f>
        <v>Royalty + CIT</v>
      </c>
      <c r="S125" s="472" t="str">
        <f t="dataTable" ref="S125:BG129" dt2D="0" dtr="0" r1="C6" ca="1"/>
        <v>%</v>
      </c>
      <c r="T125" s="472">
        <v>0</v>
      </c>
      <c r="U125" s="472">
        <v>0</v>
      </c>
      <c r="V125" s="472">
        <v>0</v>
      </c>
      <c r="W125" s="472">
        <v>0</v>
      </c>
      <c r="X125" s="472">
        <v>0</v>
      </c>
      <c r="Y125" s="472">
        <v>0</v>
      </c>
      <c r="Z125" s="472">
        <v>0</v>
      </c>
      <c r="AA125" s="472">
        <v>0</v>
      </c>
      <c r="AB125" s="472">
        <v>0</v>
      </c>
      <c r="AC125" s="472">
        <v>0</v>
      </c>
      <c r="AD125" s="472">
        <v>0</v>
      </c>
      <c r="AE125" s="472">
        <v>0</v>
      </c>
      <c r="AF125" s="472">
        <v>0</v>
      </c>
      <c r="AG125" s="472">
        <v>0</v>
      </c>
      <c r="AH125" s="472">
        <v>0</v>
      </c>
      <c r="AI125" s="472">
        <v>0</v>
      </c>
      <c r="AJ125" s="472">
        <v>0</v>
      </c>
      <c r="AK125" s="472">
        <v>0</v>
      </c>
      <c r="AL125" s="472">
        <v>0</v>
      </c>
      <c r="AM125" s="472">
        <v>0</v>
      </c>
      <c r="AN125" s="472">
        <v>0</v>
      </c>
      <c r="AO125" s="472">
        <v>0</v>
      </c>
      <c r="AP125" s="472">
        <v>0</v>
      </c>
      <c r="AQ125" s="472">
        <v>0</v>
      </c>
      <c r="AR125" s="472">
        <v>0</v>
      </c>
      <c r="AS125" s="472">
        <v>0</v>
      </c>
      <c r="AT125" s="472">
        <v>0</v>
      </c>
      <c r="AU125" s="472">
        <v>0</v>
      </c>
      <c r="AV125" s="472">
        <v>0</v>
      </c>
      <c r="AW125" s="472">
        <v>0</v>
      </c>
      <c r="AX125" s="472">
        <v>0</v>
      </c>
      <c r="AY125" s="472">
        <v>0</v>
      </c>
      <c r="AZ125" s="472">
        <v>0</v>
      </c>
      <c r="BA125" s="472">
        <v>0</v>
      </c>
      <c r="BB125" s="472">
        <v>0</v>
      </c>
      <c r="BC125" s="472">
        <v>0</v>
      </c>
      <c r="BD125" s="472">
        <v>0</v>
      </c>
      <c r="BE125" s="472">
        <v>0</v>
      </c>
      <c r="BF125" s="472">
        <v>0</v>
      </c>
      <c r="BG125" s="472">
        <v>0</v>
      </c>
    </row>
    <row r="126" spans="1:59" x14ac:dyDescent="0.25">
      <c r="A126" s="1014"/>
      <c r="R126" s="598" t="str">
        <v>RRT</v>
      </c>
      <c r="S126" s="472" t="str">
        <v>%</v>
      </c>
      <c r="T126" s="472">
        <v>0</v>
      </c>
      <c r="U126" s="472">
        <v>0</v>
      </c>
      <c r="V126" s="472">
        <v>0</v>
      </c>
      <c r="W126" s="472">
        <v>0</v>
      </c>
      <c r="X126" s="472">
        <v>0</v>
      </c>
      <c r="Y126" s="472">
        <v>0</v>
      </c>
      <c r="Z126" s="472">
        <v>0</v>
      </c>
      <c r="AA126" s="472">
        <v>0</v>
      </c>
      <c r="AB126" s="472">
        <v>0</v>
      </c>
      <c r="AC126" s="472">
        <v>0</v>
      </c>
      <c r="AD126" s="472">
        <v>0</v>
      </c>
      <c r="AE126" s="472">
        <v>0</v>
      </c>
      <c r="AF126" s="472">
        <v>0</v>
      </c>
      <c r="AG126" s="472">
        <v>0</v>
      </c>
      <c r="AH126" s="472">
        <v>0</v>
      </c>
      <c r="AI126" s="472">
        <v>0</v>
      </c>
      <c r="AJ126" s="472">
        <v>0</v>
      </c>
      <c r="AK126" s="472">
        <v>0</v>
      </c>
      <c r="AL126" s="472">
        <v>0</v>
      </c>
      <c r="AM126" s="472">
        <v>0</v>
      </c>
      <c r="AN126" s="472">
        <v>0</v>
      </c>
      <c r="AO126" s="472">
        <v>0</v>
      </c>
      <c r="AP126" s="472">
        <v>0</v>
      </c>
      <c r="AQ126" s="472">
        <v>0</v>
      </c>
      <c r="AR126" s="472">
        <v>0</v>
      </c>
      <c r="AS126" s="472">
        <v>0</v>
      </c>
      <c r="AT126" s="472">
        <v>0</v>
      </c>
      <c r="AU126" s="472">
        <v>0</v>
      </c>
      <c r="AV126" s="472">
        <v>0</v>
      </c>
      <c r="AW126" s="472">
        <v>0</v>
      </c>
      <c r="AX126" s="472">
        <v>0</v>
      </c>
      <c r="AY126" s="472">
        <v>0</v>
      </c>
      <c r="AZ126" s="472">
        <v>0</v>
      </c>
      <c r="BA126" s="472">
        <v>0</v>
      </c>
      <c r="BB126" s="472">
        <v>0</v>
      </c>
      <c r="BC126" s="472">
        <v>0</v>
      </c>
      <c r="BD126" s="472">
        <v>0</v>
      </c>
      <c r="BE126" s="472">
        <v>0</v>
      </c>
      <c r="BF126" s="472">
        <v>0</v>
      </c>
      <c r="BG126" s="472">
        <v>0</v>
      </c>
    </row>
    <row r="127" spans="1:59" x14ac:dyDescent="0.25">
      <c r="A127" s="1014"/>
      <c r="R127" s="598" t="str">
        <v>Royalty + CIT, no debt</v>
      </c>
      <c r="S127" s="472" t="str">
        <v>%</v>
      </c>
      <c r="T127" s="472">
        <v>0</v>
      </c>
      <c r="U127" s="472">
        <v>0</v>
      </c>
      <c r="V127" s="472">
        <v>0</v>
      </c>
      <c r="W127" s="472">
        <v>0</v>
      </c>
      <c r="X127" s="472">
        <v>0</v>
      </c>
      <c r="Y127" s="472">
        <v>0</v>
      </c>
      <c r="Z127" s="472">
        <v>0</v>
      </c>
      <c r="AA127" s="472">
        <v>0</v>
      </c>
      <c r="AB127" s="472">
        <v>0</v>
      </c>
      <c r="AC127" s="472">
        <v>0</v>
      </c>
      <c r="AD127" s="472">
        <v>0</v>
      </c>
      <c r="AE127" s="472">
        <v>0</v>
      </c>
      <c r="AF127" s="472">
        <v>0</v>
      </c>
      <c r="AG127" s="472">
        <v>0</v>
      </c>
      <c r="AH127" s="472">
        <v>0</v>
      </c>
      <c r="AI127" s="472">
        <v>0</v>
      </c>
      <c r="AJ127" s="472">
        <v>0</v>
      </c>
      <c r="AK127" s="472">
        <v>0</v>
      </c>
      <c r="AL127" s="472">
        <v>0</v>
      </c>
      <c r="AM127" s="472">
        <v>0</v>
      </c>
      <c r="AN127" s="472">
        <v>0</v>
      </c>
      <c r="AO127" s="472">
        <v>0</v>
      </c>
      <c r="AP127" s="472">
        <v>0</v>
      </c>
      <c r="AQ127" s="472">
        <v>0</v>
      </c>
      <c r="AR127" s="472">
        <v>0</v>
      </c>
      <c r="AS127" s="472">
        <v>0</v>
      </c>
      <c r="AT127" s="472">
        <v>0</v>
      </c>
      <c r="AU127" s="472">
        <v>0</v>
      </c>
      <c r="AV127" s="472">
        <v>0</v>
      </c>
      <c r="AW127" s="472">
        <v>0</v>
      </c>
      <c r="AX127" s="472">
        <v>0</v>
      </c>
      <c r="AY127" s="472">
        <v>0</v>
      </c>
      <c r="AZ127" s="472">
        <v>0</v>
      </c>
      <c r="BA127" s="472">
        <v>0</v>
      </c>
      <c r="BB127" s="472">
        <v>0</v>
      </c>
      <c r="BC127" s="472">
        <v>0</v>
      </c>
      <c r="BD127" s="472">
        <v>0</v>
      </c>
      <c r="BE127" s="472">
        <v>0</v>
      </c>
      <c r="BF127" s="472">
        <v>0</v>
      </c>
      <c r="BG127" s="472">
        <v>0</v>
      </c>
    </row>
    <row r="128" spans="1:59" x14ac:dyDescent="0.25">
      <c r="A128" s="1014"/>
      <c r="R128" s="598" t="str">
        <v>DROP PSC</v>
      </c>
      <c r="S128" s="472" t="str">
        <v>%</v>
      </c>
      <c r="T128" s="472">
        <v>0.2</v>
      </c>
      <c r="U128" s="472">
        <v>0.2</v>
      </c>
      <c r="V128" s="472">
        <v>0.2</v>
      </c>
      <c r="W128" s="472">
        <v>0.2</v>
      </c>
      <c r="X128" s="472">
        <v>0.2</v>
      </c>
      <c r="Y128" s="472">
        <v>0.28000000000000003</v>
      </c>
      <c r="Z128" s="472">
        <v>0.36</v>
      </c>
      <c r="AA128" s="472">
        <v>0.36</v>
      </c>
      <c r="AB128" s="472">
        <v>0.36</v>
      </c>
      <c r="AC128" s="472">
        <v>0.36</v>
      </c>
      <c r="AD128" s="472">
        <v>0.36</v>
      </c>
      <c r="AE128" s="472">
        <v>0.36</v>
      </c>
      <c r="AF128" s="472">
        <v>0.36</v>
      </c>
      <c r="AG128" s="472">
        <v>0.36</v>
      </c>
      <c r="AH128" s="472">
        <v>0.36</v>
      </c>
      <c r="AI128" s="472">
        <v>0.36</v>
      </c>
      <c r="AJ128" s="472">
        <v>0.32716049382716056</v>
      </c>
      <c r="AK128" s="472">
        <v>0.30855052583447651</v>
      </c>
      <c r="AL128" s="472">
        <v>0.28709941461046484</v>
      </c>
      <c r="AM128" s="472">
        <v>0.26902590249944169</v>
      </c>
      <c r="AN128" s="472">
        <v>0.26176037345610081</v>
      </c>
      <c r="AO128" s="472">
        <v>0.25279058451370473</v>
      </c>
      <c r="AP128" s="472">
        <v>0.24171677100457373</v>
      </c>
      <c r="AQ128" s="472">
        <v>0.2280453963019429</v>
      </c>
      <c r="AR128" s="472">
        <v>0.21116715592832452</v>
      </c>
      <c r="AS128" s="472">
        <v>0.2</v>
      </c>
      <c r="AT128" s="472">
        <v>0.2</v>
      </c>
      <c r="AU128" s="472">
        <v>0.2</v>
      </c>
      <c r="AV128" s="472">
        <v>0.2</v>
      </c>
      <c r="AW128" s="472">
        <v>0.2</v>
      </c>
      <c r="AX128" s="472">
        <v>0.2</v>
      </c>
      <c r="AY128" s="472">
        <v>0.2</v>
      </c>
      <c r="AZ128" s="472">
        <v>0.2</v>
      </c>
      <c r="BA128" s="472">
        <v>0</v>
      </c>
      <c r="BB128" s="472">
        <v>0</v>
      </c>
      <c r="BC128" s="472">
        <v>0</v>
      </c>
      <c r="BD128" s="472">
        <v>0</v>
      </c>
      <c r="BE128" s="472">
        <v>0</v>
      </c>
      <c r="BF128" s="472">
        <v>0</v>
      </c>
      <c r="BG128" s="472">
        <v>0</v>
      </c>
    </row>
    <row r="129" spans="1:59" x14ac:dyDescent="0.25">
      <c r="A129" s="1014"/>
      <c r="R129" s="598" t="str">
        <v>R-factor PSC</v>
      </c>
      <c r="S129" s="472" t="str">
        <v>%</v>
      </c>
      <c r="T129" s="472">
        <v>0.2</v>
      </c>
      <c r="U129" s="472">
        <v>0.2</v>
      </c>
      <c r="V129" s="472">
        <v>0.2</v>
      </c>
      <c r="W129" s="472">
        <v>0.2</v>
      </c>
      <c r="X129" s="472">
        <v>0.2</v>
      </c>
      <c r="Y129" s="472">
        <v>0.2</v>
      </c>
      <c r="Z129" s="472">
        <v>0.2</v>
      </c>
      <c r="AA129" s="472">
        <v>0.2</v>
      </c>
      <c r="AB129" s="472">
        <v>0.2</v>
      </c>
      <c r="AC129" s="472">
        <v>0.30000000000000004</v>
      </c>
      <c r="AD129" s="472">
        <v>0.30000000000000004</v>
      </c>
      <c r="AE129" s="472">
        <v>0.30000000000000004</v>
      </c>
      <c r="AF129" s="472">
        <v>0.4</v>
      </c>
      <c r="AG129" s="472">
        <v>0.4</v>
      </c>
      <c r="AH129" s="472">
        <v>0.4</v>
      </c>
      <c r="AI129" s="472">
        <v>0.4</v>
      </c>
      <c r="AJ129" s="472">
        <v>0.5</v>
      </c>
      <c r="AK129" s="472">
        <v>0.5</v>
      </c>
      <c r="AL129" s="472">
        <v>0.5</v>
      </c>
      <c r="AM129" s="472">
        <v>0.5</v>
      </c>
      <c r="AN129" s="472">
        <v>0.5</v>
      </c>
      <c r="AO129" s="472">
        <v>0.5</v>
      </c>
      <c r="AP129" s="472">
        <v>0.5</v>
      </c>
      <c r="AQ129" s="472">
        <v>0.5</v>
      </c>
      <c r="AR129" s="472">
        <v>0.5</v>
      </c>
      <c r="AS129" s="472">
        <v>0.5</v>
      </c>
      <c r="AT129" s="472">
        <v>0.6</v>
      </c>
      <c r="AU129" s="472">
        <v>0.6</v>
      </c>
      <c r="AV129" s="472">
        <v>0.6</v>
      </c>
      <c r="AW129" s="472">
        <v>0.6</v>
      </c>
      <c r="AX129" s="472">
        <v>0.6</v>
      </c>
      <c r="AY129" s="472">
        <v>0.6</v>
      </c>
      <c r="AZ129" s="472">
        <v>0.6</v>
      </c>
      <c r="BA129" s="472">
        <v>0</v>
      </c>
      <c r="BB129" s="472">
        <v>0</v>
      </c>
      <c r="BC129" s="472">
        <v>0</v>
      </c>
      <c r="BD129" s="472">
        <v>0</v>
      </c>
      <c r="BE129" s="472">
        <v>0</v>
      </c>
      <c r="BF129" s="472">
        <v>0</v>
      </c>
      <c r="BG129" s="472">
        <v>0</v>
      </c>
    </row>
    <row r="130" spans="1:59" x14ac:dyDescent="0.25">
      <c r="A130" s="1014"/>
      <c r="AW130" s="3"/>
    </row>
    <row r="131" spans="1:59" x14ac:dyDescent="0.25">
      <c r="A131" s="1014"/>
      <c r="R131" s="50" t="str">
        <f xml:space="preserve"> Translate!E$814</f>
        <v>For information</v>
      </c>
      <c r="AW131" s="3"/>
    </row>
    <row r="132" spans="1:59" x14ac:dyDescent="0.25">
      <c r="A132" s="1014"/>
      <c r="R132" s="40" t="str">
        <f xml:space="preserve"> ProjectCashflows!E$131</f>
        <v>Oil production RATE after ELT</v>
      </c>
      <c r="S132" s="40" t="str">
        <f xml:space="preserve"> ProjectCashflows!G$131</f>
        <v>KBOPD</v>
      </c>
      <c r="T132" s="40">
        <f ca="1" xml:space="preserve"> ProjectCashflows!K$131</f>
        <v>0</v>
      </c>
      <c r="U132" s="40">
        <f ca="1" xml:space="preserve"> ProjectCashflows!L$131</f>
        <v>0</v>
      </c>
      <c r="V132" s="40">
        <f ca="1" xml:space="preserve"> ProjectCashflows!M$131</f>
        <v>0</v>
      </c>
      <c r="W132" s="40">
        <f ca="1" xml:space="preserve"> ProjectCashflows!N$131</f>
        <v>0</v>
      </c>
      <c r="X132" s="40">
        <f ca="1" xml:space="preserve"> ProjectCashflows!O$131</f>
        <v>9.5471162223815913</v>
      </c>
      <c r="Y132" s="40">
        <f ca="1" xml:space="preserve"> ProjectCashflows!P$131</f>
        <v>75</v>
      </c>
      <c r="Z132" s="40">
        <f ca="1" xml:space="preserve"> ProjectCashflows!Q$131</f>
        <v>150</v>
      </c>
      <c r="AA132" s="40">
        <f ca="1" xml:space="preserve"> ProjectCashflows!R$131</f>
        <v>150</v>
      </c>
      <c r="AB132" s="40">
        <f ca="1" xml:space="preserve"> ProjectCashflows!S$131</f>
        <v>150</v>
      </c>
      <c r="AC132" s="40">
        <f ca="1" xml:space="preserve"> ProjectCashflows!T$131</f>
        <v>150</v>
      </c>
      <c r="AD132" s="40">
        <f ca="1" xml:space="preserve"> ProjectCashflows!U$131</f>
        <v>150</v>
      </c>
      <c r="AE132" s="40">
        <f ca="1" xml:space="preserve"> ProjectCashflows!V$131</f>
        <v>150</v>
      </c>
      <c r="AF132" s="40">
        <f ca="1" xml:space="preserve"> ProjectCashflows!W$131</f>
        <v>150</v>
      </c>
      <c r="AG132" s="40">
        <f ca="1" xml:space="preserve"> ProjectCashflows!X$131</f>
        <v>150</v>
      </c>
      <c r="AH132" s="40">
        <f ca="1" xml:space="preserve"> ProjectCashflows!Y$131</f>
        <v>150</v>
      </c>
      <c r="AI132" s="40">
        <f ca="1" xml:space="preserve"> ProjectCashflows!Z$131</f>
        <v>150</v>
      </c>
      <c r="AJ132" s="40">
        <f ca="1" xml:space="preserve"> ProjectCashflows!AA$131</f>
        <v>121.50000000000001</v>
      </c>
      <c r="AK132" s="40">
        <f ca="1" xml:space="preserve"> ProjectCashflows!AB$131</f>
        <v>98.41500000000002</v>
      </c>
      <c r="AL132" s="40">
        <f ca="1" xml:space="preserve"> ProjectCashflows!AC$131</f>
        <v>79.716150000000027</v>
      </c>
      <c r="AM132" s="40">
        <f ca="1" xml:space="preserve"> ProjectCashflows!AD$131</f>
        <v>64.570081500000029</v>
      </c>
      <c r="AN132" s="40">
        <f ca="1" xml:space="preserve"> ProjectCashflows!AE$131</f>
        <v>52.301766015000027</v>
      </c>
      <c r="AO132" s="40">
        <f ca="1" xml:space="preserve"> ProjectCashflows!AF$131</f>
        <v>42.364430472150026</v>
      </c>
      <c r="AP132" s="40">
        <f ca="1" xml:space="preserve"> ProjectCashflows!AG$131</f>
        <v>34.315188682441523</v>
      </c>
      <c r="AQ132" s="40">
        <f ca="1" xml:space="preserve"> ProjectCashflows!AH$131</f>
        <v>27.795302832777637</v>
      </c>
      <c r="AR132" s="40">
        <f ca="1" xml:space="preserve"> ProjectCashflows!AI$131</f>
        <v>22.514195294549886</v>
      </c>
      <c r="AS132" s="40">
        <f ca="1" xml:space="preserve"> ProjectCashflows!AJ$131</f>
        <v>18.236498188585408</v>
      </c>
      <c r="AT132" s="40">
        <f ca="1" xml:space="preserve"> ProjectCashflows!AK$131</f>
        <v>14.771563532754181</v>
      </c>
      <c r="AU132" s="40">
        <f ca="1" xml:space="preserve"> ProjectCashflows!AL$131</f>
        <v>11.964966461530887</v>
      </c>
      <c r="AV132" s="40">
        <f ca="1" xml:space="preserve"> ProjectCashflows!AM$131</f>
        <v>9.6916228338400181</v>
      </c>
      <c r="AW132" s="40">
        <f ca="1" xml:space="preserve"> ProjectCashflows!AN$131</f>
        <v>7.8502144954104152</v>
      </c>
      <c r="AX132" s="40">
        <f ca="1" xml:space="preserve"> ProjectCashflows!AO$131</f>
        <v>6.3586737412824368</v>
      </c>
      <c r="AY132" s="40">
        <f ca="1" xml:space="preserve"> ProjectCashflows!AP$131</f>
        <v>0</v>
      </c>
      <c r="AZ132" s="40">
        <f ca="1" xml:space="preserve"> ProjectCashflows!AQ$131</f>
        <v>0</v>
      </c>
      <c r="BA132" s="40">
        <f ca="1" xml:space="preserve"> ProjectCashflows!AR$131</f>
        <v>0</v>
      </c>
      <c r="BB132" s="40">
        <f ca="1" xml:space="preserve"> ProjectCashflows!AS$131</f>
        <v>0</v>
      </c>
      <c r="BC132" s="40">
        <f ca="1" xml:space="preserve"> ProjectCashflows!AT$131</f>
        <v>0</v>
      </c>
      <c r="BD132" s="40">
        <f ca="1" xml:space="preserve"> ProjectCashflows!AU$131</f>
        <v>0</v>
      </c>
      <c r="BE132" s="40">
        <f ca="1" xml:space="preserve"> ProjectCashflows!AV$131</f>
        <v>0</v>
      </c>
      <c r="BF132" s="40">
        <f ca="1" xml:space="preserve"> ProjectCashflows!AW$131</f>
        <v>0</v>
      </c>
      <c r="BG132" s="40">
        <f ca="1" xml:space="preserve"> ProjectCashflows!AX$131</f>
        <v>0</v>
      </c>
    </row>
    <row r="133" spans="1:59" x14ac:dyDescent="0.25">
      <c r="A133" s="1014"/>
      <c r="R133" s="75" t="str">
        <f xml:space="preserve"> FiscalModel!E$603</f>
        <v>R-Factor (previous period)</v>
      </c>
      <c r="S133" s="75" t="str">
        <f xml:space="preserve"> FiscalModel!G$603</f>
        <v>ratio</v>
      </c>
      <c r="T133" s="75">
        <f xml:space="preserve"> FiscalModel!K$603</f>
        <v>0</v>
      </c>
      <c r="U133" s="75">
        <f ca="1" xml:space="preserve"> FiscalModel!L$603</f>
        <v>0</v>
      </c>
      <c r="V133" s="75">
        <f ca="1" xml:space="preserve"> FiscalModel!M$603</f>
        <v>0</v>
      </c>
      <c r="W133" s="75">
        <f ca="1" xml:space="preserve"> FiscalModel!N$603</f>
        <v>0</v>
      </c>
      <c r="X133" s="75">
        <f ca="1" xml:space="preserve"> FiscalModel!O$603</f>
        <v>0</v>
      </c>
      <c r="Y133" s="75">
        <f ca="1" xml:space="preserve"> FiscalModel!P$603</f>
        <v>-1.7438546162172441E-2</v>
      </c>
      <c r="Z133" s="75">
        <f ca="1" xml:space="preserve"> FiscalModel!Q$603</f>
        <v>-5.1420270385862638E-2</v>
      </c>
      <c r="AA133" s="75">
        <f ca="1" xml:space="preserve"> FiscalModel!R$603</f>
        <v>-9.4547040935229171E-2</v>
      </c>
      <c r="AB133" s="75">
        <f ca="1" xml:space="preserve"> FiscalModel!S$603</f>
        <v>-0.13745706218540069</v>
      </c>
      <c r="AC133" s="75">
        <f ca="1" xml:space="preserve"> FiscalModel!T$603</f>
        <v>-0.18062776343885645</v>
      </c>
      <c r="AD133" s="75">
        <f ca="1" xml:space="preserve"> FiscalModel!U$603</f>
        <v>-0.22124167372652617</v>
      </c>
      <c r="AE133" s="75">
        <f ca="1" xml:space="preserve"> FiscalModel!V$603</f>
        <v>-0.25949929167192404</v>
      </c>
      <c r="AF133" s="75">
        <f ca="1" xml:space="preserve"> FiscalModel!W$603</f>
        <v>-0.2955809335253059</v>
      </c>
      <c r="AG133" s="75">
        <f ca="1" xml:space="preserve"> FiscalModel!X$603</f>
        <v>-0.3367681354535319</v>
      </c>
      <c r="AH133" s="75">
        <f ca="1" xml:space="preserve"> FiscalModel!Y$603</f>
        <v>-0.37559268238442484</v>
      </c>
      <c r="AI133" s="75">
        <f ca="1" xml:space="preserve"> FiscalModel!Z$603</f>
        <v>-0.41222458096862907</v>
      </c>
      <c r="AJ133" s="75">
        <f ca="1" xml:space="preserve"> FiscalModel!AA$603</f>
        <v>-0.44681827983990735</v>
      </c>
      <c r="AK133" s="75">
        <f ca="1" xml:space="preserve"> FiscalModel!AB$603</f>
        <v>-0.47823953515153494</v>
      </c>
      <c r="AL133" s="75">
        <f ca="1" xml:space="preserve"> FiscalModel!AC$603</f>
        <v>-0.52422886323760032</v>
      </c>
      <c r="AM133" s="75">
        <f ca="1" xml:space="preserve"> FiscalModel!AD$603</f>
        <v>-0.55481719683908504</v>
      </c>
      <c r="AN133" s="75">
        <f ca="1" xml:space="preserve"> FiscalModel!AE$603</f>
        <v>-0.56765063375882996</v>
      </c>
      <c r="AO133" s="75">
        <f ca="1" xml:space="preserve"> FiscalModel!AF$603</f>
        <v>-0.57660875465989381</v>
      </c>
      <c r="AP133" s="75">
        <f ca="1" xml:space="preserve"> FiscalModel!AG$603</f>
        <v>-0.59973185711160604</v>
      </c>
      <c r="AQ133" s="75">
        <f ca="1" xml:space="preserve"> FiscalModel!AH$603</f>
        <v>-0.62126010475604276</v>
      </c>
      <c r="AR133" s="75">
        <f ca="1" xml:space="preserve"> FiscalModel!AI$603</f>
        <v>-0.64207181577086492</v>
      </c>
      <c r="AS133" s="75">
        <f ca="1" xml:space="preserve"> FiscalModel!AJ$603</f>
        <v>-0.66219609198374385</v>
      </c>
      <c r="AT133" s="75">
        <f ca="1" xml:space="preserve"> FiscalModel!AK$603</f>
        <v>-0.68165132018583219</v>
      </c>
      <c r="AU133" s="75">
        <f ca="1" xml:space="preserve"> FiscalModel!AL$603</f>
        <v>-0.70044704337718466</v>
      </c>
      <c r="AV133" s="75">
        <f ca="1" xml:space="preserve"> FiscalModel!AM$603</f>
        <v>-0.71858547196536382</v>
      </c>
      <c r="AW133" s="75">
        <f ca="1" xml:space="preserve"> FiscalModel!AN$603</f>
        <v>-0.7339576490602755</v>
      </c>
      <c r="AX133" s="75">
        <f ca="1" xml:space="preserve"> FiscalModel!AO$603</f>
        <v>-0.74947603329082491</v>
      </c>
      <c r="AY133" s="75">
        <f ca="1" xml:space="preserve"> FiscalModel!AP$603</f>
        <v>-0.76432714441279281</v>
      </c>
      <c r="AZ133" s="75">
        <f ca="1" xml:space="preserve"> FiscalModel!AQ$603</f>
        <v>-0.76432714441279281</v>
      </c>
      <c r="BA133" s="75">
        <f ca="1" xml:space="preserve"> FiscalModel!AR$603</f>
        <v>-0.76432714441279281</v>
      </c>
      <c r="BB133" s="75">
        <f ca="1" xml:space="preserve"> FiscalModel!AS$603</f>
        <v>-0.76432714441279281</v>
      </c>
      <c r="BC133" s="75">
        <f ca="1" xml:space="preserve"> FiscalModel!AT$603</f>
        <v>-0.76432714441279281</v>
      </c>
      <c r="BD133" s="75">
        <f ca="1" xml:space="preserve"> FiscalModel!AU$603</f>
        <v>-0.76432714441279281</v>
      </c>
      <c r="BE133" s="75">
        <f ca="1" xml:space="preserve"> FiscalModel!AV$603</f>
        <v>-0.76432714441279281</v>
      </c>
      <c r="BF133" s="75">
        <f ca="1" xml:space="preserve"> FiscalModel!AW$603</f>
        <v>-0.76432714441279281</v>
      </c>
      <c r="BG133" s="75">
        <f ca="1" xml:space="preserve"> FiscalModel!AX$603</f>
        <v>-0.76432714441279281</v>
      </c>
    </row>
    <row r="134" spans="1:59" x14ac:dyDescent="0.25">
      <c r="A134" s="1014"/>
      <c r="AW134" s="442"/>
    </row>
    <row r="135" spans="1:59" x14ac:dyDescent="0.25">
      <c r="A135" s="1014"/>
      <c r="AW135" s="442"/>
    </row>
    <row r="136" spans="1:59" x14ac:dyDescent="0.25">
      <c r="A136" s="1014"/>
      <c r="AW136" s="442"/>
    </row>
    <row r="137" spans="1:59" x14ac:dyDescent="0.25">
      <c r="A137" s="1014"/>
      <c r="AW137" s="442"/>
    </row>
    <row r="138" spans="1:59" x14ac:dyDescent="0.25">
      <c r="A138" s="1014"/>
      <c r="AW138" s="442"/>
    </row>
    <row r="139" spans="1:59" x14ac:dyDescent="0.25">
      <c r="A139" s="1014"/>
      <c r="AW139" s="442"/>
    </row>
    <row r="140" spans="1:59" x14ac:dyDescent="0.25">
      <c r="A140" s="1014"/>
      <c r="AW140" s="442"/>
    </row>
    <row r="141" spans="1:59" x14ac:dyDescent="0.25">
      <c r="A141" s="1014"/>
      <c r="AW141" s="442"/>
    </row>
    <row r="142" spans="1:59" x14ac:dyDescent="0.25">
      <c r="A142" s="1014"/>
      <c r="AW142" s="442"/>
    </row>
    <row r="143" spans="1:59" x14ac:dyDescent="0.25">
      <c r="A143" s="101" t="str">
        <f xml:space="preserve"> Translate!E$618</f>
        <v>Progressivity analysis across a range of oil prices</v>
      </c>
      <c r="B143" s="41"/>
      <c r="C143" s="2"/>
      <c r="D143" s="42"/>
      <c r="E143" s="42"/>
      <c r="F143" s="939" t="str">
        <f xml:space="preserve"> Translate!E$621</f>
        <v xml:space="preserve">Return to </v>
      </c>
      <c r="G143" s="1015" t="str">
        <f ca="1">$A$1</f>
        <v>Dashboard</v>
      </c>
      <c r="H143" s="42"/>
      <c r="I143" s="42"/>
      <c r="J143" s="42"/>
      <c r="K143" s="42"/>
      <c r="L143" s="42"/>
      <c r="M143" s="42"/>
      <c r="N143" s="42"/>
      <c r="O143" s="42"/>
      <c r="P143" s="42"/>
      <c r="Q143" s="42"/>
      <c r="R143" s="42"/>
      <c r="S143" s="42"/>
      <c r="T143" s="42"/>
      <c r="U143" s="42"/>
      <c r="V143" s="42"/>
      <c r="W143" s="42"/>
      <c r="X143" s="42"/>
      <c r="Y143" s="42"/>
      <c r="Z143" s="42"/>
      <c r="AA143" s="42"/>
      <c r="AB143" s="42"/>
      <c r="AC143" s="42"/>
      <c r="AD143" s="42"/>
      <c r="AE143" s="42"/>
      <c r="AF143" s="42"/>
      <c r="AG143" s="42"/>
      <c r="AH143" s="42"/>
      <c r="AI143" s="42"/>
      <c r="AJ143" s="42"/>
      <c r="AK143" s="42"/>
      <c r="AL143" s="42"/>
      <c r="AM143" s="42"/>
      <c r="AN143" s="42"/>
      <c r="AO143" s="42"/>
      <c r="AP143" s="42"/>
      <c r="AQ143" s="42"/>
      <c r="AR143" s="42"/>
      <c r="AS143" s="42"/>
      <c r="AT143" s="42"/>
      <c r="AU143" s="42"/>
      <c r="AV143" s="42"/>
      <c r="AW143" s="42"/>
      <c r="AX143" s="42"/>
      <c r="AY143" s="42"/>
      <c r="AZ143" s="42"/>
      <c r="BA143" s="42"/>
      <c r="BB143" s="42"/>
      <c r="BC143" s="42"/>
      <c r="BD143" s="42"/>
      <c r="BE143" s="42"/>
      <c r="BF143" s="42"/>
      <c r="BG143" s="42"/>
    </row>
    <row r="144" spans="1:59" x14ac:dyDescent="0.25">
      <c r="A144" s="1014"/>
      <c r="AW144" s="442"/>
    </row>
    <row r="145" spans="1:49" x14ac:dyDescent="0.25">
      <c r="A145" s="1014"/>
      <c r="B145" s="50" t="str">
        <f xml:space="preserve"> Translate!E$703</f>
        <v>Government share metrics</v>
      </c>
      <c r="AW145" s="442"/>
    </row>
    <row r="146" spans="1:49" x14ac:dyDescent="0.25">
      <c r="A146" s="1014"/>
      <c r="B146" s="3" t="str">
        <f t="shared" ref="B146:D149" si="8">R87</f>
        <v>AETR: full-cycle, undiscounted</v>
      </c>
      <c r="C146" s="3" t="str">
        <f t="shared" si="8"/>
        <v>% US$ mn 2021</v>
      </c>
      <c r="D146" s="59">
        <f t="shared" ca="1" si="8"/>
        <v>0.68435805496804558</v>
      </c>
      <c r="R146" s="50" t="str">
        <f xml:space="preserve"> Translate!E$821</f>
        <v>Data table to perform sensitivity analysis</v>
      </c>
      <c r="AW146" s="442"/>
    </row>
    <row r="147" spans="1:49" x14ac:dyDescent="0.25">
      <c r="A147" s="1014"/>
      <c r="B147" s="3" t="str">
        <f t="shared" si="8"/>
        <v>AETR: full-cycle, NPV8</v>
      </c>
      <c r="C147" s="3" t="str">
        <f t="shared" si="8"/>
        <v>% NPV8</v>
      </c>
      <c r="D147" s="59">
        <f t="shared" ca="1" si="8"/>
        <v>0.75354643833109825</v>
      </c>
      <c r="T147" s="3" t="str">
        <f xml:space="preserve"> Translate!E$822</f>
        <v>Range of oil prices</v>
      </c>
      <c r="AW147" s="442"/>
    </row>
    <row r="148" spans="1:49" x14ac:dyDescent="0.25">
      <c r="A148" s="1014"/>
      <c r="B148" s="3" t="str">
        <f t="shared" si="8"/>
        <v>Government share of project benefits: full-cycle, undiscounted</v>
      </c>
      <c r="C148" s="3" t="str">
        <f t="shared" si="8"/>
        <v>% US$ mn 2021</v>
      </c>
      <c r="D148" s="59">
        <f t="shared" ca="1" si="8"/>
        <v>0.51711851146906207</v>
      </c>
      <c r="S148" s="471">
        <f ca="1" xml:space="preserve"> D151</f>
        <v>0.68435805496804558</v>
      </c>
      <c r="T148" s="63">
        <f xml:space="preserve"> $D$155</f>
        <v>30</v>
      </c>
      <c r="U148" s="63">
        <f t="shared" ref="U148:AM148" si="9" xml:space="preserve"> T148 + $D$156</f>
        <v>35</v>
      </c>
      <c r="V148" s="63">
        <f t="shared" si="9"/>
        <v>40</v>
      </c>
      <c r="W148" s="63">
        <f t="shared" si="9"/>
        <v>45</v>
      </c>
      <c r="X148" s="63">
        <f t="shared" si="9"/>
        <v>50</v>
      </c>
      <c r="Y148" s="63">
        <f t="shared" si="9"/>
        <v>55</v>
      </c>
      <c r="Z148" s="63">
        <f t="shared" si="9"/>
        <v>60</v>
      </c>
      <c r="AA148" s="63">
        <f t="shared" si="9"/>
        <v>65</v>
      </c>
      <c r="AB148" s="63">
        <f t="shared" si="9"/>
        <v>70</v>
      </c>
      <c r="AC148" s="63">
        <f t="shared" si="9"/>
        <v>75</v>
      </c>
      <c r="AD148" s="63">
        <f t="shared" si="9"/>
        <v>80</v>
      </c>
      <c r="AE148" s="63">
        <f t="shared" si="9"/>
        <v>85</v>
      </c>
      <c r="AF148" s="63">
        <f t="shared" si="9"/>
        <v>90</v>
      </c>
      <c r="AG148" s="63">
        <f t="shared" si="9"/>
        <v>95</v>
      </c>
      <c r="AH148" s="63">
        <f t="shared" si="9"/>
        <v>100</v>
      </c>
      <c r="AI148" s="63">
        <f t="shared" si="9"/>
        <v>105</v>
      </c>
      <c r="AJ148" s="63">
        <f t="shared" si="9"/>
        <v>110</v>
      </c>
      <c r="AK148" s="63">
        <f t="shared" si="9"/>
        <v>115</v>
      </c>
      <c r="AL148" s="63">
        <f t="shared" si="9"/>
        <v>120</v>
      </c>
      <c r="AM148" s="63">
        <f t="shared" si="9"/>
        <v>125</v>
      </c>
      <c r="AW148" s="442"/>
    </row>
    <row r="149" spans="1:49" x14ac:dyDescent="0.25">
      <c r="A149" s="1014"/>
      <c r="B149" s="3" t="str">
        <f t="shared" si="8"/>
        <v>Government share of project benefits: full-cycle, NPV8</v>
      </c>
      <c r="C149" s="3" t="str">
        <f t="shared" si="8"/>
        <v>% NPV8</v>
      </c>
      <c r="D149" s="59">
        <f t="shared" ca="1" si="8"/>
        <v>0.47252242788692667</v>
      </c>
      <c r="S149" s="598" t="str">
        <f xml:space="preserve"> $U$63</f>
        <v>Royalty + CIT</v>
      </c>
      <c r="T149" s="472">
        <f t="dataTable" ref="T149:AM153" dt2D="1" dtr="1" r1="C9" r2="C6" ca="1"/>
        <v>0.80961493808483742</v>
      </c>
      <c r="U149" s="472">
        <v>0.75910489473548948</v>
      </c>
      <c r="V149" s="472">
        <v>0.72670610289439674</v>
      </c>
      <c r="W149" s="472">
        <v>0.70690269470976685</v>
      </c>
      <c r="X149" s="472">
        <v>0.69373803669767831</v>
      </c>
      <c r="Y149" s="764">
        <v>0.68435805496804558</v>
      </c>
      <c r="Z149" s="472">
        <v>0.67723439575509803</v>
      </c>
      <c r="AA149" s="472">
        <v>0.67168165881126263</v>
      </c>
      <c r="AB149" s="472">
        <v>0.66720274216419206</v>
      </c>
      <c r="AC149" s="472">
        <v>0.66351166565653963</v>
      </c>
      <c r="AD149" s="472">
        <v>0.6604181070205094</v>
      </c>
      <c r="AE149" s="472">
        <v>0.65778686744232306</v>
      </c>
      <c r="AF149" s="472">
        <v>0.65552354578370908</v>
      </c>
      <c r="AG149" s="472">
        <v>0.65355601732927959</v>
      </c>
      <c r="AH149" s="472">
        <v>0.6518304950954239</v>
      </c>
      <c r="AI149" s="472">
        <v>0.65031073344951762</v>
      </c>
      <c r="AJ149" s="472">
        <v>0.65084157386900199</v>
      </c>
      <c r="AK149" s="472">
        <v>0.64950679692981506</v>
      </c>
      <c r="AL149" s="472">
        <v>0.6483024887535106</v>
      </c>
      <c r="AM149" s="472">
        <v>0.64720700269305087</v>
      </c>
      <c r="AW149" s="442"/>
    </row>
    <row r="150" spans="1:49" x14ac:dyDescent="0.25">
      <c r="A150" s="1014"/>
      <c r="B150" s="50" t="str">
        <f xml:space="preserve"> Translate!E$817</f>
        <v>Select metric</v>
      </c>
      <c r="D150" s="59"/>
      <c r="S150" s="598" t="str">
        <f xml:space="preserve"> $V$63</f>
        <v>RRT</v>
      </c>
      <c r="T150" s="472">
        <v>0.62408413860224565</v>
      </c>
      <c r="U150" s="472">
        <v>0.67308338780833032</v>
      </c>
      <c r="V150" s="472">
        <v>0.68952377436434464</v>
      </c>
      <c r="W150" s="472">
        <v>0.69681383987871104</v>
      </c>
      <c r="X150" s="472">
        <v>0.70057337223622296</v>
      </c>
      <c r="Y150" s="764">
        <v>0.70266579375898097</v>
      </c>
      <c r="Z150" s="472">
        <v>0.70394478052602971</v>
      </c>
      <c r="AA150" s="472">
        <v>0.7046557940049526</v>
      </c>
      <c r="AB150" s="472">
        <v>0.70522795683160433</v>
      </c>
      <c r="AC150" s="472">
        <v>0.70569563907527022</v>
      </c>
      <c r="AD150" s="472">
        <v>0.70586918956719957</v>
      </c>
      <c r="AE150" s="472">
        <v>0.70593549005065392</v>
      </c>
      <c r="AF150" s="472">
        <v>0.70726453335736372</v>
      </c>
      <c r="AG150" s="472">
        <v>0.70719005139065572</v>
      </c>
      <c r="AH150" s="472">
        <v>0.7071217881643983</v>
      </c>
      <c r="AI150" s="472">
        <v>0.70705696647020888</v>
      </c>
      <c r="AJ150" s="472">
        <v>0.70700461913318957</v>
      </c>
      <c r="AK150" s="472">
        <v>0.70698767966020859</v>
      </c>
      <c r="AL150" s="472">
        <v>0.70690091677590461</v>
      </c>
      <c r="AM150" s="472">
        <v>0.70678845384041533</v>
      </c>
      <c r="AW150" s="442"/>
    </row>
    <row r="151" spans="1:49" x14ac:dyDescent="0.25">
      <c r="A151" s="1014"/>
      <c r="B151" s="63" t="s">
        <v>29</v>
      </c>
      <c r="C151" s="3" t="str">
        <f xml:space="preserve"> INDEX( C146:C149, MATCH(B151, B146:B149, 0), )</f>
        <v>% US$ mn 2021</v>
      </c>
      <c r="D151" s="76">
        <f ca="1" xml:space="preserve"> INDEX( D146:D149, MATCH(B151, B146:B149, 0), )</f>
        <v>0.68435805496804558</v>
      </c>
      <c r="S151" s="598" t="str">
        <f xml:space="preserve"> $W$63</f>
        <v>Royalty + CIT, no debt</v>
      </c>
      <c r="T151" s="472">
        <v>0.80679583094534979</v>
      </c>
      <c r="U151" s="472">
        <v>0.75354021682169381</v>
      </c>
      <c r="V151" s="472">
        <v>0.72529830116644689</v>
      </c>
      <c r="W151" s="472">
        <v>0.70791189365382956</v>
      </c>
      <c r="X151" s="472">
        <v>0.69613096342259406</v>
      </c>
      <c r="Y151" s="764">
        <v>0.68754809230881275</v>
      </c>
      <c r="Z151" s="472">
        <v>0.68100186273843022</v>
      </c>
      <c r="AA151" s="472">
        <v>0.67585295560950298</v>
      </c>
      <c r="AB151" s="472">
        <v>0.67166317837383538</v>
      </c>
      <c r="AC151" s="472">
        <v>0.66821147594088814</v>
      </c>
      <c r="AD151" s="472">
        <v>0.66530975893911826</v>
      </c>
      <c r="AE151" s="472">
        <v>0.66285782308696495</v>
      </c>
      <c r="AF151" s="472">
        <v>0.66075729638705671</v>
      </c>
      <c r="AG151" s="472">
        <v>0.65892426854541397</v>
      </c>
      <c r="AH151" s="472">
        <v>0.65730529954423822</v>
      </c>
      <c r="AI151" s="472">
        <v>0.65586955238653055</v>
      </c>
      <c r="AJ151" s="472">
        <v>0.65459270553352644</v>
      </c>
      <c r="AK151" s="472">
        <v>0.65346901227297949</v>
      </c>
      <c r="AL151" s="472">
        <v>0.65245600913939306</v>
      </c>
      <c r="AM151" s="472">
        <v>0.65153810846616178</v>
      </c>
      <c r="AW151" s="442"/>
    </row>
    <row r="152" spans="1:49" x14ac:dyDescent="0.25">
      <c r="A152" s="1014"/>
      <c r="B152" s="3" t="str">
        <f xml:space="preserve"> Translate!E$755 &amp; " " &amp; Translate!E$817</f>
        <v>Check:  Select metric</v>
      </c>
      <c r="C152" s="1003">
        <f>IFERROR(MIN( 0, MATCH(B151,$B$146:$B$149,0) ), 1 )</f>
        <v>0</v>
      </c>
      <c r="D152" s="59" t="str">
        <f xml:space="preserve"> Translate!E$604</f>
        <v>Check</v>
      </c>
      <c r="S152" s="598" t="str">
        <f xml:space="preserve"> $X$63</f>
        <v>DROP PSC</v>
      </c>
      <c r="T152" s="472">
        <v>0.74580855993108452</v>
      </c>
      <c r="U152" s="472">
        <v>0.71324105907871693</v>
      </c>
      <c r="V152" s="472">
        <v>0.69701330213003032</v>
      </c>
      <c r="W152" s="472">
        <v>0.68768628467885307</v>
      </c>
      <c r="X152" s="472">
        <v>0.68179850940174447</v>
      </c>
      <c r="Y152" s="764">
        <v>0.67759838395801764</v>
      </c>
      <c r="Z152" s="472">
        <v>0.67454231867796177</v>
      </c>
      <c r="AA152" s="472">
        <v>0.67214763253915044</v>
      </c>
      <c r="AB152" s="472">
        <v>0.67021443320938645</v>
      </c>
      <c r="AC152" s="472">
        <v>0.66864217393070602</v>
      </c>
      <c r="AD152" s="472">
        <v>0.66734484979797404</v>
      </c>
      <c r="AE152" s="472">
        <v>0.66624256206292243</v>
      </c>
      <c r="AF152" s="472">
        <v>0.66529379682461032</v>
      </c>
      <c r="AG152" s="472">
        <v>0.66670809522752683</v>
      </c>
      <c r="AH152" s="472">
        <v>0.66582337881666942</v>
      </c>
      <c r="AI152" s="472">
        <v>0.66503748344629054</v>
      </c>
      <c r="AJ152" s="472">
        <v>0.66434573591212709</v>
      </c>
      <c r="AK152" s="472">
        <v>0.66372927944849747</v>
      </c>
      <c r="AL152" s="472">
        <v>0.66317771854274343</v>
      </c>
      <c r="AM152" s="472">
        <v>0.66270625969517893</v>
      </c>
      <c r="AW152" s="442"/>
    </row>
    <row r="153" spans="1:49" x14ac:dyDescent="0.25">
      <c r="A153" s="1014"/>
      <c r="D153" s="59"/>
      <c r="S153" s="598" t="str">
        <f xml:space="preserve"> $Y$63</f>
        <v>R-factor PSC</v>
      </c>
      <c r="T153" s="472">
        <v>0.72220547043950734</v>
      </c>
      <c r="U153" s="472">
        <v>0.70167544275238358</v>
      </c>
      <c r="V153" s="472">
        <v>0.697714295240491</v>
      </c>
      <c r="W153" s="472">
        <v>0.69660248135707192</v>
      </c>
      <c r="X153" s="472">
        <v>0.70062571468361445</v>
      </c>
      <c r="Y153" s="764">
        <v>0.70675745023112457</v>
      </c>
      <c r="Z153" s="472">
        <v>0.71877355560462497</v>
      </c>
      <c r="AA153" s="472">
        <v>0.72204080809019466</v>
      </c>
      <c r="AB153" s="472">
        <v>0.73332882454582771</v>
      </c>
      <c r="AC153" s="472">
        <v>0.73867946024497888</v>
      </c>
      <c r="AD153" s="472">
        <v>0.74012248946045656</v>
      </c>
      <c r="AE153" s="472">
        <v>0.74587973380905503</v>
      </c>
      <c r="AF153" s="472">
        <v>0.75052620077315491</v>
      </c>
      <c r="AG153" s="472">
        <v>0.75140753319214737</v>
      </c>
      <c r="AH153" s="472">
        <v>0.75780072109147467</v>
      </c>
      <c r="AI153" s="472">
        <v>0.75659665197793902</v>
      </c>
      <c r="AJ153" s="472">
        <v>0.7630923417467087</v>
      </c>
      <c r="AK153" s="472">
        <v>0.76188702129239549</v>
      </c>
      <c r="AL153" s="472">
        <v>0.76463198620494088</v>
      </c>
      <c r="AM153" s="472">
        <v>0.763664545422022</v>
      </c>
      <c r="AW153" s="442"/>
    </row>
    <row r="154" spans="1:49" x14ac:dyDescent="0.25">
      <c r="A154" s="1014"/>
      <c r="B154" s="50" t="str">
        <f xml:space="preserve"> Translate!E$818</f>
        <v>Create range of oil prices</v>
      </c>
      <c r="AW154" s="442"/>
    </row>
    <row r="155" spans="1:49" x14ac:dyDescent="0.25">
      <c r="A155" s="1014"/>
      <c r="B155" s="3" t="str">
        <f xml:space="preserve"> Translate!E$819</f>
        <v>Starting oil price</v>
      </c>
      <c r="C155" s="3" t="str">
        <f xml:space="preserve"> Inputs!F$56</f>
        <v>US$ 2021 / bbl</v>
      </c>
      <c r="D155" s="63">
        <v>30</v>
      </c>
      <c r="R155" s="50" t="str">
        <f xml:space="preserve"> Translate!E$823</f>
        <v>Data table to generate pre-tax IRR</v>
      </c>
      <c r="S155" s="3" t="str">
        <f xml:space="preserve"> Inputs!F$56</f>
        <v>US$ 2021 / bbl</v>
      </c>
      <c r="T155" s="327">
        <f t="shared" ref="T155:AM155" si="10" xml:space="preserve"> T148</f>
        <v>30</v>
      </c>
      <c r="U155" s="327">
        <f t="shared" si="10"/>
        <v>35</v>
      </c>
      <c r="V155" s="327">
        <f t="shared" si="10"/>
        <v>40</v>
      </c>
      <c r="W155" s="327">
        <f t="shared" si="10"/>
        <v>45</v>
      </c>
      <c r="X155" s="327">
        <f t="shared" si="10"/>
        <v>50</v>
      </c>
      <c r="Y155" s="327">
        <f t="shared" si="10"/>
        <v>55</v>
      </c>
      <c r="Z155" s="327">
        <f t="shared" si="10"/>
        <v>60</v>
      </c>
      <c r="AA155" s="327">
        <f t="shared" si="10"/>
        <v>65</v>
      </c>
      <c r="AB155" s="327">
        <f t="shared" si="10"/>
        <v>70</v>
      </c>
      <c r="AC155" s="327">
        <f t="shared" si="10"/>
        <v>75</v>
      </c>
      <c r="AD155" s="327">
        <f t="shared" si="10"/>
        <v>80</v>
      </c>
      <c r="AE155" s="327">
        <f t="shared" si="10"/>
        <v>85</v>
      </c>
      <c r="AF155" s="327">
        <f t="shared" si="10"/>
        <v>90</v>
      </c>
      <c r="AG155" s="327">
        <f t="shared" si="10"/>
        <v>95</v>
      </c>
      <c r="AH155" s="327">
        <f t="shared" si="10"/>
        <v>100</v>
      </c>
      <c r="AI155" s="327">
        <f t="shared" si="10"/>
        <v>105</v>
      </c>
      <c r="AJ155" s="327">
        <f t="shared" si="10"/>
        <v>110</v>
      </c>
      <c r="AK155" s="327">
        <f t="shared" si="10"/>
        <v>115</v>
      </c>
      <c r="AL155" s="327">
        <f t="shared" si="10"/>
        <v>120</v>
      </c>
      <c r="AM155" s="327">
        <f t="shared" si="10"/>
        <v>125</v>
      </c>
      <c r="AW155" s="442"/>
    </row>
    <row r="156" spans="1:49" x14ac:dyDescent="0.25">
      <c r="A156" s="1014"/>
      <c r="B156" s="3" t="str">
        <f xml:space="preserve"> Translate!E$820</f>
        <v>Increment</v>
      </c>
      <c r="C156" s="257" t="str">
        <f xml:space="preserve"> Translate!E$60</f>
        <v>US$</v>
      </c>
      <c r="D156" s="63">
        <v>5</v>
      </c>
      <c r="R156" s="3" t="str">
        <f xml:space="preserve"> R79 &amp; " " &amp; Inputs!F$91</f>
        <v>IRR: Project real</v>
      </c>
      <c r="S156" s="471">
        <f ca="1" xml:space="preserve"> T79</f>
        <v>0.39148985987226625</v>
      </c>
      <c r="T156" s="472">
        <f t="dataTable" ref="T156:AM156" dt2D="0" dtr="1" r1="C9" ca="1"/>
        <v>0.16592789144502151</v>
      </c>
      <c r="U156" s="472">
        <v>0.21664125886318741</v>
      </c>
      <c r="V156" s="472">
        <v>0.26376992765143181</v>
      </c>
      <c r="W156" s="472">
        <v>0.30829595688050526</v>
      </c>
      <c r="X156" s="472">
        <v>0.35075828412231314</v>
      </c>
      <c r="Y156" s="472">
        <v>0.39148985987226625</v>
      </c>
      <c r="Z156" s="472">
        <v>0.43071504536032679</v>
      </c>
      <c r="AA156" s="472">
        <v>0.46859586063445002</v>
      </c>
      <c r="AB156" s="472">
        <v>0.50525613534333602</v>
      </c>
      <c r="AC156" s="472">
        <v>0.54079498831452688</v>
      </c>
      <c r="AD156" s="472">
        <v>0.57529473790769181</v>
      </c>
      <c r="AE156" s="472">
        <v>0.60882573802713402</v>
      </c>
      <c r="AF156" s="472">
        <v>0.64144944491707667</v>
      </c>
      <c r="AG156" s="472">
        <v>0.67322043034125367</v>
      </c>
      <c r="AH156" s="472">
        <v>0.70418774993161493</v>
      </c>
      <c r="AI156" s="472">
        <v>0.73439590628793439</v>
      </c>
      <c r="AJ156" s="472">
        <v>0.7638855511979894</v>
      </c>
      <c r="AK156" s="472">
        <v>0.79269401491984159</v>
      </c>
      <c r="AL156" s="472">
        <v>0.82085571914991395</v>
      </c>
      <c r="AM156" s="472">
        <v>0.84840250778839033</v>
      </c>
      <c r="AW156" s="442"/>
    </row>
    <row r="157" spans="1:49" x14ac:dyDescent="0.25">
      <c r="A157" s="1014"/>
      <c r="AW157" s="442"/>
    </row>
    <row r="158" spans="1:49" x14ac:dyDescent="0.25">
      <c r="A158" s="1014"/>
      <c r="AW158" s="442"/>
    </row>
    <row r="159" spans="1:49" x14ac:dyDescent="0.25">
      <c r="A159" s="1014"/>
      <c r="B159" s="940" t="str">
        <f xml:space="preserve"> Translate!E$639</f>
        <v>Chart details</v>
      </c>
      <c r="AW159" s="442"/>
    </row>
    <row r="160" spans="1:49" x14ac:dyDescent="0.25">
      <c r="A160" s="1014"/>
      <c r="B160" s="62" t="str">
        <f xml:space="preserve"> A$143</f>
        <v>Progressivity analysis across a range of oil prices</v>
      </c>
      <c r="C160" s="3" t="str">
        <f xml:space="preserve"> Translate!E$640</f>
        <v>Chart title</v>
      </c>
      <c r="AW160" s="442"/>
    </row>
    <row r="161" spans="1:59" x14ac:dyDescent="0.25">
      <c r="A161" s="1014"/>
      <c r="B161" s="63" t="str">
        <f xml:space="preserve"> B151</f>
        <v>AETR: full-cycle, undiscounted</v>
      </c>
      <c r="C161" s="3" t="str">
        <f xml:space="preserve"> Translate!E$641</f>
        <v>Vertical axis 1</v>
      </c>
      <c r="AW161" s="442"/>
    </row>
    <row r="162" spans="1:59" x14ac:dyDescent="0.25">
      <c r="A162" s="1014"/>
      <c r="B162" s="63"/>
      <c r="C162" s="3" t="str">
        <f xml:space="preserve"> Translate!E$642</f>
        <v>Vertical axis 2</v>
      </c>
      <c r="AW162" s="442"/>
    </row>
    <row r="163" spans="1:59" x14ac:dyDescent="0.25">
      <c r="A163" s="1014"/>
      <c r="B163" s="63" t="str">
        <f xml:space="preserve"> R156 &amp; " / " &amp; Translate!E$682 &amp; ": " &amp; C155</f>
        <v>IRR: Project real / Oil price: US$ 2021 / bbl</v>
      </c>
      <c r="C163" s="3" t="str">
        <f xml:space="preserve"> Translate!E$643</f>
        <v>Horizontal axis</v>
      </c>
      <c r="AW163" s="442"/>
    </row>
    <row r="164" spans="1:59" x14ac:dyDescent="0.25">
      <c r="A164" s="1014"/>
      <c r="B164" s="448" t="str">
        <f xml:space="preserve"> Translate!E$112 &amp; ": " &amp; C$7</f>
        <v>Project: 800MMbbl_A</v>
      </c>
      <c r="C164" s="3" t="str">
        <f xml:space="preserve"> Translate!E$644</f>
        <v>Text box</v>
      </c>
      <c r="AW164" s="442"/>
    </row>
    <row r="165" spans="1:59" x14ac:dyDescent="0.25">
      <c r="A165" s="1014"/>
      <c r="AW165" s="442"/>
    </row>
    <row r="166" spans="1:59" x14ac:dyDescent="0.25">
      <c r="A166" s="1014"/>
      <c r="AW166" s="442"/>
    </row>
    <row r="167" spans="1:59" x14ac:dyDescent="0.25">
      <c r="A167" s="101" t="str">
        <f xml:space="preserve"> Translate!E$619</f>
        <v>Breakeven oil price and marginal effective tax rate</v>
      </c>
      <c r="B167" s="42"/>
      <c r="C167" s="2"/>
      <c r="D167" s="42"/>
      <c r="E167" s="42"/>
      <c r="F167" s="939" t="str">
        <f xml:space="preserve"> Translate!E$621</f>
        <v xml:space="preserve">Return to </v>
      </c>
      <c r="G167" s="1015" t="str">
        <f ca="1">$A$1</f>
        <v>Dashboard</v>
      </c>
      <c r="H167" s="42"/>
      <c r="I167" s="42"/>
      <c r="J167" s="42"/>
      <c r="K167" s="42"/>
      <c r="L167" s="42"/>
      <c r="M167" s="42"/>
      <c r="N167" s="42"/>
      <c r="O167" s="42"/>
      <c r="P167" s="42"/>
      <c r="Q167" s="42"/>
      <c r="R167" s="42"/>
      <c r="S167" s="42"/>
      <c r="T167" s="42"/>
      <c r="U167" s="42"/>
      <c r="V167" s="42"/>
      <c r="W167" s="42"/>
      <c r="X167" s="42"/>
      <c r="Y167" s="42"/>
      <c r="Z167" s="42"/>
      <c r="AA167" s="42"/>
      <c r="AB167" s="42"/>
      <c r="AC167" s="42"/>
      <c r="AD167" s="42"/>
      <c r="AE167" s="42"/>
      <c r="AF167" s="42"/>
      <c r="AG167" s="42"/>
      <c r="AH167" s="42"/>
      <c r="AI167" s="42"/>
      <c r="AJ167" s="42"/>
      <c r="AK167" s="42"/>
      <c r="AL167" s="42"/>
      <c r="AM167" s="42"/>
      <c r="AN167" s="42"/>
      <c r="AO167" s="42"/>
      <c r="AP167" s="42"/>
      <c r="AQ167" s="42"/>
      <c r="AR167" s="42"/>
      <c r="AS167" s="42"/>
      <c r="AT167" s="42"/>
      <c r="AU167" s="42"/>
      <c r="AV167" s="42"/>
      <c r="AW167" s="42"/>
      <c r="AX167" s="42"/>
      <c r="AY167" s="42"/>
      <c r="AZ167" s="42"/>
      <c r="BA167" s="42"/>
      <c r="BB167" s="42"/>
      <c r="BC167" s="42"/>
      <c r="BD167" s="42"/>
      <c r="BE167" s="42"/>
      <c r="BF167" s="42"/>
      <c r="BG167" s="42"/>
    </row>
    <row r="168" spans="1:59" x14ac:dyDescent="0.25">
      <c r="A168" s="1014"/>
      <c r="AW168" s="442"/>
    </row>
    <row r="169" spans="1:59" x14ac:dyDescent="0.25">
      <c r="A169" s="1014"/>
      <c r="R169" s="3" t="str">
        <f xml:space="preserve"> Translate!E$824 &amp; ": " &amp; Inputs!F$91</f>
        <v>Investor hurdle rate: real</v>
      </c>
      <c r="S169" s="78">
        <v>0.1</v>
      </c>
      <c r="AW169" s="442"/>
    </row>
    <row r="170" spans="1:59" x14ac:dyDescent="0.25">
      <c r="A170" s="1014"/>
      <c r="U170" s="3" t="str">
        <f xml:space="preserve"> Translate!E$826</f>
        <v>Regimes (from above)</v>
      </c>
      <c r="AW170" s="442"/>
    </row>
    <row r="171" spans="1:59" x14ac:dyDescent="0.25">
      <c r="A171" s="1014"/>
      <c r="B171" s="940" t="str">
        <f xml:space="preserve"> Translate!E$639</f>
        <v>Chart details</v>
      </c>
      <c r="R171" s="3" t="str">
        <f xml:space="preserve"> Translate!E$825</f>
        <v>Regime count</v>
      </c>
      <c r="S171" s="45">
        <f xml:space="preserve"> SUM(U171:Y171)</f>
        <v>5</v>
      </c>
      <c r="U171" s="3">
        <f xml:space="preserve"> ISTEXT(U172) * 1</f>
        <v>1</v>
      </c>
      <c r="V171" s="3">
        <f xml:space="preserve"> ISTEXT(V172) * 1</f>
        <v>1</v>
      </c>
      <c r="W171" s="3">
        <f xml:space="preserve"> ISTEXT(W172) * 1</f>
        <v>1</v>
      </c>
      <c r="X171" s="3">
        <f xml:space="preserve"> ISTEXT(X172) * 1</f>
        <v>1</v>
      </c>
      <c r="Y171" s="3">
        <f xml:space="preserve"> ISTEXT(Y172) * 1</f>
        <v>1</v>
      </c>
      <c r="AW171" s="442"/>
    </row>
    <row r="172" spans="1:59" x14ac:dyDescent="0.25">
      <c r="A172" s="1014"/>
      <c r="B172" s="62" t="str">
        <f>A$167</f>
        <v>Breakeven oil price and marginal effective tax rate</v>
      </c>
      <c r="C172" s="3" t="str">
        <f xml:space="preserve"> Translate!E$640</f>
        <v>Chart title</v>
      </c>
      <c r="T172" s="576" t="str">
        <f xml:space="preserve"> Translate!E$645</f>
        <v>Live results</v>
      </c>
      <c r="U172" s="599" t="str">
        <f t="array" ref="U172:Y172" xml:space="preserve"> U63:Y63</f>
        <v>Royalty + CIT</v>
      </c>
      <c r="V172" s="599" t="str">
        <v>RRT</v>
      </c>
      <c r="W172" s="599" t="str">
        <v>Royalty + CIT, no debt</v>
      </c>
      <c r="X172" s="599" t="str">
        <v>DROP PSC</v>
      </c>
      <c r="Y172" s="599" t="str">
        <v>R-factor PSC</v>
      </c>
      <c r="AW172" s="442"/>
    </row>
    <row r="173" spans="1:59" x14ac:dyDescent="0.25">
      <c r="A173" s="1014"/>
      <c r="B173" s="63" t="str">
        <f xml:space="preserve"> R174 &amp; " " &amp; S174</f>
        <v>Breakeven oil price US$ 2021 / bbl</v>
      </c>
      <c r="C173" s="3" t="str">
        <f xml:space="preserve"> Translate!E$641</f>
        <v>Vertical axis 1</v>
      </c>
      <c r="R173" s="257" t="str">
        <f xml:space="preserve"> Translate!E$93</f>
        <v>Regime name</v>
      </c>
      <c r="T173" s="476" t="str">
        <f xml:space="preserve"> C6</f>
        <v>Royalty + CIT</v>
      </c>
      <c r="U173" s="80" t="s">
        <v>20</v>
      </c>
      <c r="V173" s="80" t="s">
        <v>30</v>
      </c>
      <c r="W173" s="80" t="s">
        <v>31</v>
      </c>
      <c r="X173" s="80" t="s">
        <v>32</v>
      </c>
      <c r="Y173" s="80" t="s">
        <v>26</v>
      </c>
      <c r="AW173" s="442"/>
    </row>
    <row r="174" spans="1:59" x14ac:dyDescent="0.25">
      <c r="A174" s="1014"/>
      <c r="B174" s="63" t="str">
        <f xml:space="preserve"> R180</f>
        <v>Marginal Effective Tax Rate (METR)</v>
      </c>
      <c r="C174" s="3" t="str">
        <f xml:space="preserve"> Translate!E$642</f>
        <v>Vertical axis 2</v>
      </c>
      <c r="R174" s="257" t="str">
        <f xml:space="preserve"> Translate!E$827</f>
        <v>Breakeven oil price</v>
      </c>
      <c r="S174" s="3" t="str">
        <f xml:space="preserve"> D9</f>
        <v>US$ 2021 / bbl</v>
      </c>
      <c r="T174" s="326">
        <f xml:space="preserve"> OilPrice</f>
        <v>55</v>
      </c>
      <c r="U174" s="763">
        <v>37.254350549345375</v>
      </c>
      <c r="V174" s="763">
        <v>31.351247615114687</v>
      </c>
      <c r="W174" s="763">
        <v>37.040165791249869</v>
      </c>
      <c r="X174" s="763">
        <v>35.235885581807864</v>
      </c>
      <c r="Y174" s="81">
        <v>34.176866582000812</v>
      </c>
      <c r="AW174" s="442"/>
    </row>
    <row r="175" spans="1:59" x14ac:dyDescent="0.25">
      <c r="A175" s="1014"/>
      <c r="B175" s="62" t="str">
        <f xml:space="preserve"> Translate!E$648</f>
        <v>Fiscal regimes</v>
      </c>
      <c r="C175" s="3" t="str">
        <f xml:space="preserve"> Translate!E$643</f>
        <v>Horizontal axis</v>
      </c>
      <c r="R175" s="3" t="str">
        <f xml:space="preserve"> F$6 &amp; " " &amp; Translate!E$624</f>
        <v>Project IRR</v>
      </c>
      <c r="S175" s="3" t="str">
        <f xml:space="preserve"> S79</f>
        <v>IRR real</v>
      </c>
      <c r="T175" s="471">
        <f ca="1" xml:space="preserve"> T79</f>
        <v>0.39148985987226625</v>
      </c>
      <c r="U175" s="60">
        <v>0.23826024814503954</v>
      </c>
      <c r="V175" s="60">
        <v>0.18007415638044222</v>
      </c>
      <c r="W175" s="60">
        <v>0.23623398584386157</v>
      </c>
      <c r="X175" s="60">
        <v>0.21893486668215045</v>
      </c>
      <c r="Y175" s="60">
        <v>0.20857562171434241</v>
      </c>
      <c r="AW175" s="442"/>
    </row>
    <row r="176" spans="1:59" x14ac:dyDescent="0.25">
      <c r="A176" s="1014"/>
      <c r="B176" s="448" t="str">
        <f xml:space="preserve"> Translate!E$112 &amp; ": " &amp; C$7</f>
        <v>Project: 800MMbbl_A</v>
      </c>
      <c r="C176" s="3" t="str">
        <f xml:space="preserve"> Translate!E$644</f>
        <v>Text box</v>
      </c>
      <c r="R176" s="3" t="str">
        <f xml:space="preserve"> Translate!E$624 &amp; ": " &amp; F$9</f>
        <v>IRR: IOC + Lender</v>
      </c>
      <c r="S176" s="3" t="str">
        <f xml:space="preserve"> S80</f>
        <v>IRR real</v>
      </c>
      <c r="T176" s="471">
        <f ca="1" xml:space="preserve"> T80</f>
        <v>0.21546251757197021</v>
      </c>
      <c r="U176" s="82">
        <v>0.10000000034503409</v>
      </c>
      <c r="V176" s="82">
        <v>9.9999989486930785E-2</v>
      </c>
      <c r="W176" s="60">
        <v>0.10000000070161552</v>
      </c>
      <c r="X176" s="60">
        <v>0.10000000960793454</v>
      </c>
      <c r="Y176" s="60">
        <v>0.10000018545522815</v>
      </c>
      <c r="AW176" s="442"/>
    </row>
    <row r="177" spans="1:59" x14ac:dyDescent="0.25">
      <c r="A177" s="1014"/>
      <c r="R177" s="257" t="str">
        <f xml:space="preserve"> Translate!E$828</f>
        <v>Difference from hurdle rate (used by macro)</v>
      </c>
      <c r="T177" s="326">
        <f ca="1" xml:space="preserve"> (S169 - T176) * 10^3</f>
        <v>-115.46251757197021</v>
      </c>
      <c r="U177" s="83">
        <v>-3.4503408463670837E-7</v>
      </c>
      <c r="V177" s="83">
        <v>1.0513069220730031E-5</v>
      </c>
      <c r="W177" s="83">
        <v>-7.0161551568581615E-7</v>
      </c>
      <c r="X177" s="83">
        <v>-9.6079345313082598E-6</v>
      </c>
      <c r="Y177" s="83">
        <v>-1.8545522814661375E-4</v>
      </c>
      <c r="AW177" s="442"/>
    </row>
    <row r="178" spans="1:59" x14ac:dyDescent="0.25">
      <c r="A178" s="1014"/>
      <c r="B178" s="940" t="str">
        <f xml:space="preserve"> Translate!E$831</f>
        <v>Named ranges used in macro</v>
      </c>
      <c r="R178" s="3" t="str">
        <f>R87</f>
        <v>AETR: full-cycle, undiscounted</v>
      </c>
      <c r="S178" s="3" t="str">
        <f xml:space="preserve"> S87</f>
        <v>% US$ mn 2021</v>
      </c>
      <c r="T178" s="471">
        <f ca="1" xml:space="preserve"> T87</f>
        <v>0.68435805496804558</v>
      </c>
      <c r="U178" s="60">
        <v>0.73287518984003075</v>
      </c>
      <c r="V178" s="60">
        <v>0.63774972369550831</v>
      </c>
      <c r="W178" s="60">
        <v>0.73507415088115236</v>
      </c>
      <c r="X178" s="60">
        <v>0.7069812059676146</v>
      </c>
      <c r="Y178" s="60">
        <v>0.69691437765915298</v>
      </c>
      <c r="AW178" s="442"/>
    </row>
    <row r="179" spans="1:59" x14ac:dyDescent="0.25">
      <c r="A179" s="1014"/>
      <c r="B179" s="3" t="s">
        <v>17</v>
      </c>
      <c r="R179" s="3" t="str">
        <f>R88</f>
        <v>AETR: full-cycle, NPV8</v>
      </c>
      <c r="S179" s="3" t="str">
        <f xml:space="preserve"> S88</f>
        <v>% NPV8</v>
      </c>
      <c r="T179" s="471">
        <f ca="1" xml:space="preserve"> T88</f>
        <v>0.75354643833109825</v>
      </c>
      <c r="U179" s="60">
        <v>0.97611988216886236</v>
      </c>
      <c r="V179" s="60">
        <v>0.9634602190977285</v>
      </c>
      <c r="W179" s="60">
        <v>0.97801576080853503</v>
      </c>
      <c r="X179" s="60">
        <v>0.974060320353902</v>
      </c>
      <c r="Y179" s="60">
        <v>0.9730390122811855</v>
      </c>
      <c r="AW179" s="442"/>
    </row>
    <row r="180" spans="1:59" x14ac:dyDescent="0.25">
      <c r="A180" s="1014"/>
      <c r="B180" s="3" t="s">
        <v>15</v>
      </c>
      <c r="R180" s="257" t="str">
        <f xml:space="preserve"> Translate!E$829</f>
        <v>Marginal Effective Tax Rate (METR)</v>
      </c>
      <c r="S180" s="3" t="s">
        <v>24</v>
      </c>
      <c r="T180" s="471">
        <f ca="1" xml:space="preserve"> (T175 - T176) / T175</f>
        <v>0.44963448697682629</v>
      </c>
      <c r="U180" s="60">
        <v>0.58029087469026863</v>
      </c>
      <c r="V180" s="60">
        <v>0.44467328628956032</v>
      </c>
      <c r="W180" s="60">
        <v>0.5766908798308541</v>
      </c>
      <c r="X180" s="60">
        <v>0.54324310639330686</v>
      </c>
      <c r="Y180" s="60">
        <v>0.52055669481745681</v>
      </c>
      <c r="AW180" s="442"/>
    </row>
    <row r="181" spans="1:59" x14ac:dyDescent="0.25">
      <c r="A181" s="1014"/>
      <c r="B181" s="3" t="s">
        <v>5</v>
      </c>
      <c r="AW181" s="442"/>
    </row>
    <row r="182" spans="1:59" x14ac:dyDescent="0.25">
      <c r="A182" s="1014"/>
      <c r="B182" s="3" t="s">
        <v>9</v>
      </c>
      <c r="AW182" s="442"/>
    </row>
    <row r="183" spans="1:59" x14ac:dyDescent="0.25">
      <c r="A183" s="1014"/>
      <c r="B183" s="3" t="s">
        <v>1</v>
      </c>
      <c r="AW183" s="442"/>
    </row>
    <row r="184" spans="1:59" x14ac:dyDescent="0.25">
      <c r="A184" s="1014"/>
      <c r="B184" s="3" t="s">
        <v>3</v>
      </c>
      <c r="AW184" s="442"/>
    </row>
    <row r="185" spans="1:59" x14ac:dyDescent="0.25">
      <c r="A185" s="1014"/>
      <c r="B185" s="3" t="s">
        <v>7</v>
      </c>
      <c r="AW185" s="442"/>
    </row>
    <row r="186" spans="1:59" x14ac:dyDescent="0.25">
      <c r="A186" s="1014"/>
      <c r="AW186" s="442"/>
    </row>
    <row r="187" spans="1:59" x14ac:dyDescent="0.25">
      <c r="A187" s="1014"/>
      <c r="AW187" s="442"/>
    </row>
    <row r="188" spans="1:59" x14ac:dyDescent="0.25">
      <c r="A188" s="1014"/>
      <c r="AW188" s="442"/>
    </row>
    <row r="189" spans="1:59" x14ac:dyDescent="0.25">
      <c r="A189" s="101" t="str">
        <f xml:space="preserve"> Translate!E$620 &amp; ": " &amp; Inputs!F$89 &amp; ", " &amp; Inputs!F$91</f>
        <v>Net present value table: full-cycle, real</v>
      </c>
      <c r="B189" s="42"/>
      <c r="C189" s="2"/>
      <c r="D189" s="42"/>
      <c r="E189" s="42"/>
      <c r="F189" s="939" t="str">
        <f xml:space="preserve"> Translate!E$621</f>
        <v xml:space="preserve">Return to </v>
      </c>
      <c r="G189" s="1015" t="str">
        <f ca="1">$A$1</f>
        <v>Dashboard</v>
      </c>
      <c r="H189" s="42"/>
      <c r="I189" s="42"/>
      <c r="J189" s="42"/>
      <c r="K189" s="42"/>
      <c r="L189" s="42"/>
      <c r="M189" s="42"/>
      <c r="N189" s="42"/>
      <c r="O189" s="42"/>
      <c r="P189" s="42"/>
      <c r="Q189" s="42"/>
      <c r="R189" s="42"/>
      <c r="S189" s="42"/>
      <c r="T189" s="42"/>
      <c r="U189" s="42"/>
      <c r="V189" s="42"/>
      <c r="W189" s="42"/>
      <c r="X189" s="42"/>
      <c r="Y189" s="42"/>
      <c r="Z189" s="42"/>
      <c r="AA189" s="42"/>
      <c r="AB189" s="42"/>
      <c r="AC189" s="42"/>
      <c r="AD189" s="42"/>
      <c r="AE189" s="42"/>
      <c r="AF189" s="42"/>
      <c r="AG189" s="42"/>
      <c r="AH189" s="42"/>
      <c r="AI189" s="42"/>
      <c r="AJ189" s="42"/>
      <c r="AK189" s="42"/>
      <c r="AL189" s="42"/>
      <c r="AM189" s="42"/>
      <c r="AN189" s="42"/>
      <c r="AO189" s="42"/>
      <c r="AP189" s="42"/>
      <c r="AQ189" s="42"/>
      <c r="AR189" s="42"/>
      <c r="AS189" s="42"/>
      <c r="AT189" s="42"/>
      <c r="AU189" s="42"/>
      <c r="AV189" s="42"/>
      <c r="AW189" s="42"/>
      <c r="AX189" s="42"/>
      <c r="AY189" s="42"/>
      <c r="AZ189" s="42"/>
      <c r="BA189" s="42"/>
      <c r="BB189" s="42"/>
      <c r="BC189" s="42"/>
      <c r="BD189" s="42"/>
      <c r="BE189" s="42"/>
      <c r="BF189" s="42"/>
      <c r="BG189" s="42"/>
    </row>
    <row r="190" spans="1:59" x14ac:dyDescent="0.25">
      <c r="A190" s="1014"/>
      <c r="AW190" s="442"/>
    </row>
    <row r="191" spans="1:59" x14ac:dyDescent="0.25">
      <c r="A191" s="1014"/>
      <c r="B191" s="940" t="str">
        <f xml:space="preserve"> Translate!E$639</f>
        <v>Chart details</v>
      </c>
      <c r="U191" s="576" t="str">
        <f xml:space="preserve"> Translate!E$645</f>
        <v>Live results</v>
      </c>
      <c r="V191" s="257" t="str">
        <f xml:space="preserve"> Translate!E$830</f>
        <v>Choose alternative discount rates</v>
      </c>
      <c r="AW191" s="442"/>
    </row>
    <row r="192" spans="1:59" x14ac:dyDescent="0.25">
      <c r="A192" s="1014"/>
      <c r="B192" s="448" t="str">
        <f>A$189</f>
        <v>Net present value table: full-cycle, real</v>
      </c>
      <c r="C192" s="3" t="str">
        <f xml:space="preserve"> Translate!E$640</f>
        <v>Chart title</v>
      </c>
      <c r="R192" s="3" t="str">
        <f xml:space="preserve"> Translate!E$109</f>
        <v>Discount rate</v>
      </c>
      <c r="S192" s="3" t="str">
        <f xml:space="preserve"> "% " &amp; Inputs!F$91</f>
        <v>% real</v>
      </c>
      <c r="U192" s="994">
        <f xml:space="preserve"> C17</f>
        <v>0.08</v>
      </c>
      <c r="V192" s="993">
        <v>0</v>
      </c>
      <c r="W192" s="993">
        <v>0.08</v>
      </c>
      <c r="X192" s="993">
        <v>0.1</v>
      </c>
      <c r="Y192" s="993">
        <v>0.125</v>
      </c>
      <c r="AW192" s="442"/>
    </row>
    <row r="193" spans="1:49" x14ac:dyDescent="0.25">
      <c r="A193" s="1014"/>
      <c r="B193" s="63" t="str">
        <f xml:space="preserve"> Inputs!F$52</f>
        <v>US$ mn 2021</v>
      </c>
      <c r="C193" s="3" t="str">
        <f xml:space="preserve"> Translate!E$641</f>
        <v>Vertical axis 1</v>
      </c>
      <c r="R193" s="3" t="str">
        <f xml:space="preserve"> Analysis!E$185</f>
        <v>Cashflow before decommissioning fund</v>
      </c>
      <c r="S193" s="3" t="str">
        <f xml:space="preserve"> Analysis!G197</f>
        <v>US$ mn 2021 NPV8</v>
      </c>
      <c r="U193" s="326">
        <f ca="1" xml:space="preserve"> Analysis!F197</f>
        <v>9993.7794756460353</v>
      </c>
      <c r="V193" s="447">
        <f t="dataTable" ref="V193:Y201" dt2D="0" dtr="1" r1="C17" ca="1"/>
        <v>29282.023863224542</v>
      </c>
      <c r="W193" s="447">
        <v>9993.7794756460353</v>
      </c>
      <c r="X193" s="447">
        <v>7718.1387287339867</v>
      </c>
      <c r="Y193" s="447">
        <v>5590.1272884930977</v>
      </c>
      <c r="AW193" s="442"/>
    </row>
    <row r="194" spans="1:49" x14ac:dyDescent="0.25">
      <c r="A194" s="1014"/>
      <c r="B194" s="448" t="str">
        <f xml:space="preserve"> S204</f>
        <v>% real</v>
      </c>
      <c r="C194" s="3" t="str">
        <f xml:space="preserve"> Translate!E$642</f>
        <v>Vertical axis 2</v>
      </c>
      <c r="R194" s="3" t="str">
        <f xml:space="preserve"> Analysis!E$186</f>
        <v>Net decommissioning cashflows</v>
      </c>
      <c r="S194" s="3" t="str">
        <f xml:space="preserve"> Analysis!G198</f>
        <v>US$ mn 2021 NPV8</v>
      </c>
      <c r="U194" s="326">
        <f ca="1" xml:space="preserve"> Analysis!F198</f>
        <v>-102.22508741458664</v>
      </c>
      <c r="V194" s="447">
        <v>-15.100000000000165</v>
      </c>
      <c r="W194" s="447">
        <v>-102.22508741458664</v>
      </c>
      <c r="X194" s="447">
        <v>-84.369425527608698</v>
      </c>
      <c r="Y194" s="447">
        <v>-64.241399581716038</v>
      </c>
      <c r="AW194" s="442"/>
    </row>
    <row r="195" spans="1:49" x14ac:dyDescent="0.25">
      <c r="A195" s="1014"/>
      <c r="B195" s="448" t="str">
        <f xml:space="preserve"> R192</f>
        <v>Discount rate</v>
      </c>
      <c r="C195" s="3" t="str">
        <f xml:space="preserve"> Translate!E$643</f>
        <v>Horizontal axis</v>
      </c>
      <c r="R195" s="3" t="str">
        <f xml:space="preserve"> Analysis!E$187</f>
        <v>Government revenues excluding participation</v>
      </c>
      <c r="S195" s="3" t="str">
        <f xml:space="preserve"> Analysis!G199</f>
        <v>US$ mn 2021 NPV8</v>
      </c>
      <c r="U195" s="326">
        <f ca="1" xml:space="preserve"> Analysis!F199</f>
        <v>6243.0321694016075</v>
      </c>
      <c r="V195" s="447">
        <v>16056.404234002974</v>
      </c>
      <c r="W195" s="447">
        <v>6243.0321694016075</v>
      </c>
      <c r="X195" s="447">
        <v>5075.8095083841054</v>
      </c>
      <c r="Y195" s="447">
        <v>3972.7616762811372</v>
      </c>
      <c r="AW195" s="442"/>
    </row>
    <row r="196" spans="1:49" x14ac:dyDescent="0.25">
      <c r="A196" s="1014"/>
      <c r="B196" s="448" t="str">
        <f xml:space="preserve"> Translate!E$112 &amp; ": " &amp; C$7</f>
        <v>Project: 800MMbbl_A</v>
      </c>
      <c r="C196" s="3" t="str">
        <f xml:space="preserve"> Translate!E$644</f>
        <v>Text box</v>
      </c>
      <c r="R196" s="3" t="str">
        <f xml:space="preserve"> Analysis!E$188</f>
        <v>SOC net cash flow before tax, after carried interest, including share of lender cashflows</v>
      </c>
      <c r="S196" s="3" t="str">
        <f xml:space="preserve"> Analysis!G200</f>
        <v>US$ mn 2021 NPV8</v>
      </c>
      <c r="U196" s="326">
        <f ca="1" xml:space="preserve"> Analysis!F200</f>
        <v>1287.7447599378931</v>
      </c>
      <c r="V196" s="447">
        <v>3982.9846625612686</v>
      </c>
      <c r="W196" s="447">
        <v>1287.7447599378931</v>
      </c>
      <c r="X196" s="447">
        <v>979.7664770561496</v>
      </c>
      <c r="Y196" s="447">
        <v>695.27813410012288</v>
      </c>
      <c r="AW196" s="442"/>
    </row>
    <row r="197" spans="1:49" x14ac:dyDescent="0.25">
      <c r="A197" s="1014"/>
      <c r="B197" s="448" t="str">
        <f xml:space="preserve"> Translate!E$832 &amp; ": " &amp; C$6</f>
        <v>Regime: Royalty + CIT</v>
      </c>
      <c r="R197" s="3" t="str">
        <f xml:space="preserve"> Analysis!E$189</f>
        <v>Government revenues including participation</v>
      </c>
      <c r="S197" s="3" t="str">
        <f xml:space="preserve"> Analysis!G201</f>
        <v>US$ mn 2021 NPV8</v>
      </c>
      <c r="U197" s="326">
        <f ca="1" xml:space="preserve"> Analysis!F201</f>
        <v>7530.7769293395004</v>
      </c>
      <c r="V197" s="447">
        <v>20039.388896564244</v>
      </c>
      <c r="W197" s="447">
        <v>7530.7769293395004</v>
      </c>
      <c r="X197" s="447">
        <v>6055.575985440255</v>
      </c>
      <c r="Y197" s="447">
        <v>4668.0398103812604</v>
      </c>
      <c r="AW197" s="442"/>
    </row>
    <row r="198" spans="1:49" x14ac:dyDescent="0.25">
      <c r="A198" s="1014"/>
      <c r="R198" s="3" t="str">
        <f xml:space="preserve"> Analysis!E$190</f>
        <v>Net cashflow after fiscal regime: IOC</v>
      </c>
      <c r="S198" s="3" t="str">
        <f xml:space="preserve"> Analysis!G202</f>
        <v>US$ mn 2021 NPV8</v>
      </c>
      <c r="U198" s="326">
        <f ca="1" xml:space="preserve"> Analysis!F202</f>
        <v>2826.9198732996342</v>
      </c>
      <c r="V198" s="447">
        <v>8704.1330285901367</v>
      </c>
      <c r="W198" s="447">
        <v>2826.9198732996342</v>
      </c>
      <c r="X198" s="447">
        <v>2146.8396776807972</v>
      </c>
      <c r="Y198" s="447">
        <v>1511.1352847986298</v>
      </c>
      <c r="AW198" s="442"/>
    </row>
    <row r="199" spans="1:49" x14ac:dyDescent="0.25">
      <c r="A199" s="1014"/>
      <c r="R199" s="3" t="str">
        <f xml:space="preserve"> Analysis!E$191</f>
        <v>Lender cashflows after interest withholding tax: IOC parent</v>
      </c>
      <c r="S199" s="3" t="str">
        <f xml:space="preserve"> Analysis!G203</f>
        <v>US$ mn 2021 NPV8</v>
      </c>
      <c r="U199" s="326">
        <f ca="1" xml:space="preserve"> Analysis!F203</f>
        <v>-466.14241440768484</v>
      </c>
      <c r="V199" s="447">
        <v>523.4019380701593</v>
      </c>
      <c r="W199" s="447">
        <v>-466.14241440768484</v>
      </c>
      <c r="X199" s="447">
        <v>-568.64635991467514</v>
      </c>
      <c r="Y199" s="447">
        <v>-653.289206268508</v>
      </c>
      <c r="AW199" s="442"/>
    </row>
    <row r="200" spans="1:49" x14ac:dyDescent="0.25">
      <c r="A200" s="1014"/>
      <c r="R200" s="3" t="str">
        <f xml:space="preserve"> Analysis!E$192</f>
        <v>Investors (IOC + Lender)</v>
      </c>
      <c r="S200" s="3" t="str">
        <f xml:space="preserve"> Analysis!G204</f>
        <v>US$ mn 2021 NPV8</v>
      </c>
      <c r="U200" s="326">
        <f ca="1" xml:space="preserve"> Analysis!F204</f>
        <v>2360.7774588919497</v>
      </c>
      <c r="V200" s="447">
        <v>9227.534966660296</v>
      </c>
      <c r="W200" s="447">
        <v>2360.7774588919497</v>
      </c>
      <c r="X200" s="447">
        <v>1578.193317766121</v>
      </c>
      <c r="Y200" s="447">
        <v>857.84607853012085</v>
      </c>
      <c r="AW200" s="442"/>
    </row>
    <row r="201" spans="1:49" x14ac:dyDescent="0.25">
      <c r="A201" s="1014"/>
      <c r="R201" s="3" t="str">
        <f xml:space="preserve"> Analysis!E$193</f>
        <v>Project benefits</v>
      </c>
      <c r="S201" s="3" t="str">
        <f xml:space="preserve"> Analysis!G205</f>
        <v>US$ mn 2021 NPV8</v>
      </c>
      <c r="U201" s="326">
        <f ca="1" xml:space="preserve"> Analysis!F205</f>
        <v>15937.395740169173</v>
      </c>
      <c r="V201" s="447">
        <v>38752.023863224538</v>
      </c>
      <c r="W201" s="447">
        <v>15937.395740169173</v>
      </c>
      <c r="X201" s="447">
        <v>13109.751100564759</v>
      </c>
      <c r="Y201" s="447">
        <v>10402.243871728169</v>
      </c>
      <c r="AW201" s="442"/>
    </row>
    <row r="202" spans="1:49" x14ac:dyDescent="0.25">
      <c r="A202" s="1014"/>
      <c r="R202" s="3" t="s">
        <v>27</v>
      </c>
      <c r="S202" s="3" t="s">
        <v>27</v>
      </c>
      <c r="U202" s="3" t="s">
        <v>27</v>
      </c>
      <c r="V202" s="3" t="s">
        <v>27</v>
      </c>
      <c r="W202" s="3" t="s">
        <v>27</v>
      </c>
      <c r="X202" s="3" t="s">
        <v>27</v>
      </c>
      <c r="Y202" s="3" t="s">
        <v>27</v>
      </c>
      <c r="AW202" s="442"/>
    </row>
    <row r="203" spans="1:49" x14ac:dyDescent="0.25">
      <c r="A203" s="1014"/>
      <c r="R203" s="3" t="str">
        <f>Translate!E$708</f>
        <v>Average effective tax rate (incl. participation)</v>
      </c>
      <c r="S203" s="3" t="str">
        <f xml:space="preserve"> "% " &amp; Inputs!F$91</f>
        <v>% real</v>
      </c>
      <c r="U203" s="446">
        <f ca="1" xml:space="preserve"> U197 / U193</f>
        <v>0.75354643833109825</v>
      </c>
      <c r="V203" s="446">
        <f xml:space="preserve"> V197 / V193</f>
        <v>0.68435805496804558</v>
      </c>
      <c r="W203" s="446">
        <f xml:space="preserve"> W197 / W193</f>
        <v>0.75354643833109825</v>
      </c>
      <c r="X203" s="446">
        <f xml:space="preserve"> X197 / X193</f>
        <v>0.78459019697273003</v>
      </c>
      <c r="Y203" s="446">
        <f xml:space="preserve"> Y197 / Y193</f>
        <v>0.83505071878955373</v>
      </c>
      <c r="AW203" s="442"/>
    </row>
    <row r="204" spans="1:49" x14ac:dyDescent="0.25">
      <c r="A204" s="1014"/>
      <c r="R204" s="257" t="str">
        <f xml:space="preserve"> Translate!E707</f>
        <v>Average effective tax rate (excl. participation)</v>
      </c>
      <c r="S204" s="3" t="str">
        <f xml:space="preserve"> "% " &amp; Inputs!F$91</f>
        <v>% real</v>
      </c>
      <c r="U204" s="446">
        <f ca="1" xml:space="preserve"> U195 / U193</f>
        <v>0.62469180800069979</v>
      </c>
      <c r="V204" s="446">
        <f xml:space="preserve"> V195 / V193</f>
        <v>0.54833655996600361</v>
      </c>
      <c r="W204" s="446">
        <f xml:space="preserve"> W195 / W193</f>
        <v>0.62469180800069979</v>
      </c>
      <c r="X204" s="446">
        <f xml:space="preserve"> X195 / X193</f>
        <v>0.6576468351737822</v>
      </c>
      <c r="Y204" s="446">
        <f xml:space="preserve"> Y195 / Y193</f>
        <v>0.71067463606039893</v>
      </c>
      <c r="AW204" s="442"/>
    </row>
    <row r="205" spans="1:49" x14ac:dyDescent="0.25">
      <c r="A205" s="1014"/>
      <c r="R205" s="3" t="str">
        <f>Translate!E$119</f>
        <v>Government share of project benefits</v>
      </c>
      <c r="S205" s="3" t="str">
        <f xml:space="preserve"> "% " &amp; Inputs!F$91</f>
        <v>% real</v>
      </c>
      <c r="U205" s="446">
        <f ca="1" xml:space="preserve"> U197 / U201</f>
        <v>0.47252242788692667</v>
      </c>
      <c r="V205" s="446">
        <f xml:space="preserve"> V197 / V201</f>
        <v>0.51711851146906207</v>
      </c>
      <c r="W205" s="446">
        <f xml:space="preserve"> W197 / W201</f>
        <v>0.47252242788692667</v>
      </c>
      <c r="X205" s="446">
        <f xml:space="preserve"> X197 / X201</f>
        <v>0.46191387914141135</v>
      </c>
      <c r="Y205" s="446">
        <f xml:space="preserve"> Y197 / Y201</f>
        <v>0.44875316017809713</v>
      </c>
      <c r="AW205" s="442"/>
    </row>
    <row r="206" spans="1:49" x14ac:dyDescent="0.25">
      <c r="A206" s="1014"/>
      <c r="AW206" s="442"/>
    </row>
    <row r="207" spans="1:49" x14ac:dyDescent="0.25">
      <c r="A207" s="1014"/>
      <c r="S207" s="3" t="str">
        <f xml:space="preserve"> Translate!E$604</f>
        <v>Check</v>
      </c>
      <c r="U207" s="71">
        <f ca="1" xml:space="preserve"> IF( ABS(U193 + U194 - SUM(U197:U199)) &gt; CHK_TOL, 1, 0)</f>
        <v>0</v>
      </c>
      <c r="V207" s="71">
        <f xml:space="preserve"> IF( ABS(V193 + V194 - SUM(V197:V199)) &gt; CHK_TOL, 1, 0)</f>
        <v>0</v>
      </c>
      <c r="W207" s="71">
        <f xml:space="preserve"> IF( ABS(W193 + W194 - SUM(W197:W199)) &gt; CHK_TOL, 1, 0)</f>
        <v>0</v>
      </c>
      <c r="X207" s="71">
        <f xml:space="preserve"> IF( ABS(X193 + X194 - SUM(X197:X199)) &gt; CHK_TOL, 1, 0)</f>
        <v>0</v>
      </c>
      <c r="Y207" s="71">
        <f xml:space="preserve"> IF( ABS(Y193 + Y194 - SUM(Y197:Y199)) &gt; CHK_TOL, 1, 0)</f>
        <v>0</v>
      </c>
      <c r="AW207" s="442"/>
    </row>
    <row r="208" spans="1:49" x14ac:dyDescent="0.25">
      <c r="A208" s="1014"/>
      <c r="AW208" s="442"/>
    </row>
    <row r="209" spans="1:59" x14ac:dyDescent="0.25">
      <c r="A209" s="1014"/>
      <c r="AW209" s="442"/>
    </row>
    <row r="210" spans="1:59" x14ac:dyDescent="0.25">
      <c r="A210" s="1014"/>
      <c r="R210" s="3" t="str">
        <f>Translate!E755 &amp; Translate!E$690</f>
        <v>Check: Project totals</v>
      </c>
      <c r="U210" s="45"/>
      <c r="V210" s="71">
        <f ca="1" xml:space="preserve"> IF( SUM(U207:Y207)&lt;CHK_TOL, 0, 1)</f>
        <v>0</v>
      </c>
      <c r="W210" s="45" t="str">
        <f xml:space="preserve"> Translate!E$604</f>
        <v>Check</v>
      </c>
      <c r="AW210" s="442"/>
    </row>
    <row r="211" spans="1:59" x14ac:dyDescent="0.25">
      <c r="A211" s="1014"/>
      <c r="AW211" s="442"/>
    </row>
    <row r="212" spans="1:59" x14ac:dyDescent="0.25">
      <c r="A212" s="101" t="str">
        <f xml:space="preserve"> Translate!E$627 &amp; " (" &amp; Translate!E$628 &amp; ")"</f>
        <v>Expected monetary value (EMV)</v>
      </c>
      <c r="B212" s="42"/>
      <c r="C212" s="2"/>
      <c r="D212" s="42"/>
      <c r="E212" s="42"/>
      <c r="F212" s="939" t="str">
        <f xml:space="preserve"> Translate!E$621</f>
        <v xml:space="preserve">Return to </v>
      </c>
      <c r="G212" s="1015" t="str">
        <f ca="1">$A$1</f>
        <v>Dashboard</v>
      </c>
      <c r="H212" s="42"/>
      <c r="I212" s="42"/>
      <c r="J212" s="42"/>
      <c r="K212" s="42"/>
      <c r="L212" s="42"/>
      <c r="M212" s="42"/>
      <c r="N212" s="42"/>
      <c r="O212" s="42"/>
      <c r="P212" s="42"/>
      <c r="Q212" s="42"/>
      <c r="R212" s="42"/>
      <c r="S212" s="42"/>
      <c r="T212" s="42"/>
      <c r="U212" s="42"/>
      <c r="V212" s="42"/>
      <c r="W212" s="42"/>
      <c r="X212" s="42"/>
      <c r="Y212" s="42"/>
      <c r="Z212" s="42"/>
      <c r="AA212" s="42"/>
      <c r="AB212" s="42"/>
      <c r="AC212" s="42"/>
      <c r="AD212" s="42"/>
      <c r="AE212" s="42"/>
      <c r="AF212" s="42"/>
      <c r="AG212" s="42"/>
      <c r="AH212" s="42"/>
      <c r="AI212" s="42"/>
      <c r="AJ212" s="42"/>
      <c r="AK212" s="42"/>
      <c r="AL212" s="42"/>
      <c r="AM212" s="42"/>
      <c r="AN212" s="42"/>
      <c r="AO212" s="42"/>
      <c r="AP212" s="42"/>
      <c r="AQ212" s="42"/>
      <c r="AR212" s="42"/>
      <c r="AS212" s="42"/>
      <c r="AT212" s="42"/>
      <c r="AU212" s="42"/>
      <c r="AV212" s="42"/>
      <c r="AW212" s="42"/>
      <c r="AX212" s="42"/>
      <c r="AY212" s="42"/>
      <c r="AZ212" s="42"/>
      <c r="BA212" s="42"/>
      <c r="BB212" s="42"/>
      <c r="BC212" s="42"/>
      <c r="BD212" s="42"/>
      <c r="BE212" s="42"/>
      <c r="BF212" s="42"/>
      <c r="BG212" s="42"/>
    </row>
    <row r="213" spans="1:59" x14ac:dyDescent="0.25">
      <c r="A213" s="1014"/>
      <c r="AW213" s="442"/>
    </row>
    <row r="214" spans="1:59" x14ac:dyDescent="0.25">
      <c r="A214" s="1014"/>
      <c r="B214" s="48" t="str">
        <f xml:space="preserve"> Translate!E$629</f>
        <v>Minimum exploration spend</v>
      </c>
      <c r="C214" s="448">
        <v>150</v>
      </c>
      <c r="D214" s="48" t="str">
        <f xml:space="preserve"> Translate!E$603</f>
        <v>US$ mn</v>
      </c>
      <c r="F214"/>
      <c r="G214"/>
      <c r="H214"/>
      <c r="I214"/>
      <c r="J214"/>
      <c r="K214"/>
      <c r="L214"/>
      <c r="AW214" s="442"/>
    </row>
    <row r="215" spans="1:59" x14ac:dyDescent="0.25">
      <c r="A215" s="1014"/>
      <c r="B215" s="3" t="str">
        <f xml:space="preserve"> Translate!E$630</f>
        <v>Chance of success</v>
      </c>
      <c r="C215" s="734">
        <v>0.13</v>
      </c>
      <c r="D215" s="3" t="s">
        <v>24</v>
      </c>
      <c r="F215"/>
      <c r="G215"/>
      <c r="H215"/>
      <c r="I215" s="3" t="str">
        <f xml:space="preserve"> Translate!E$630</f>
        <v>Chance of success</v>
      </c>
      <c r="K215" s="3" t="str">
        <f xml:space="preserve"> Translate!E$637</f>
        <v>Discovery NPV</v>
      </c>
      <c r="AW215" s="442"/>
    </row>
    <row r="216" spans="1:59" x14ac:dyDescent="0.25">
      <c r="A216" s="1014"/>
      <c r="B216" s="3" t="str">
        <f xml:space="preserve"> Translate!E$631</f>
        <v>NPV of success case: Full-cycle</v>
      </c>
      <c r="C216" s="3">
        <f ca="1" xml:space="preserve"> K9</f>
        <v>2360.7774588919497</v>
      </c>
      <c r="D216" s="3" t="str">
        <f xml:space="preserve"> K3</f>
        <v>US$ mn NPV 8.0 real</v>
      </c>
      <c r="F216"/>
      <c r="G216"/>
      <c r="H216"/>
      <c r="I216" s="59">
        <f xml:space="preserve"> C215</f>
        <v>0.13</v>
      </c>
      <c r="K216" s="3">
        <f ca="1" xml:space="preserve"> K9</f>
        <v>2360.7774588919497</v>
      </c>
      <c r="O216"/>
      <c r="AW216" s="442"/>
    </row>
    <row r="217" spans="1:59" x14ac:dyDescent="0.25">
      <c r="A217" s="1014"/>
      <c r="B217" s="3" t="str">
        <f xml:space="preserve"> Translate!E$627</f>
        <v>Expected monetary value</v>
      </c>
      <c r="C217" s="3">
        <f ca="1" xml:space="preserve"> C215 * C216 - ( 1 - C215) * C214</f>
        <v>176.40106965595345</v>
      </c>
      <c r="F217"/>
      <c r="G217"/>
      <c r="H217"/>
      <c r="I217" s="59"/>
      <c r="O217"/>
      <c r="AW217" s="442"/>
    </row>
    <row r="218" spans="1:59" x14ac:dyDescent="0.25">
      <c r="A218" s="1014"/>
      <c r="F218"/>
      <c r="G218"/>
      <c r="H218"/>
      <c r="I218" s="59"/>
      <c r="M218" s="3" t="str">
        <f xml:space="preserve"> Translate!E$632</f>
        <v>EMV parameters</v>
      </c>
      <c r="N218"/>
      <c r="O218"/>
      <c r="AW218" s="442"/>
    </row>
    <row r="219" spans="1:59" x14ac:dyDescent="0.25">
      <c r="A219" s="1014"/>
      <c r="F219"/>
      <c r="G219"/>
      <c r="H219"/>
      <c r="I219" s="59"/>
      <c r="M219" s="3">
        <v>1</v>
      </c>
      <c r="N219" s="3" t="str">
        <f xml:space="preserve"> Translate!E$633</f>
        <v>Expected discovery size and pre-tax NPV</v>
      </c>
      <c r="O219"/>
      <c r="AW219" s="442"/>
    </row>
    <row r="220" spans="1:59" x14ac:dyDescent="0.25">
      <c r="A220" s="1014"/>
      <c r="F220" s="44" t="str">
        <f xml:space="preserve"> Translate!E$627</f>
        <v>Expected monetary value</v>
      </c>
      <c r="G220" s="956">
        <f ca="1" xml:space="preserve"> I216 * K216 + I225 * K225</f>
        <v>176.40106965595345</v>
      </c>
      <c r="H220"/>
      <c r="I220" s="59"/>
      <c r="M220" s="3">
        <v>2</v>
      </c>
      <c r="N220" s="3" t="str">
        <f xml:space="preserve"> Translate!E$634</f>
        <v>AETR in success case</v>
      </c>
      <c r="O220"/>
      <c r="AW220" s="442"/>
    </row>
    <row r="221" spans="1:59" x14ac:dyDescent="0.25">
      <c r="A221" s="1014"/>
      <c r="F221"/>
      <c r="G221"/>
      <c r="H221"/>
      <c r="I221" s="59"/>
      <c r="M221" s="3">
        <v>3</v>
      </c>
      <c r="N221" s="3" t="str">
        <f xml:space="preserve"> Translate!E$635</f>
        <v>Minimum exploration cost</v>
      </c>
      <c r="O221"/>
      <c r="AW221" s="442"/>
    </row>
    <row r="222" spans="1:59" x14ac:dyDescent="0.25">
      <c r="A222" s="1014"/>
      <c r="F222"/>
      <c r="G222"/>
      <c r="H222"/>
      <c r="I222" s="59"/>
      <c r="M222" s="3">
        <v>4</v>
      </c>
      <c r="N222" s="3" t="str">
        <f xml:space="preserve"> Translate!E$636</f>
        <v>Chance of (commercial) Success</v>
      </c>
      <c r="O222"/>
      <c r="AW222" s="442"/>
    </row>
    <row r="223" spans="1:59" x14ac:dyDescent="0.25">
      <c r="A223" s="1014"/>
      <c r="F223"/>
      <c r="G223"/>
      <c r="H223"/>
      <c r="I223" s="59"/>
      <c r="O223"/>
      <c r="AW223" s="442"/>
    </row>
    <row r="224" spans="1:59" x14ac:dyDescent="0.25">
      <c r="A224" s="1014"/>
      <c r="F224"/>
      <c r="G224"/>
      <c r="H224"/>
      <c r="I224" s="59" t="str">
        <f xml:space="preserve"> Translate!E$630</f>
        <v>Chance of success</v>
      </c>
      <c r="K224" s="3" t="str">
        <f xml:space="preserve"> Translate!E$638</f>
        <v>dry hole</v>
      </c>
      <c r="O224"/>
      <c r="AW224" s="442"/>
    </row>
    <row r="225" spans="1:59" x14ac:dyDescent="0.25">
      <c r="A225" s="1014"/>
      <c r="F225"/>
      <c r="G225"/>
      <c r="H225"/>
      <c r="I225" s="59">
        <f xml:space="preserve">  1 - I216</f>
        <v>0.87</v>
      </c>
      <c r="K225" s="3">
        <f xml:space="preserve"> C214 * -1</f>
        <v>-150</v>
      </c>
      <c r="O225"/>
      <c r="AW225" s="442"/>
    </row>
    <row r="226" spans="1:59" x14ac:dyDescent="0.25">
      <c r="A226" s="1014"/>
      <c r="O226"/>
      <c r="AW226" s="442"/>
    </row>
    <row r="227" spans="1:59" x14ac:dyDescent="0.25">
      <c r="A227" s="1014"/>
      <c r="B227" s="41"/>
      <c r="C227" s="41"/>
      <c r="D227" s="41"/>
      <c r="E227" s="41"/>
      <c r="F227" s="41"/>
      <c r="G227" s="41"/>
      <c r="H227" s="41"/>
      <c r="I227" s="41"/>
      <c r="J227" s="41"/>
      <c r="K227" s="41"/>
      <c r="L227" s="41"/>
      <c r="M227" s="41"/>
      <c r="N227" s="41"/>
      <c r="O227" s="41"/>
      <c r="P227" s="41"/>
      <c r="Q227" s="41"/>
      <c r="R227" s="41"/>
      <c r="S227" s="41"/>
      <c r="T227" s="41"/>
      <c r="U227" s="41"/>
      <c r="V227" s="41"/>
      <c r="W227" s="41"/>
      <c r="X227" s="41"/>
      <c r="Y227" s="41"/>
      <c r="Z227" s="41"/>
      <c r="AA227" s="41"/>
      <c r="AB227" s="41"/>
      <c r="AC227" s="41"/>
      <c r="AD227" s="41"/>
      <c r="AE227" s="41"/>
      <c r="AF227" s="41"/>
      <c r="AG227" s="41"/>
      <c r="AH227" s="41"/>
      <c r="AI227" s="41"/>
      <c r="AJ227" s="41"/>
      <c r="AK227" s="41"/>
      <c r="AL227" s="41"/>
      <c r="AM227" s="41"/>
      <c r="AN227" s="41"/>
      <c r="AO227" s="41"/>
      <c r="AP227" s="41"/>
      <c r="AQ227" s="41"/>
      <c r="AR227" s="41"/>
      <c r="AS227" s="41"/>
      <c r="AT227" s="41"/>
      <c r="AU227" s="41"/>
      <c r="AV227" s="41"/>
      <c r="AW227" s="41"/>
      <c r="AX227" s="41"/>
      <c r="AY227" s="41"/>
      <c r="AZ227" s="41"/>
      <c r="BA227" s="41"/>
      <c r="BB227" s="41"/>
      <c r="BC227" s="41"/>
      <c r="BD227" s="41"/>
      <c r="BE227" s="41"/>
      <c r="BF227" s="41"/>
      <c r="BG227" s="41"/>
    </row>
  </sheetData>
  <dataConsolidate/>
  <mergeCells count="9">
    <mergeCell ref="L4:L5"/>
    <mergeCell ref="I3:J3"/>
    <mergeCell ref="K3:L3"/>
    <mergeCell ref="G3:H3"/>
    <mergeCell ref="G4:G5"/>
    <mergeCell ref="I4:I5"/>
    <mergeCell ref="K4:K5"/>
    <mergeCell ref="H4:H5"/>
    <mergeCell ref="J4:J5"/>
  </mergeCells>
  <conditionalFormatting sqref="K56">
    <cfRule type="cellIs" dxfId="265" priority="40" stopIfTrue="1" operator="notEqual">
      <formula>0</formula>
    </cfRule>
    <cfRule type="cellIs" dxfId="264" priority="41" stopIfTrue="1" operator="equal">
      <formula>""</formula>
    </cfRule>
  </conditionalFormatting>
  <conditionalFormatting sqref="K50:K51 K56">
    <cfRule type="cellIs" dxfId="263" priority="38" stopIfTrue="1" operator="notEqual">
      <formula>0</formula>
    </cfRule>
    <cfRule type="cellIs" dxfId="262" priority="39" stopIfTrue="1" operator="equal">
      <formula>""</formula>
    </cfRule>
  </conditionalFormatting>
  <conditionalFormatting sqref="C1">
    <cfRule type="cellIs" dxfId="261" priority="28" stopIfTrue="1" operator="notEqual">
      <formula>0</formula>
    </cfRule>
    <cfRule type="cellIs" dxfId="260" priority="29" stopIfTrue="1" operator="equal">
      <formula>""</formula>
    </cfRule>
  </conditionalFormatting>
  <conditionalFormatting sqref="C1">
    <cfRule type="cellIs" dxfId="259" priority="26" stopIfTrue="1" operator="notEqual">
      <formula>0</formula>
    </cfRule>
    <cfRule type="cellIs" dxfId="258" priority="27" stopIfTrue="1" operator="equal">
      <formula>""</formula>
    </cfRule>
  </conditionalFormatting>
  <conditionalFormatting sqref="K53:K54">
    <cfRule type="cellIs" dxfId="257" priority="22" stopIfTrue="1" operator="notEqual">
      <formula>0</formula>
    </cfRule>
    <cfRule type="cellIs" dxfId="256" priority="23" stopIfTrue="1" operator="equal">
      <formula>""</formula>
    </cfRule>
  </conditionalFormatting>
  <conditionalFormatting sqref="K52">
    <cfRule type="cellIs" dxfId="255" priority="14" stopIfTrue="1" operator="notEqual">
      <formula>0</formula>
    </cfRule>
    <cfRule type="cellIs" dxfId="254" priority="15" stopIfTrue="1" operator="equal">
      <formula>""</formula>
    </cfRule>
  </conditionalFormatting>
  <conditionalFormatting sqref="I16:L17">
    <cfRule type="cellIs" dxfId="253" priority="12" stopIfTrue="1" operator="notEqual">
      <formula>0</formula>
    </cfRule>
    <cfRule type="cellIs" dxfId="252" priority="13" stopIfTrue="1" operator="equal">
      <formula>""</formula>
    </cfRule>
  </conditionalFormatting>
  <conditionalFormatting sqref="U207:Y207">
    <cfRule type="cellIs" dxfId="251" priority="10" stopIfTrue="1" operator="notEqual">
      <formula>0</formula>
    </cfRule>
    <cfRule type="cellIs" dxfId="250" priority="11" stopIfTrue="1" operator="equal">
      <formula>""</formula>
    </cfRule>
  </conditionalFormatting>
  <conditionalFormatting sqref="V210">
    <cfRule type="cellIs" dxfId="249" priority="8" stopIfTrue="1" operator="notEqual">
      <formula>0</formula>
    </cfRule>
    <cfRule type="cellIs" dxfId="248" priority="9" stopIfTrue="1" operator="equal">
      <formula>""</formula>
    </cfRule>
  </conditionalFormatting>
  <conditionalFormatting sqref="J1">
    <cfRule type="cellIs" dxfId="247" priority="6" stopIfTrue="1" operator="notEqual">
      <formula>0</formula>
    </cfRule>
    <cfRule type="cellIs" dxfId="246" priority="7" stopIfTrue="1" operator="equal">
      <formula>""</formula>
    </cfRule>
  </conditionalFormatting>
  <conditionalFormatting sqref="C22">
    <cfRule type="cellIs" dxfId="245" priority="5" operator="greaterThan">
      <formula>0</formula>
    </cfRule>
  </conditionalFormatting>
  <conditionalFormatting sqref="C23">
    <cfRule type="cellIs" dxfId="244" priority="3" operator="greaterThan">
      <formula>0</formula>
    </cfRule>
  </conditionalFormatting>
  <conditionalFormatting sqref="C152">
    <cfRule type="expression" dxfId="243" priority="1">
      <formula>($C$152=1)</formula>
    </cfRule>
    <cfRule type="expression" dxfId="242" priority="2">
      <formula>($C$152=0)</formula>
    </cfRule>
  </conditionalFormatting>
  <dataValidations disablePrompts="1" count="1">
    <dataValidation type="list" allowBlank="1" showInputMessage="1" showErrorMessage="1" sqref="B151" xr:uid="{00000000-0002-0000-0800-000000000000}">
      <formula1>$B$146:$B$149</formula1>
    </dataValidation>
  </dataValidations>
  <hyperlinks>
    <hyperlink ref="B49" location="Dashboard!A61" display="Dashboard!A61" xr:uid="{B2DDCCBE-068F-4DF8-9683-B2559A23CF3E}"/>
    <hyperlink ref="B50" location="Dashboard!A94" display="Dashboard!A94" xr:uid="{1D48BBBC-0595-4DA8-AB02-5F0125B978CD}"/>
    <hyperlink ref="B51" location="Dashboard!A119" display="Dashboard!A119" xr:uid="{8DDBE462-5475-419C-B2C4-319D65AEE702}"/>
    <hyperlink ref="B52" location="Dashboard!A144" display="Dashboard!A144" xr:uid="{49B0B923-8840-47C2-8455-6CA7B8F68FE4}"/>
    <hyperlink ref="B53" location="Dashboard!A168" display="Dashboard!A168" xr:uid="{721127F4-AC04-4264-8354-E846754442F7}"/>
    <hyperlink ref="B54" location="Dashboard!A190" display="Dashboard!A190" xr:uid="{AF224A07-7997-4875-8533-13290FF5DF62}"/>
    <hyperlink ref="B55" location="Dashboard!A213" display="Dashboard!A213" xr:uid="{257EE168-A044-4F2C-ACCD-297177217239}"/>
    <hyperlink ref="G60" location="Dashboard!A1" display="Dashboard!A1" xr:uid="{770746D1-6439-4DA5-8289-C34DB91075BE}"/>
    <hyperlink ref="G93" location="Dashboard!A1" display="Dashboard!A1" xr:uid="{D7133232-F72B-49A9-B0C1-AC8A22BE8854}"/>
    <hyperlink ref="G118" location="Dashboard!A1" display="Dashboard!A1" xr:uid="{4BA15F8D-4B15-4484-BEF5-E84C5F447A99}"/>
    <hyperlink ref="G143" location="Dashboard!A1" display="Dashboard!A1" xr:uid="{33B23FCF-1B84-49FD-8CCB-370696298FB7}"/>
    <hyperlink ref="G167" location="Dashboard!A1" display="Dashboard!A1" xr:uid="{C3703295-9EC1-49CD-B295-DE05BCABF500}"/>
    <hyperlink ref="G189" location="Dashboard!A1" display="Dashboard!A1" xr:uid="{8C9599C7-AE84-4D1F-8FD2-C9A748D0ABF4}"/>
    <hyperlink ref="G212" location="Dashboard!A1" display="Dashboard!A1" xr:uid="{B8E6BAB2-3DA8-43D6-9F78-34D070F2321E}"/>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36" r:id="rId4" name="Button 16">
              <controlPr defaultSize="0" print="0" autoFill="0" autoPict="0" macro="[0]!BreakevenPrice">
                <anchor moveWithCells="1" sizeWithCells="1">
                  <from>
                    <xdr:col>1</xdr:col>
                    <xdr:colOff>95250</xdr:colOff>
                    <xdr:row>167</xdr:row>
                    <xdr:rowOff>88900</xdr:rowOff>
                  </from>
                  <to>
                    <xdr:col>1</xdr:col>
                    <xdr:colOff>723900</xdr:colOff>
                    <xdr:row>169</xdr:row>
                    <xdr:rowOff>31750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800-000002000000}">
          <x14:formula1>
            <xm:f>Inputs!$F$18:$F$27</xm:f>
          </x14:formula1>
          <xm:sqref>C7</xm:sqref>
        </x14:dataValidation>
        <x14:dataValidation type="list" allowBlank="1" showInputMessage="1" showErrorMessage="1" xr:uid="{00000000-0002-0000-0800-000001000000}">
          <x14:formula1>
            <xm:f>FiscalModel!$K$11:$AX$11</xm:f>
          </x14:formula1>
          <xm:sqref>C6 U63:Y63 AA62:AA63</xm:sqref>
        </x14:dataValidation>
        <x14:dataValidation type="list" allowBlank="1" showInputMessage="1" showErrorMessage="1" xr:uid="{0FE8040C-8404-4559-80A0-502C32B77E8E}">
          <x14:formula1>
            <xm:f>Inputs!$F$96:$F$98</xm:f>
          </x14:formula1>
          <xm:sqref>C4:C5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rgb="FFFFFFCC"/>
    <pageSetUpPr autoPageBreaks="0"/>
  </sheetPr>
  <dimension ref="A1:AX108"/>
  <sheetViews>
    <sheetView zoomScale="85" zoomScaleNormal="85" workbookViewId="0">
      <pane xSplit="10" ySplit="3" topLeftCell="K25" activePane="bottomRight" state="frozen"/>
      <selection pane="topRight" activeCell="H20" sqref="H20"/>
      <selection pane="bottomLeft" activeCell="H20" sqref="H20"/>
      <selection pane="bottomRight" activeCell="F46" sqref="F46"/>
    </sheetView>
  </sheetViews>
  <sheetFormatPr defaultColWidth="0" defaultRowHeight="14.5" outlineLevelCol="1" x14ac:dyDescent="0.25"/>
  <cols>
    <col min="1" max="1" width="1.26953125" style="86" customWidth="1"/>
    <col min="2" max="2" width="1.26953125" style="87" customWidth="1"/>
    <col min="3" max="3" width="1.26953125" style="88" customWidth="1"/>
    <col min="4" max="4" width="1.26953125" style="89" customWidth="1"/>
    <col min="5" max="5" width="50.7265625" style="89" customWidth="1"/>
    <col min="6" max="6" width="12.7265625" style="89" customWidth="1"/>
    <col min="7" max="7" width="15.7265625" style="90" customWidth="1"/>
    <col min="8" max="8" width="40.7265625" style="90" hidden="1" customWidth="1" outlineLevel="1"/>
    <col min="9" max="9" width="12.7265625" style="90" customWidth="1" collapsed="1"/>
    <col min="10" max="10" width="3.7265625" style="90" customWidth="1"/>
    <col min="11" max="12" width="10.7265625" style="89" customWidth="1"/>
    <col min="13" max="13" width="10.7265625" style="91" customWidth="1"/>
    <col min="14" max="50" width="10.7265625" style="89" customWidth="1"/>
    <col min="51" max="16384" width="9.1796875" style="3" hidden="1"/>
  </cols>
  <sheetData>
    <row r="1" spans="1:50" s="373" customFormat="1" x14ac:dyDescent="0.25">
      <c r="A1" s="396" t="str">
        <f ca="1" xml:space="preserve"> RIGHT( CELL("filename",$A$1), LEN( CELL("filename",$A$1)) - SEARCH("]", CELL("filename",$A$1)))</f>
        <v>Inputs</v>
      </c>
      <c r="B1" s="375"/>
      <c r="C1" s="397"/>
      <c r="D1" s="364"/>
      <c r="E1" s="364"/>
      <c r="F1" s="364"/>
      <c r="G1" s="364"/>
      <c r="H1" s="364"/>
      <c r="I1" s="364"/>
      <c r="J1" s="364"/>
      <c r="K1" s="364">
        <f xml:space="preserve"> ProjectCashflows!K$34</f>
        <v>2021</v>
      </c>
      <c r="L1" s="364">
        <f xml:space="preserve"> ProjectCashflows!L$34</f>
        <v>2022</v>
      </c>
      <c r="M1" s="364">
        <f xml:space="preserve"> ProjectCashflows!M$34</f>
        <v>2023</v>
      </c>
      <c r="N1" s="364">
        <f xml:space="preserve"> ProjectCashflows!N$34</f>
        <v>2024</v>
      </c>
      <c r="O1" s="364">
        <f xml:space="preserve"> ProjectCashflows!O$34</f>
        <v>2025</v>
      </c>
      <c r="P1" s="364">
        <f xml:space="preserve"> ProjectCashflows!P$34</f>
        <v>2026</v>
      </c>
      <c r="Q1" s="364">
        <f xml:space="preserve"> ProjectCashflows!Q$34</f>
        <v>2027</v>
      </c>
      <c r="R1" s="364">
        <f xml:space="preserve"> ProjectCashflows!R$34</f>
        <v>2028</v>
      </c>
      <c r="S1" s="364">
        <f xml:space="preserve"> ProjectCashflows!S$34</f>
        <v>2029</v>
      </c>
      <c r="T1" s="364">
        <f xml:space="preserve"> ProjectCashflows!T$34</f>
        <v>2030</v>
      </c>
      <c r="U1" s="364">
        <f xml:space="preserve"> ProjectCashflows!U$34</f>
        <v>2031</v>
      </c>
      <c r="V1" s="364">
        <f xml:space="preserve"> ProjectCashflows!V$34</f>
        <v>2032</v>
      </c>
      <c r="W1" s="364">
        <f xml:space="preserve"> ProjectCashflows!W$34</f>
        <v>2033</v>
      </c>
      <c r="X1" s="364">
        <f xml:space="preserve"> ProjectCashflows!X$34</f>
        <v>2034</v>
      </c>
      <c r="Y1" s="364">
        <f xml:space="preserve"> ProjectCashflows!Y$34</f>
        <v>2035</v>
      </c>
      <c r="Z1" s="364">
        <f xml:space="preserve"> ProjectCashflows!Z$34</f>
        <v>2036</v>
      </c>
      <c r="AA1" s="364">
        <f xml:space="preserve"> ProjectCashflows!AA$34</f>
        <v>2037</v>
      </c>
      <c r="AB1" s="364">
        <f xml:space="preserve"> ProjectCashflows!AB$34</f>
        <v>2038</v>
      </c>
      <c r="AC1" s="364">
        <f xml:space="preserve"> ProjectCashflows!AC$34</f>
        <v>2039</v>
      </c>
      <c r="AD1" s="364">
        <f xml:space="preserve"> ProjectCashflows!AD$34</f>
        <v>2040</v>
      </c>
      <c r="AE1" s="364">
        <f xml:space="preserve"> ProjectCashflows!AE$34</f>
        <v>2041</v>
      </c>
      <c r="AF1" s="364">
        <f xml:space="preserve"> ProjectCashflows!AF$34</f>
        <v>2042</v>
      </c>
      <c r="AG1" s="364">
        <f xml:space="preserve"> ProjectCashflows!AG$34</f>
        <v>2043</v>
      </c>
      <c r="AH1" s="364">
        <f xml:space="preserve"> ProjectCashflows!AH$34</f>
        <v>2044</v>
      </c>
      <c r="AI1" s="364">
        <f xml:space="preserve"> ProjectCashflows!AI$34</f>
        <v>2045</v>
      </c>
      <c r="AJ1" s="364">
        <f xml:space="preserve"> ProjectCashflows!AJ$34</f>
        <v>2046</v>
      </c>
      <c r="AK1" s="364">
        <f xml:space="preserve"> ProjectCashflows!AK$34</f>
        <v>2047</v>
      </c>
      <c r="AL1" s="364">
        <f xml:space="preserve"> ProjectCashflows!AL$34</f>
        <v>2048</v>
      </c>
      <c r="AM1" s="364">
        <f xml:space="preserve"> ProjectCashflows!AM$34</f>
        <v>2049</v>
      </c>
      <c r="AN1" s="364">
        <f xml:space="preserve"> ProjectCashflows!AN$34</f>
        <v>2050</v>
      </c>
      <c r="AO1" s="364">
        <f xml:space="preserve"> ProjectCashflows!AO$34</f>
        <v>2051</v>
      </c>
      <c r="AP1" s="364">
        <f xml:space="preserve"> ProjectCashflows!AP$34</f>
        <v>2052</v>
      </c>
      <c r="AQ1" s="364">
        <f xml:space="preserve"> ProjectCashflows!AQ$34</f>
        <v>2053</v>
      </c>
      <c r="AR1" s="364">
        <f xml:space="preserve"> ProjectCashflows!AR$34</f>
        <v>2054</v>
      </c>
      <c r="AS1" s="364">
        <f xml:space="preserve"> ProjectCashflows!AS$34</f>
        <v>2055</v>
      </c>
      <c r="AT1" s="364">
        <f xml:space="preserve"> ProjectCashflows!AT$34</f>
        <v>2056</v>
      </c>
      <c r="AU1" s="364">
        <f xml:space="preserve"> ProjectCashflows!AU$34</f>
        <v>2057</v>
      </c>
      <c r="AV1" s="364">
        <f xml:space="preserve"> ProjectCashflows!AV$34</f>
        <v>2058</v>
      </c>
      <c r="AW1" s="364">
        <f xml:space="preserve"> ProjectCashflows!AW$34</f>
        <v>2059</v>
      </c>
      <c r="AX1" s="364">
        <f xml:space="preserve"> ProjectCashflows!AX$34</f>
        <v>2060</v>
      </c>
    </row>
    <row r="2" spans="1:50" x14ac:dyDescent="0.25">
      <c r="E2" s="3" t="str">
        <f xml:space="preserve"> Translate!E$597</f>
        <v>Row description</v>
      </c>
      <c r="F2" s="250" t="str">
        <f xml:space="preserve"> Translate!E$598</f>
        <v>Constant</v>
      </c>
      <c r="G2" s="931" t="str">
        <f xml:space="preserve"> Translate!E$599</f>
        <v>Units</v>
      </c>
      <c r="H2" s="931" t="str">
        <f xml:space="preserve"> Translate!E$600</f>
        <v>Comments</v>
      </c>
      <c r="I2" s="932" t="str">
        <f xml:space="preserve"> Translate!E$601</f>
        <v>Total</v>
      </c>
    </row>
    <row r="3" spans="1:50" ht="15" customHeight="1" x14ac:dyDescent="0.25">
      <c r="F3" s="92">
        <f ca="1" xml:space="preserve"> ReadMe!$D$7</f>
        <v>0</v>
      </c>
      <c r="G3" s="90" t="str">
        <f xml:space="preserve"> ReadMe!$E$7</f>
        <v>Checks</v>
      </c>
      <c r="K3" s="465">
        <f ca="1" xml:space="preserve"> Track!F$1</f>
        <v>0</v>
      </c>
      <c r="L3" s="89" t="str">
        <f xml:space="preserve"> Track!G$1</f>
        <v>Track changes</v>
      </c>
    </row>
    <row r="4" spans="1:50" ht="15" customHeight="1" x14ac:dyDescent="0.25">
      <c r="A4" s="89"/>
      <c r="G4" s="89"/>
      <c r="H4" s="89"/>
      <c r="I4" s="89"/>
      <c r="J4" s="89"/>
      <c r="M4" s="89"/>
    </row>
    <row r="5" spans="1:50" ht="15" customHeight="1" x14ac:dyDescent="0.25">
      <c r="A5" s="99" t="str">
        <f xml:space="preserve"> Translate!E$571</f>
        <v>Model timeline</v>
      </c>
      <c r="B5" s="99"/>
      <c r="C5" s="100"/>
      <c r="D5" s="99"/>
      <c r="E5" s="99"/>
      <c r="F5" s="99"/>
      <c r="G5" s="99"/>
      <c r="H5" s="99"/>
      <c r="I5" s="99"/>
      <c r="J5" s="99"/>
      <c r="M5" s="89"/>
    </row>
    <row r="6" spans="1:50" s="45" customFormat="1" ht="15" customHeight="1" x14ac:dyDescent="0.25">
      <c r="A6" s="85"/>
      <c r="B6" s="85"/>
      <c r="C6" s="84"/>
      <c r="D6" s="85"/>
      <c r="E6" s="85"/>
      <c r="F6" s="85"/>
      <c r="G6" s="85"/>
      <c r="H6" s="85"/>
      <c r="I6" s="85"/>
      <c r="J6" s="85"/>
      <c r="K6" s="85"/>
      <c r="L6" s="85"/>
      <c r="M6" s="85"/>
      <c r="N6" s="85"/>
      <c r="O6" s="85"/>
      <c r="P6" s="85"/>
      <c r="Q6" s="85"/>
      <c r="R6" s="85"/>
      <c r="S6" s="85"/>
      <c r="T6" s="85"/>
      <c r="U6" s="85"/>
      <c r="V6" s="85"/>
      <c r="W6" s="85"/>
      <c r="X6" s="85"/>
      <c r="Y6" s="85"/>
      <c r="Z6" s="85"/>
      <c r="AA6" s="85"/>
      <c r="AB6" s="85"/>
      <c r="AC6" s="85"/>
      <c r="AD6" s="85"/>
      <c r="AE6" s="85"/>
      <c r="AF6" s="85"/>
      <c r="AG6" s="85"/>
      <c r="AH6" s="85"/>
      <c r="AI6" s="85"/>
      <c r="AJ6" s="85"/>
      <c r="AK6" s="85"/>
      <c r="AL6" s="85"/>
      <c r="AM6" s="85"/>
      <c r="AN6" s="85"/>
      <c r="AO6" s="85"/>
      <c r="AP6" s="85"/>
      <c r="AQ6" s="85"/>
      <c r="AR6" s="85"/>
      <c r="AS6" s="85"/>
      <c r="AT6" s="85"/>
      <c r="AU6" s="85"/>
      <c r="AV6" s="85"/>
      <c r="AW6" s="85"/>
      <c r="AX6" s="85"/>
    </row>
    <row r="7" spans="1:50" s="45" customFormat="1" ht="15" customHeight="1" x14ac:dyDescent="0.25">
      <c r="A7" s="85"/>
      <c r="B7" s="85"/>
      <c r="C7" s="84"/>
      <c r="D7" s="85"/>
      <c r="E7" s="85" t="str">
        <f>Translate!E550</f>
        <v>Model first calendar year</v>
      </c>
      <c r="F7" s="309">
        <v>2021</v>
      </c>
      <c r="G7" s="85" t="str">
        <f xml:space="preserve"> Translate!E$609</f>
        <v>Calendar year</v>
      </c>
      <c r="H7" s="85"/>
      <c r="I7" s="85"/>
      <c r="J7" s="85"/>
      <c r="K7" s="85"/>
      <c r="L7" s="85"/>
      <c r="M7" s="85"/>
      <c r="N7" s="85"/>
      <c r="O7" s="85"/>
      <c r="P7" s="85"/>
      <c r="Q7" s="85"/>
      <c r="R7" s="85"/>
      <c r="S7" s="85"/>
      <c r="T7" s="85"/>
      <c r="U7" s="85"/>
      <c r="V7" s="85"/>
      <c r="W7" s="85"/>
      <c r="X7" s="85"/>
      <c r="Y7" s="85"/>
      <c r="Z7" s="85"/>
      <c r="AA7" s="85"/>
      <c r="AB7" s="85"/>
      <c r="AC7" s="85"/>
      <c r="AD7" s="85"/>
      <c r="AE7" s="85"/>
      <c r="AF7" s="85"/>
      <c r="AG7" s="85"/>
      <c r="AH7" s="85"/>
      <c r="AI7" s="85"/>
      <c r="AJ7" s="85"/>
      <c r="AK7" s="85"/>
      <c r="AL7" s="85"/>
      <c r="AM7" s="85"/>
      <c r="AN7" s="85"/>
      <c r="AO7" s="85"/>
      <c r="AP7" s="85"/>
      <c r="AQ7" s="85"/>
      <c r="AR7" s="85"/>
      <c r="AS7" s="85"/>
      <c r="AT7" s="85"/>
      <c r="AU7" s="85"/>
      <c r="AV7" s="85"/>
      <c r="AW7" s="85"/>
      <c r="AX7" s="85"/>
    </row>
    <row r="8" spans="1:50" s="257" customFormat="1" ht="15" customHeight="1" x14ac:dyDescent="0.25">
      <c r="A8" s="85"/>
      <c r="B8" s="85"/>
      <c r="C8" s="84"/>
      <c r="D8" s="85"/>
      <c r="E8" s="85"/>
      <c r="F8" s="85"/>
      <c r="G8" s="85"/>
      <c r="H8" s="85"/>
      <c r="I8" s="85"/>
      <c r="J8" s="85"/>
      <c r="K8" s="85"/>
      <c r="L8" s="85"/>
      <c r="M8" s="85"/>
      <c r="N8" s="85"/>
      <c r="O8" s="85"/>
      <c r="P8" s="85"/>
      <c r="Q8" s="85"/>
      <c r="R8" s="85"/>
      <c r="S8" s="85"/>
      <c r="T8" s="85"/>
      <c r="U8" s="85"/>
      <c r="V8" s="85"/>
      <c r="W8" s="85"/>
      <c r="X8" s="85"/>
      <c r="Y8" s="85"/>
      <c r="Z8" s="85"/>
      <c r="AA8" s="85"/>
      <c r="AB8" s="85"/>
      <c r="AC8" s="85"/>
      <c r="AD8" s="85"/>
      <c r="AE8" s="85"/>
      <c r="AF8" s="85"/>
      <c r="AG8" s="85"/>
      <c r="AH8" s="85"/>
      <c r="AI8" s="85"/>
      <c r="AJ8" s="85"/>
      <c r="AK8" s="85"/>
      <c r="AL8" s="85"/>
      <c r="AM8" s="85"/>
      <c r="AN8" s="85"/>
      <c r="AO8" s="85"/>
      <c r="AP8" s="85"/>
      <c r="AQ8" s="85"/>
      <c r="AR8" s="85"/>
      <c r="AS8" s="85"/>
      <c r="AT8" s="85"/>
      <c r="AU8" s="85"/>
      <c r="AV8" s="85"/>
      <c r="AW8" s="85"/>
      <c r="AX8" s="85"/>
    </row>
    <row r="9" spans="1:50" ht="15" customHeight="1" x14ac:dyDescent="0.25">
      <c r="A9" s="99" t="str">
        <f xml:space="preserve"> Translate!E$749</f>
        <v>Project selection and sensitivities</v>
      </c>
      <c r="B9" s="99"/>
      <c r="C9" s="100"/>
      <c r="D9" s="99"/>
      <c r="E9" s="99"/>
      <c r="F9" s="99"/>
      <c r="G9" s="99"/>
      <c r="H9" s="99"/>
      <c r="I9" s="99"/>
      <c r="J9" s="99"/>
      <c r="M9" s="89"/>
    </row>
    <row r="10" spans="1:50" ht="15" customHeight="1" x14ac:dyDescent="0.25">
      <c r="A10" s="130"/>
      <c r="B10" s="131"/>
      <c r="C10" s="132"/>
      <c r="D10" s="133"/>
      <c r="G10" s="89"/>
      <c r="H10" s="134"/>
      <c r="I10" s="134"/>
      <c r="J10" s="134"/>
      <c r="M10" s="89"/>
    </row>
    <row r="11" spans="1:50" ht="15" customHeight="1" x14ac:dyDescent="0.25">
      <c r="A11" s="130"/>
      <c r="B11" s="87" t="str">
        <f xml:space="preserve"> Dashboard!B$7</f>
        <v>Selected project</v>
      </c>
      <c r="C11" s="132"/>
      <c r="D11" s="133"/>
      <c r="G11" s="89"/>
      <c r="H11" s="134"/>
      <c r="I11" s="134"/>
      <c r="J11" s="134"/>
      <c r="M11" s="89"/>
    </row>
    <row r="12" spans="1:50" ht="15" customHeight="1" x14ac:dyDescent="0.25">
      <c r="A12" s="89"/>
      <c r="E12" s="135" t="str">
        <f xml:space="preserve"> Dashboard!B$7</f>
        <v>Selected project</v>
      </c>
      <c r="F12" s="136" t="str">
        <f xml:space="preserve"> Dashboard!C$7</f>
        <v>800MMbbl_A</v>
      </c>
      <c r="G12" s="137" t="str">
        <f xml:space="preserve"> Dashboard!D$7</f>
        <v>Option</v>
      </c>
      <c r="H12" s="89"/>
      <c r="I12" s="89"/>
      <c r="J12" s="89"/>
      <c r="M12" s="89"/>
    </row>
    <row r="13" spans="1:50" ht="15" customHeight="1" x14ac:dyDescent="0.25">
      <c r="A13" s="89"/>
      <c r="G13" s="89"/>
      <c r="H13" s="89"/>
      <c r="I13" s="89"/>
      <c r="J13" s="89"/>
      <c r="M13" s="89"/>
    </row>
    <row r="14" spans="1:50" ht="15" customHeight="1" x14ac:dyDescent="0.25">
      <c r="A14" s="89"/>
      <c r="B14" s="87" t="str">
        <f xml:space="preserve"> Translate!E$760</f>
        <v>Project data location</v>
      </c>
      <c r="G14" s="89"/>
      <c r="H14" s="89"/>
      <c r="I14" s="89"/>
      <c r="J14" s="89"/>
      <c r="M14" s="89"/>
    </row>
    <row r="15" spans="1:50" ht="15" customHeight="1" x14ac:dyDescent="0.25">
      <c r="A15" s="89"/>
      <c r="E15" s="85" t="str">
        <f xml:space="preserve"> Translate!E$722</f>
        <v>First row of project data</v>
      </c>
      <c r="F15" s="348">
        <v>9</v>
      </c>
      <c r="G15" s="89" t="str">
        <f xml:space="preserve"> Translate!E$775</f>
        <v>row</v>
      </c>
      <c r="H15" s="89"/>
      <c r="I15" s="89"/>
      <c r="J15" s="89"/>
      <c r="M15" s="89"/>
    </row>
    <row r="16" spans="1:50" ht="15" customHeight="1" x14ac:dyDescent="0.25">
      <c r="A16" s="89"/>
      <c r="G16" s="89"/>
      <c r="H16" s="89"/>
      <c r="I16" s="89"/>
      <c r="J16" s="89"/>
      <c r="M16" s="89"/>
    </row>
    <row r="17" spans="1:13" ht="15" customHeight="1" x14ac:dyDescent="0.25">
      <c r="A17" s="89"/>
      <c r="B17" s="87" t="str">
        <f>Translate!$E$776</f>
        <v>Project list</v>
      </c>
      <c r="G17" s="89"/>
      <c r="H17" s="89"/>
      <c r="I17" s="89"/>
      <c r="J17" s="89"/>
      <c r="M17" s="89"/>
    </row>
    <row r="18" spans="1:13" ht="15" customHeight="1" x14ac:dyDescent="0.25">
      <c r="A18" s="89"/>
      <c r="E18" s="85" t="str">
        <f>Translate!E$112 &amp; " 1"</f>
        <v>Project 1</v>
      </c>
      <c r="F18" s="138" t="str">
        <f ca="1" xml:space="preserve"> '800MMbbl_A'!A1</f>
        <v>800MMbbl_A</v>
      </c>
      <c r="G18" s="420" t="str">
        <f xml:space="preserve"> Translate!E$774</f>
        <v>Name</v>
      </c>
      <c r="H18" s="89"/>
      <c r="I18" s="89"/>
      <c r="J18" s="89"/>
      <c r="M18" s="89"/>
    </row>
    <row r="19" spans="1:13" ht="15" customHeight="1" x14ac:dyDescent="0.25">
      <c r="A19" s="89"/>
      <c r="E19" s="85" t="str">
        <f>Translate!E$112 &amp; " 2"</f>
        <v>Project 2</v>
      </c>
      <c r="F19" s="138" t="str">
        <f ca="1" xml:space="preserve"> '800MMbbl_B'!A1</f>
        <v>800MMbbl_B</v>
      </c>
      <c r="G19" s="420" t="str">
        <f xml:space="preserve"> Translate!E$774</f>
        <v>Name</v>
      </c>
      <c r="H19" s="89"/>
      <c r="I19" s="89"/>
      <c r="J19" s="89"/>
      <c r="M19" s="89"/>
    </row>
    <row r="20" spans="1:13" ht="15" customHeight="1" x14ac:dyDescent="0.25">
      <c r="A20" s="89"/>
      <c r="E20" s="85" t="str">
        <f>Translate!E$112 &amp; " 3"</f>
        <v>Project 3</v>
      </c>
      <c r="F20" s="138" t="str">
        <f ca="1" xml:space="preserve"> '200MMbbl'!A1</f>
        <v>200MMbbl</v>
      </c>
      <c r="G20" s="420" t="str">
        <f xml:space="preserve"> Translate!E$774</f>
        <v>Name</v>
      </c>
      <c r="H20" s="89"/>
      <c r="I20" s="89"/>
      <c r="J20" s="89"/>
      <c r="M20" s="89"/>
    </row>
    <row r="21" spans="1:13" ht="15" customHeight="1" x14ac:dyDescent="0.25">
      <c r="A21" s="89"/>
      <c r="E21" s="85" t="str">
        <f>Translate!E$112 &amp; " 4"</f>
        <v>Project 4</v>
      </c>
      <c r="F21" s="138"/>
      <c r="G21" s="420" t="str">
        <f xml:space="preserve"> Translate!E$774</f>
        <v>Name</v>
      </c>
      <c r="H21" s="89"/>
      <c r="I21" s="89"/>
      <c r="J21" s="89"/>
      <c r="M21" s="89"/>
    </row>
    <row r="22" spans="1:13" ht="15" customHeight="1" x14ac:dyDescent="0.25">
      <c r="A22" s="89"/>
      <c r="E22" s="85" t="str">
        <f>Translate!E$112 &amp; " 5"</f>
        <v>Project 5</v>
      </c>
      <c r="F22" s="138"/>
      <c r="G22" s="420" t="str">
        <f xml:space="preserve"> Translate!E$774</f>
        <v>Name</v>
      </c>
      <c r="H22" s="89"/>
      <c r="I22" s="89"/>
      <c r="J22" s="89"/>
      <c r="M22" s="89"/>
    </row>
    <row r="23" spans="1:13" ht="15" customHeight="1" x14ac:dyDescent="0.25">
      <c r="A23" s="89"/>
      <c r="E23" s="85" t="str">
        <f>Translate!E$112 &amp; " 6"</f>
        <v>Project 6</v>
      </c>
      <c r="F23" s="138"/>
      <c r="G23" s="420" t="str">
        <f xml:space="preserve"> Translate!E$774</f>
        <v>Name</v>
      </c>
      <c r="H23" s="89"/>
      <c r="I23" s="89"/>
      <c r="J23" s="89"/>
      <c r="M23" s="89"/>
    </row>
    <row r="24" spans="1:13" ht="15" customHeight="1" x14ac:dyDescent="0.25">
      <c r="A24" s="89"/>
      <c r="E24" s="85" t="str">
        <f>Translate!E$112 &amp; " 7"</f>
        <v>Project 7</v>
      </c>
      <c r="F24" s="138"/>
      <c r="G24" s="420" t="str">
        <f xml:space="preserve"> Translate!E$774</f>
        <v>Name</v>
      </c>
      <c r="H24" s="89"/>
      <c r="I24" s="89"/>
      <c r="J24" s="89"/>
      <c r="M24" s="89"/>
    </row>
    <row r="25" spans="1:13" ht="15" customHeight="1" x14ac:dyDescent="0.25">
      <c r="A25" s="89"/>
      <c r="E25" s="85" t="str">
        <f>Translate!E$112 &amp; " 8"</f>
        <v>Project 8</v>
      </c>
      <c r="F25" s="138"/>
      <c r="G25" s="420" t="str">
        <f xml:space="preserve"> Translate!E$774</f>
        <v>Name</v>
      </c>
      <c r="H25" s="89"/>
      <c r="I25" s="89"/>
      <c r="J25" s="89"/>
      <c r="M25" s="89"/>
    </row>
    <row r="26" spans="1:13" ht="15" customHeight="1" x14ac:dyDescent="0.25">
      <c r="A26" s="89"/>
      <c r="E26" s="85" t="str">
        <f>Translate!E$112 &amp; " 9"</f>
        <v>Project 9</v>
      </c>
      <c r="F26" s="138"/>
      <c r="G26" s="420" t="str">
        <f xml:space="preserve"> Translate!E$774</f>
        <v>Name</v>
      </c>
      <c r="H26" s="89"/>
      <c r="I26" s="89"/>
      <c r="J26" s="89"/>
      <c r="M26" s="89"/>
    </row>
    <row r="27" spans="1:13" ht="15" customHeight="1" x14ac:dyDescent="0.25">
      <c r="A27" s="89"/>
      <c r="E27" s="85" t="str">
        <f>Translate!E$112 &amp; " 10"</f>
        <v>Project 10</v>
      </c>
      <c r="F27" s="138"/>
      <c r="G27" s="420" t="str">
        <f xml:space="preserve"> Translate!E$774</f>
        <v>Name</v>
      </c>
      <c r="H27" s="89"/>
      <c r="I27" s="89"/>
      <c r="J27" s="89"/>
      <c r="M27" s="89"/>
    </row>
    <row r="28" spans="1:13" ht="15" customHeight="1" x14ac:dyDescent="0.25">
      <c r="A28" s="89"/>
      <c r="G28" s="89"/>
      <c r="H28" s="89"/>
      <c r="I28" s="89"/>
      <c r="J28" s="89"/>
      <c r="M28" s="89"/>
    </row>
    <row r="29" spans="1:13" ht="15" customHeight="1" x14ac:dyDescent="0.25">
      <c r="A29" s="89"/>
      <c r="B29" s="87" t="str">
        <f>Translate!$E$682</f>
        <v>Oil price</v>
      </c>
      <c r="G29" s="89"/>
      <c r="H29" s="89"/>
      <c r="I29" s="89"/>
      <c r="J29" s="89"/>
      <c r="M29" s="89"/>
    </row>
    <row r="30" spans="1:13" ht="15" customHeight="1" x14ac:dyDescent="0.25">
      <c r="A30" s="89"/>
      <c r="E30" s="139" t="str">
        <f xml:space="preserve"> Dashboard!B$9</f>
        <v>Oil price (constant real terms)</v>
      </c>
      <c r="F30" s="139">
        <f xml:space="preserve"> Dashboard!C$9</f>
        <v>55</v>
      </c>
      <c r="G30" s="139" t="str">
        <f xml:space="preserve"> Dashboard!D$9</f>
        <v>US$ 2021 / bbl</v>
      </c>
      <c r="H30" s="89"/>
      <c r="I30" s="89"/>
      <c r="J30" s="89"/>
      <c r="M30" s="89"/>
    </row>
    <row r="31" spans="1:13" ht="15" customHeight="1" x14ac:dyDescent="0.25">
      <c r="A31" s="89"/>
      <c r="G31" s="89"/>
      <c r="H31" s="89"/>
      <c r="I31" s="89"/>
      <c r="J31" s="89"/>
      <c r="M31" s="89"/>
    </row>
    <row r="32" spans="1:13" ht="15" customHeight="1" x14ac:dyDescent="0.25">
      <c r="A32" s="89"/>
      <c r="B32" s="87" t="str">
        <f>Translate!$E$777</f>
        <v>Sensitivity parameters</v>
      </c>
      <c r="G32" s="89"/>
      <c r="H32" s="89"/>
      <c r="I32" s="89"/>
      <c r="J32" s="89"/>
      <c r="M32" s="89"/>
    </row>
    <row r="33" spans="1:50" ht="15" customHeight="1" x14ac:dyDescent="0.25">
      <c r="A33" s="89"/>
      <c r="E33" s="140" t="str">
        <f xml:space="preserve"> Dashboard!B$11</f>
        <v>Price sensitivity</v>
      </c>
      <c r="F33" s="141">
        <f xml:space="preserve"> Dashboard!C$11</f>
        <v>1</v>
      </c>
      <c r="G33" s="142" t="str">
        <f xml:space="preserve"> Dashboard!D$11</f>
        <v>factor</v>
      </c>
      <c r="H33" s="89"/>
      <c r="I33" s="89"/>
      <c r="J33" s="89"/>
      <c r="M33" s="89"/>
    </row>
    <row r="34" spans="1:50" ht="15" customHeight="1" x14ac:dyDescent="0.25">
      <c r="A34" s="89"/>
      <c r="E34" s="140" t="str">
        <f xml:space="preserve"> Dashboard!B$12</f>
        <v>Production sensitivity</v>
      </c>
      <c r="F34" s="141">
        <f xml:space="preserve"> Dashboard!C$12</f>
        <v>1</v>
      </c>
      <c r="G34" s="142" t="str">
        <f xml:space="preserve"> Dashboard!D$12</f>
        <v>factor</v>
      </c>
      <c r="H34" s="89"/>
      <c r="I34" s="89"/>
      <c r="J34" s="89"/>
      <c r="M34" s="89"/>
    </row>
    <row r="35" spans="1:50" ht="15" customHeight="1" x14ac:dyDescent="0.25">
      <c r="A35" s="89"/>
      <c r="E35" s="140" t="str">
        <f xml:space="preserve"> Dashboard!B$13</f>
        <v>Exploration cost sensitivity</v>
      </c>
      <c r="F35" s="141">
        <f xml:space="preserve"> Dashboard!C$13</f>
        <v>1</v>
      </c>
      <c r="G35" s="142" t="str">
        <f xml:space="preserve"> Dashboard!D$13</f>
        <v>factor</v>
      </c>
      <c r="H35" s="89"/>
      <c r="I35" s="89"/>
      <c r="J35" s="89"/>
      <c r="M35" s="89"/>
    </row>
    <row r="36" spans="1:50" ht="15" customHeight="1" x14ac:dyDescent="0.25">
      <c r="A36" s="89"/>
      <c r="E36" s="140" t="str">
        <f xml:space="preserve"> Dashboard!B$14</f>
        <v xml:space="preserve">Capex sensitivity (Dev; Replace; Decomm.) </v>
      </c>
      <c r="F36" s="141">
        <f xml:space="preserve"> Dashboard!C$14</f>
        <v>1</v>
      </c>
      <c r="G36" s="142" t="str">
        <f xml:space="preserve"> Dashboard!D$14</f>
        <v>factor</v>
      </c>
      <c r="H36" s="89"/>
      <c r="I36" s="89"/>
      <c r="J36" s="89"/>
      <c r="M36" s="89"/>
    </row>
    <row r="37" spans="1:50" ht="15" customHeight="1" x14ac:dyDescent="0.25">
      <c r="A37" s="89"/>
      <c r="E37" s="140" t="str">
        <f xml:space="preserve"> Dashboard!B$15</f>
        <v>Operating cost sensitivity</v>
      </c>
      <c r="F37" s="141">
        <f xml:space="preserve"> Dashboard!C$15</f>
        <v>1</v>
      </c>
      <c r="G37" s="142" t="str">
        <f xml:space="preserve"> Dashboard!D$15</f>
        <v>factor</v>
      </c>
      <c r="H37" s="89"/>
      <c r="I37" s="89"/>
      <c r="J37" s="89"/>
      <c r="M37" s="89"/>
    </row>
    <row r="38" spans="1:50" ht="15" customHeight="1" x14ac:dyDescent="0.25">
      <c r="A38" s="89"/>
      <c r="G38" s="89"/>
      <c r="H38" s="89"/>
      <c r="I38" s="89"/>
      <c r="J38" s="89"/>
      <c r="M38" s="89"/>
    </row>
    <row r="39" spans="1:50" ht="15" customHeight="1" x14ac:dyDescent="0.25">
      <c r="A39" s="89"/>
      <c r="B39" s="87" t="str">
        <f>Translate!$E$47</f>
        <v>Economic limit test</v>
      </c>
      <c r="G39" s="89"/>
      <c r="H39" s="89"/>
      <c r="I39" s="89"/>
      <c r="J39" s="89"/>
      <c r="M39" s="89"/>
    </row>
    <row r="40" spans="1:50" ht="15" customHeight="1" x14ac:dyDescent="0.25">
      <c r="A40" s="89"/>
      <c r="E40" s="85" t="str">
        <f>Translate!E551</f>
        <v>ELT applies</v>
      </c>
      <c r="F40" s="888" t="s">
        <v>33</v>
      </c>
      <c r="G40" s="89" t="str">
        <f xml:space="preserve"> Translate!E$103</f>
        <v>Option</v>
      </c>
      <c r="H40" s="89"/>
      <c r="I40" s="89"/>
      <c r="J40" s="89"/>
      <c r="M40" s="89"/>
    </row>
    <row r="41" spans="1:50" ht="15" customHeight="1" x14ac:dyDescent="0.25">
      <c r="A41" s="89"/>
      <c r="E41" s="85" t="str">
        <f xml:space="preserve"> Translate!E$755 &amp; " " &amp; Translate!E551</f>
        <v>Check:  ELT applies</v>
      </c>
      <c r="F41" s="1003">
        <f>IFERROR(MIN( 0, MATCH(F40,$F$87:$F$88,0) ), 1 )</f>
        <v>0</v>
      </c>
      <c r="G41" s="89" t="str">
        <f xml:space="preserve"> Translate!E$604</f>
        <v>Check</v>
      </c>
      <c r="H41" s="89"/>
      <c r="I41" s="89"/>
      <c r="J41" s="89"/>
      <c r="M41" s="89"/>
    </row>
    <row r="42" spans="1:50" ht="15" customHeight="1" x14ac:dyDescent="0.25">
      <c r="A42" s="89"/>
      <c r="G42" s="89"/>
      <c r="H42" s="89"/>
      <c r="I42" s="89"/>
      <c r="J42" s="89"/>
      <c r="M42" s="89"/>
    </row>
    <row r="43" spans="1:50" ht="15" customHeight="1" x14ac:dyDescent="0.25">
      <c r="A43" s="99" t="str">
        <f xml:space="preserve"> Translate!E$750</f>
        <v>Economic assumptions</v>
      </c>
      <c r="B43" s="99"/>
      <c r="C43" s="100"/>
      <c r="D43" s="99"/>
      <c r="E43" s="99"/>
      <c r="F43" s="99"/>
      <c r="G43" s="99"/>
      <c r="H43" s="99"/>
      <c r="I43" s="99"/>
      <c r="J43" s="99"/>
      <c r="K43" s="48"/>
      <c r="L43" s="48"/>
      <c r="M43" s="48"/>
      <c r="N43" s="48"/>
      <c r="O43" s="48"/>
      <c r="P43" s="48"/>
      <c r="Q43" s="48"/>
      <c r="R43" s="48"/>
      <c r="S43" s="48"/>
      <c r="T43" s="48"/>
      <c r="U43" s="48"/>
      <c r="V43" s="48"/>
      <c r="W43" s="48"/>
      <c r="X43" s="48"/>
      <c r="Y43" s="48"/>
      <c r="Z43" s="48"/>
      <c r="AA43" s="48"/>
      <c r="AB43" s="48"/>
      <c r="AC43" s="48"/>
      <c r="AD43" s="48"/>
      <c r="AE43" s="48"/>
      <c r="AF43" s="48"/>
      <c r="AG43" s="48"/>
      <c r="AH43" s="48"/>
      <c r="AI43" s="48"/>
      <c r="AJ43" s="48"/>
      <c r="AK43" s="48"/>
      <c r="AL43" s="48"/>
      <c r="AM43" s="48"/>
      <c r="AN43" s="48"/>
      <c r="AO43" s="48"/>
      <c r="AP43" s="48"/>
      <c r="AQ43" s="48"/>
      <c r="AR43" s="48"/>
      <c r="AS43" s="48"/>
      <c r="AT43" s="48"/>
      <c r="AU43" s="48"/>
      <c r="AV43" s="48"/>
      <c r="AW43" s="48"/>
      <c r="AX43" s="48"/>
    </row>
    <row r="44" spans="1:50" ht="15" customHeight="1" x14ac:dyDescent="0.25">
      <c r="A44" s="130"/>
      <c r="B44" s="131"/>
      <c r="C44" s="132"/>
      <c r="D44" s="133"/>
      <c r="G44" s="89"/>
      <c r="H44" s="134"/>
      <c r="I44" s="134"/>
      <c r="J44" s="134"/>
      <c r="M44" s="89"/>
    </row>
    <row r="45" spans="1:50" s="59" customFormat="1" ht="15" customHeight="1" x14ac:dyDescent="0.25">
      <c r="A45" s="61"/>
      <c r="B45" s="456"/>
      <c r="C45" s="252"/>
      <c r="D45" s="61"/>
      <c r="E45" s="85" t="str">
        <f>Translate!E552</f>
        <v>Inflation rate</v>
      </c>
      <c r="F45" s="315">
        <v>0.02</v>
      </c>
      <c r="G45" s="521" t="s">
        <v>24</v>
      </c>
      <c r="I45" s="61"/>
      <c r="J45" s="61"/>
      <c r="K45" s="61"/>
      <c r="L45" s="61"/>
      <c r="M45" s="61"/>
      <c r="N45" s="61"/>
      <c r="O45" s="61"/>
      <c r="P45" s="61"/>
      <c r="Q45" s="61"/>
      <c r="R45" s="61"/>
      <c r="S45" s="61"/>
      <c r="T45" s="61"/>
      <c r="U45" s="61"/>
      <c r="V45" s="61"/>
      <c r="W45" s="61"/>
      <c r="X45" s="61"/>
      <c r="Y45" s="61"/>
      <c r="Z45" s="61"/>
      <c r="AA45" s="61"/>
      <c r="AB45" s="61"/>
      <c r="AC45" s="61"/>
      <c r="AD45" s="61"/>
      <c r="AE45" s="61"/>
      <c r="AF45" s="61"/>
      <c r="AG45" s="61"/>
      <c r="AH45" s="61"/>
      <c r="AI45" s="61"/>
      <c r="AJ45" s="61"/>
      <c r="AK45" s="61"/>
      <c r="AL45" s="61"/>
      <c r="AM45" s="61"/>
      <c r="AN45" s="61"/>
      <c r="AO45" s="61"/>
      <c r="AP45" s="61"/>
      <c r="AQ45" s="61"/>
      <c r="AR45" s="61"/>
      <c r="AS45" s="61"/>
      <c r="AT45" s="61"/>
      <c r="AU45" s="61"/>
      <c r="AV45" s="61"/>
      <c r="AW45" s="61"/>
      <c r="AX45" s="61"/>
    </row>
    <row r="46" spans="1:50" s="59" customFormat="1" ht="15" customHeight="1" x14ac:dyDescent="0.25">
      <c r="A46" s="61"/>
      <c r="B46" s="456"/>
      <c r="C46" s="252"/>
      <c r="D46" s="61"/>
      <c r="E46" s="85" t="str">
        <f xml:space="preserve"> Translate!E$553 &amp; ": " &amp; Inputs!F$91</f>
        <v>LIBOR: real</v>
      </c>
      <c r="F46" s="315">
        <v>0</v>
      </c>
      <c r="G46" s="521" t="str">
        <f xml:space="preserve"> "% " &amp; Inputs!F$91</f>
        <v>% real</v>
      </c>
      <c r="H46" s="61"/>
      <c r="I46" s="61"/>
      <c r="J46" s="61"/>
      <c r="K46" s="61"/>
      <c r="L46" s="61"/>
      <c r="M46" s="61"/>
      <c r="N46" s="61"/>
      <c r="O46" s="61"/>
      <c r="P46" s="61"/>
      <c r="Q46" s="61"/>
      <c r="R46" s="61"/>
      <c r="S46" s="61"/>
      <c r="T46" s="61"/>
      <c r="U46" s="61"/>
      <c r="V46" s="61"/>
      <c r="W46" s="61"/>
      <c r="X46" s="61"/>
      <c r="Y46" s="61"/>
      <c r="Z46" s="61"/>
      <c r="AA46" s="61"/>
      <c r="AB46" s="61"/>
      <c r="AC46" s="61"/>
      <c r="AD46" s="61"/>
      <c r="AE46" s="61"/>
      <c r="AF46" s="61"/>
      <c r="AG46" s="61"/>
      <c r="AH46" s="61"/>
      <c r="AI46" s="61"/>
      <c r="AJ46" s="61"/>
      <c r="AK46" s="61"/>
      <c r="AL46" s="61"/>
      <c r="AM46" s="61"/>
      <c r="AN46" s="61"/>
      <c r="AO46" s="61"/>
      <c r="AP46" s="61"/>
      <c r="AQ46" s="61"/>
      <c r="AR46" s="61"/>
      <c r="AS46" s="61"/>
      <c r="AT46" s="61"/>
      <c r="AU46" s="61"/>
      <c r="AV46" s="61"/>
      <c r="AW46" s="61"/>
      <c r="AX46" s="61"/>
    </row>
    <row r="47" spans="1:50" s="59" customFormat="1" ht="15" customHeight="1" x14ac:dyDescent="0.25">
      <c r="A47" s="61"/>
      <c r="B47" s="456"/>
      <c r="C47" s="252"/>
      <c r="D47" s="61"/>
      <c r="E47" s="85" t="str">
        <f xml:space="preserve"> Translate!E$553 &amp; ": " &amp; Inputs!F$92</f>
        <v>LIBOR: nominal</v>
      </c>
      <c r="F47" s="61">
        <f xml:space="preserve"> ( 1  + F45 ) * ( 1 + F46 ) - 1</f>
        <v>2.0000000000000018E-2</v>
      </c>
      <c r="G47" s="59" t="s">
        <v>24</v>
      </c>
      <c r="H47" s="61"/>
      <c r="I47" s="61"/>
      <c r="J47" s="61"/>
      <c r="K47" s="61"/>
      <c r="L47" s="61"/>
      <c r="M47" s="61"/>
      <c r="N47" s="61"/>
      <c r="O47" s="61"/>
      <c r="P47" s="61"/>
      <c r="Q47" s="61"/>
      <c r="R47" s="61"/>
      <c r="S47" s="61"/>
      <c r="T47" s="61"/>
      <c r="U47" s="61"/>
      <c r="V47" s="61"/>
      <c r="W47" s="61"/>
      <c r="X47" s="61"/>
      <c r="Y47" s="61"/>
      <c r="Z47" s="61"/>
      <c r="AA47" s="61"/>
      <c r="AB47" s="61"/>
      <c r="AC47" s="61"/>
      <c r="AD47" s="61"/>
      <c r="AE47" s="61"/>
      <c r="AF47" s="61"/>
      <c r="AG47" s="61"/>
      <c r="AH47" s="61"/>
      <c r="AI47" s="61"/>
      <c r="AJ47" s="61"/>
      <c r="AK47" s="61"/>
      <c r="AL47" s="61"/>
      <c r="AM47" s="61"/>
      <c r="AN47" s="61"/>
      <c r="AO47" s="61"/>
      <c r="AP47" s="61"/>
      <c r="AQ47" s="61"/>
      <c r="AR47" s="61"/>
      <c r="AS47" s="61"/>
      <c r="AT47" s="61"/>
      <c r="AU47" s="61"/>
      <c r="AV47" s="61"/>
      <c r="AW47" s="61"/>
      <c r="AX47" s="61"/>
    </row>
    <row r="48" spans="1:50" ht="15" customHeight="1" x14ac:dyDescent="0.25">
      <c r="A48" s="48"/>
      <c r="B48" s="145"/>
      <c r="C48" s="146"/>
      <c r="D48" s="48"/>
      <c r="E48" s="59"/>
      <c r="F48" s="148"/>
      <c r="G48" s="109"/>
      <c r="H48" s="48"/>
      <c r="I48" s="48"/>
      <c r="J48" s="48"/>
      <c r="K48" s="48"/>
      <c r="L48" s="48"/>
      <c r="M48" s="48"/>
      <c r="N48" s="48"/>
      <c r="O48" s="48"/>
      <c r="P48" s="48"/>
      <c r="Q48" s="48"/>
      <c r="R48" s="48"/>
      <c r="S48" s="48"/>
      <c r="T48" s="48"/>
      <c r="U48" s="48"/>
      <c r="V48" s="48"/>
      <c r="W48" s="48"/>
      <c r="X48" s="48"/>
      <c r="Y48" s="48"/>
      <c r="Z48" s="48"/>
      <c r="AA48" s="48"/>
      <c r="AB48" s="48"/>
      <c r="AC48" s="48"/>
      <c r="AD48" s="48"/>
      <c r="AE48" s="48"/>
      <c r="AF48" s="48"/>
      <c r="AG48" s="48"/>
      <c r="AH48" s="48"/>
      <c r="AI48" s="48"/>
      <c r="AJ48" s="48"/>
      <c r="AK48" s="48"/>
      <c r="AL48" s="48"/>
      <c r="AM48" s="48"/>
      <c r="AN48" s="48"/>
      <c r="AO48" s="48"/>
      <c r="AP48" s="48"/>
      <c r="AQ48" s="48"/>
      <c r="AR48" s="48"/>
      <c r="AS48" s="48"/>
      <c r="AT48" s="48"/>
      <c r="AU48" s="48"/>
      <c r="AV48" s="48"/>
      <c r="AW48" s="48"/>
      <c r="AX48" s="48"/>
    </row>
    <row r="49" spans="1:50" ht="15" customHeight="1" x14ac:dyDescent="0.25">
      <c r="A49" s="99" t="str">
        <f xml:space="preserve"> Translate!E$751</f>
        <v>Evaluation parameters</v>
      </c>
      <c r="B49" s="99"/>
      <c r="C49" s="100"/>
      <c r="D49" s="99"/>
      <c r="E49" s="99"/>
      <c r="F49" s="99"/>
      <c r="G49" s="99"/>
      <c r="H49" s="99"/>
      <c r="I49" s="99"/>
      <c r="J49" s="99"/>
      <c r="K49" s="48"/>
      <c r="L49" s="48"/>
      <c r="M49" s="48"/>
      <c r="N49" s="48"/>
      <c r="O49" s="48"/>
      <c r="P49" s="48"/>
      <c r="Q49" s="48"/>
      <c r="R49" s="48"/>
      <c r="S49" s="48"/>
      <c r="T49" s="48"/>
      <c r="U49" s="48"/>
      <c r="V49" s="48"/>
      <c r="W49" s="48"/>
      <c r="X49" s="48"/>
      <c r="Y49" s="48"/>
      <c r="Z49" s="48"/>
      <c r="AA49" s="48"/>
      <c r="AB49" s="48"/>
      <c r="AC49" s="48"/>
      <c r="AD49" s="48"/>
      <c r="AE49" s="48"/>
      <c r="AF49" s="48"/>
      <c r="AG49" s="48"/>
      <c r="AH49" s="48"/>
      <c r="AI49" s="48"/>
      <c r="AJ49" s="48"/>
      <c r="AK49" s="48"/>
      <c r="AL49" s="48"/>
      <c r="AM49" s="48"/>
      <c r="AN49" s="48"/>
      <c r="AO49" s="48"/>
      <c r="AP49" s="48"/>
      <c r="AQ49" s="48"/>
      <c r="AR49" s="48"/>
      <c r="AS49" s="48"/>
      <c r="AT49" s="48"/>
      <c r="AU49" s="48"/>
      <c r="AV49" s="48"/>
      <c r="AW49" s="48"/>
      <c r="AX49" s="48"/>
    </row>
    <row r="50" spans="1:50" ht="15" customHeight="1" x14ac:dyDescent="0.25">
      <c r="A50" s="130"/>
      <c r="B50" s="131"/>
      <c r="C50" s="132"/>
      <c r="D50" s="133"/>
      <c r="G50" s="89"/>
      <c r="H50" s="134"/>
      <c r="I50" s="134"/>
      <c r="J50" s="134"/>
      <c r="M50" s="89"/>
    </row>
    <row r="51" spans="1:50" s="741" customFormat="1" ht="15" customHeight="1" x14ac:dyDescent="0.25">
      <c r="A51" s="884"/>
      <c r="B51" s="885"/>
      <c r="C51" s="886"/>
      <c r="D51" s="885"/>
      <c r="E51" s="835" t="str">
        <f xml:space="preserve"> E$7</f>
        <v>Model first calendar year</v>
      </c>
      <c r="F51" s="835">
        <f xml:space="preserve"> F$7</f>
        <v>2021</v>
      </c>
      <c r="G51" s="835" t="str">
        <f xml:space="preserve"> G$7</f>
        <v>Calendar year</v>
      </c>
      <c r="H51" s="885"/>
      <c r="I51" s="885"/>
      <c r="J51" s="885"/>
      <c r="K51" s="885"/>
      <c r="L51" s="885"/>
      <c r="M51" s="885"/>
      <c r="N51" s="885"/>
      <c r="O51" s="885"/>
      <c r="P51" s="885"/>
      <c r="Q51" s="885"/>
      <c r="R51" s="885"/>
      <c r="S51" s="885"/>
      <c r="T51" s="885"/>
      <c r="U51" s="885"/>
      <c r="V51" s="885"/>
      <c r="W51" s="885"/>
      <c r="X51" s="885"/>
      <c r="Y51" s="885"/>
      <c r="Z51" s="885"/>
      <c r="AA51" s="885"/>
      <c r="AB51" s="885"/>
      <c r="AC51" s="885"/>
      <c r="AD51" s="885"/>
      <c r="AE51" s="885"/>
      <c r="AF51" s="885"/>
      <c r="AG51" s="885"/>
      <c r="AH51" s="885"/>
      <c r="AI51" s="885"/>
      <c r="AJ51" s="885"/>
      <c r="AK51" s="885"/>
      <c r="AL51" s="885"/>
      <c r="AM51" s="885"/>
      <c r="AN51" s="885"/>
      <c r="AO51" s="885"/>
      <c r="AP51" s="885"/>
      <c r="AQ51" s="885"/>
      <c r="AR51" s="885"/>
      <c r="AS51" s="885"/>
      <c r="AT51" s="885"/>
      <c r="AU51" s="885"/>
      <c r="AV51" s="885"/>
      <c r="AW51" s="885"/>
      <c r="AX51" s="885"/>
    </row>
    <row r="52" spans="1:50" ht="15" customHeight="1" x14ac:dyDescent="0.25">
      <c r="A52" s="191"/>
      <c r="B52" s="201"/>
      <c r="C52" s="199"/>
      <c r="D52" s="200"/>
      <c r="E52" s="932" t="str">
        <f>Translate!E668</f>
        <v>Label for real terms cashflows</v>
      </c>
      <c r="F52" s="85" t="str">
        <f>Translate!E$603 &amp; " " &amp; F51</f>
        <v>US$ mn 2021</v>
      </c>
      <c r="G52" s="932" t="str">
        <f>Translate!E$528</f>
        <v>Label</v>
      </c>
      <c r="H52" s="207"/>
      <c r="I52" s="207"/>
      <c r="J52" s="207"/>
      <c r="K52" s="201"/>
      <c r="L52" s="201"/>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row>
    <row r="53" spans="1:50" ht="15" customHeight="1" x14ac:dyDescent="0.25">
      <c r="A53" s="106"/>
      <c r="B53" s="175"/>
      <c r="D53" s="162"/>
      <c r="E53" s="52"/>
      <c r="F53" s="56"/>
      <c r="G53" s="52"/>
      <c r="H53" s="52"/>
      <c r="I53" s="89"/>
      <c r="J53" s="52"/>
      <c r="K53" s="208"/>
      <c r="L53" s="208"/>
      <c r="M53" s="208"/>
      <c r="N53" s="208"/>
      <c r="O53" s="208"/>
      <c r="P53" s="208"/>
      <c r="Q53" s="208"/>
      <c r="R53" s="208"/>
      <c r="S53" s="208"/>
      <c r="T53" s="208"/>
      <c r="U53" s="208"/>
      <c r="V53" s="208"/>
      <c r="W53" s="208"/>
      <c r="X53" s="208"/>
      <c r="Y53" s="208"/>
      <c r="Z53" s="208"/>
      <c r="AA53" s="208"/>
      <c r="AB53" s="208"/>
      <c r="AC53" s="208"/>
      <c r="AD53" s="208"/>
      <c r="AE53" s="208"/>
      <c r="AF53" s="208"/>
      <c r="AG53" s="208"/>
      <c r="AH53" s="208"/>
      <c r="AI53" s="208"/>
      <c r="AJ53" s="208"/>
      <c r="AK53" s="208"/>
      <c r="AL53" s="208"/>
      <c r="AM53" s="208"/>
      <c r="AN53" s="208"/>
      <c r="AO53" s="208"/>
      <c r="AP53" s="208"/>
      <c r="AQ53" s="208"/>
      <c r="AR53" s="208"/>
      <c r="AS53" s="208"/>
      <c r="AT53" s="208"/>
      <c r="AU53" s="208"/>
      <c r="AV53" s="208"/>
      <c r="AW53" s="208"/>
      <c r="AX53" s="208"/>
    </row>
    <row r="54" spans="1:50" ht="15" customHeight="1" x14ac:dyDescent="0.25">
      <c r="A54" s="106"/>
      <c r="B54" s="175"/>
      <c r="D54" s="162"/>
      <c r="E54" s="73" t="str">
        <f xml:space="preserve"> Translate!E$43</f>
        <v>Barrel</v>
      </c>
      <c r="F54" s="269" t="str">
        <f xml:space="preserve"> Translate!E$80</f>
        <v>bbl</v>
      </c>
      <c r="G54" s="932" t="str">
        <f>Translate!E$528</f>
        <v>Label</v>
      </c>
      <c r="H54" s="52"/>
      <c r="I54" s="89"/>
      <c r="J54" s="52"/>
      <c r="K54" s="208"/>
      <c r="L54" s="208"/>
      <c r="M54" s="208"/>
      <c r="N54" s="208"/>
      <c r="O54" s="208"/>
      <c r="P54" s="208"/>
      <c r="Q54" s="208"/>
      <c r="R54" s="208"/>
      <c r="S54" s="208"/>
      <c r="T54" s="208"/>
      <c r="U54" s="208"/>
      <c r="V54" s="208"/>
      <c r="W54" s="208"/>
      <c r="X54" s="208"/>
      <c r="Y54" s="208"/>
      <c r="Z54" s="208"/>
      <c r="AA54" s="208"/>
      <c r="AB54" s="208"/>
      <c r="AC54" s="208"/>
      <c r="AD54" s="208"/>
      <c r="AE54" s="208"/>
      <c r="AF54" s="208"/>
      <c r="AG54" s="208"/>
      <c r="AH54" s="208"/>
      <c r="AI54" s="208"/>
      <c r="AJ54" s="208"/>
      <c r="AK54" s="208"/>
      <c r="AL54" s="208"/>
      <c r="AM54" s="208"/>
      <c r="AN54" s="208"/>
      <c r="AO54" s="208"/>
      <c r="AP54" s="208"/>
      <c r="AQ54" s="208"/>
      <c r="AR54" s="208"/>
      <c r="AS54" s="208"/>
      <c r="AT54" s="208"/>
      <c r="AU54" s="208"/>
      <c r="AV54" s="208"/>
      <c r="AW54" s="208"/>
      <c r="AX54" s="208"/>
    </row>
    <row r="55" spans="1:50" ht="15" customHeight="1" x14ac:dyDescent="0.25">
      <c r="A55" s="106"/>
      <c r="B55" s="175"/>
      <c r="D55" s="162"/>
      <c r="E55" s="73" t="str">
        <f xml:space="preserve"> Translate!E$748 &amp; ": " &amp; F$92</f>
        <v>Label for unit cost: nominal</v>
      </c>
      <c r="F55" s="151" t="str">
        <f xml:space="preserve"> Translate!E$60 &amp; " / " &amp;F$54</f>
        <v>US$ / bbl</v>
      </c>
      <c r="G55" s="932" t="str">
        <f>Translate!E$528</f>
        <v>Label</v>
      </c>
      <c r="H55" s="52"/>
      <c r="I55" s="89"/>
      <c r="J55" s="52"/>
      <c r="K55" s="208"/>
      <c r="L55" s="208"/>
      <c r="M55" s="208"/>
      <c r="N55" s="208"/>
      <c r="O55" s="208"/>
      <c r="P55" s="208"/>
      <c r="Q55" s="208"/>
      <c r="R55" s="208"/>
      <c r="S55" s="208"/>
      <c r="T55" s="208"/>
      <c r="U55" s="208"/>
      <c r="V55" s="208"/>
      <c r="W55" s="208"/>
      <c r="X55" s="208"/>
      <c r="Y55" s="208"/>
      <c r="Z55" s="208"/>
      <c r="AA55" s="208"/>
      <c r="AB55" s="208"/>
      <c r="AC55" s="208"/>
      <c r="AD55" s="208"/>
      <c r="AE55" s="208"/>
      <c r="AF55" s="208"/>
      <c r="AG55" s="208"/>
      <c r="AH55" s="208"/>
      <c r="AI55" s="208"/>
      <c r="AJ55" s="208"/>
      <c r="AK55" s="208"/>
      <c r="AL55" s="208"/>
      <c r="AM55" s="208"/>
      <c r="AN55" s="208"/>
      <c r="AO55" s="208"/>
      <c r="AP55" s="208"/>
      <c r="AQ55" s="208"/>
      <c r="AR55" s="208"/>
      <c r="AS55" s="208"/>
      <c r="AT55" s="208"/>
      <c r="AU55" s="208"/>
      <c r="AV55" s="208"/>
      <c r="AW55" s="208"/>
      <c r="AX55" s="208"/>
    </row>
    <row r="56" spans="1:50" ht="15" customHeight="1" x14ac:dyDescent="0.25">
      <c r="A56" s="106"/>
      <c r="B56" s="175"/>
      <c r="D56" s="162"/>
      <c r="E56" s="73" t="str">
        <f xml:space="preserve"> Translate!E$748 &amp; ": " &amp; F$91</f>
        <v>Label for unit cost: real</v>
      </c>
      <c r="F56" s="56" t="str">
        <f xml:space="preserve"> Translate!E$60 &amp; " " &amp; F$51 &amp; " / " &amp;F$54</f>
        <v>US$ 2021 / bbl</v>
      </c>
      <c r="G56" s="932" t="str">
        <f>Translate!E$528</f>
        <v>Label</v>
      </c>
      <c r="H56" s="52"/>
      <c r="I56" s="89"/>
      <c r="J56" s="52"/>
      <c r="K56" s="208"/>
      <c r="L56" s="208"/>
      <c r="M56" s="208"/>
      <c r="N56" s="208"/>
      <c r="O56" s="208"/>
      <c r="P56" s="208"/>
      <c r="Q56" s="208"/>
      <c r="R56" s="208"/>
      <c r="S56" s="208"/>
      <c r="T56" s="208"/>
      <c r="U56" s="208"/>
      <c r="V56" s="208"/>
      <c r="W56" s="208"/>
      <c r="X56" s="208"/>
      <c r="Y56" s="208"/>
      <c r="Z56" s="208"/>
      <c r="AA56" s="208"/>
      <c r="AB56" s="208"/>
      <c r="AC56" s="208"/>
      <c r="AD56" s="208"/>
      <c r="AE56" s="208"/>
      <c r="AF56" s="208"/>
      <c r="AG56" s="208"/>
      <c r="AH56" s="208"/>
      <c r="AI56" s="208"/>
      <c r="AJ56" s="208"/>
      <c r="AK56" s="208"/>
      <c r="AL56" s="208"/>
      <c r="AM56" s="208"/>
      <c r="AN56" s="208"/>
      <c r="AO56" s="208"/>
      <c r="AP56" s="208"/>
      <c r="AQ56" s="208"/>
      <c r="AR56" s="208"/>
      <c r="AS56" s="208"/>
      <c r="AT56" s="208"/>
      <c r="AU56" s="208"/>
      <c r="AV56" s="208"/>
      <c r="AW56" s="208"/>
      <c r="AX56" s="208"/>
    </row>
    <row r="57" spans="1:50" ht="15" customHeight="1" x14ac:dyDescent="0.25">
      <c r="A57" s="106"/>
      <c r="B57" s="175"/>
      <c r="D57" s="162"/>
      <c r="E57" s="52"/>
      <c r="F57" s="56"/>
      <c r="G57" s="52"/>
      <c r="H57" s="52"/>
      <c r="I57" s="89"/>
      <c r="J57" s="52"/>
      <c r="K57" s="208"/>
      <c r="L57" s="208"/>
      <c r="M57" s="208"/>
      <c r="N57" s="208"/>
      <c r="O57" s="208"/>
      <c r="P57" s="208"/>
      <c r="Q57" s="208"/>
      <c r="R57" s="208"/>
      <c r="S57" s="208"/>
      <c r="T57" s="208"/>
      <c r="U57" s="208"/>
      <c r="V57" s="208"/>
      <c r="W57" s="208"/>
      <c r="X57" s="208"/>
      <c r="Y57" s="208"/>
      <c r="Z57" s="208"/>
      <c r="AA57" s="208"/>
      <c r="AB57" s="208"/>
      <c r="AC57" s="208"/>
      <c r="AD57" s="208"/>
      <c r="AE57" s="208"/>
      <c r="AF57" s="208"/>
      <c r="AG57" s="208"/>
      <c r="AH57" s="208"/>
      <c r="AI57" s="208"/>
      <c r="AJ57" s="208"/>
      <c r="AK57" s="208"/>
      <c r="AL57" s="208"/>
      <c r="AM57" s="208"/>
      <c r="AN57" s="208"/>
      <c r="AO57" s="208"/>
      <c r="AP57" s="208"/>
      <c r="AQ57" s="208"/>
      <c r="AR57" s="208"/>
      <c r="AS57" s="208"/>
      <c r="AT57" s="208"/>
      <c r="AU57" s="208"/>
      <c r="AV57" s="208"/>
      <c r="AW57" s="208"/>
      <c r="AX57" s="208"/>
    </row>
    <row r="58" spans="1:50" s="48" customFormat="1" ht="15" customHeight="1" x14ac:dyDescent="0.25">
      <c r="A58" s="311"/>
      <c r="B58" s="311"/>
      <c r="C58" s="317"/>
      <c r="D58" s="311"/>
      <c r="E58" s="135" t="str">
        <f xml:space="preserve"> Dashboard!B$17</f>
        <v>Discount rate</v>
      </c>
      <c r="F58" s="141">
        <f xml:space="preserve"> Dashboard!C$17</f>
        <v>0.08</v>
      </c>
      <c r="G58" s="135" t="str">
        <f xml:space="preserve"> Dashboard!D$17</f>
        <v>% real</v>
      </c>
      <c r="H58" s="311"/>
      <c r="I58" s="311"/>
      <c r="J58" s="311"/>
    </row>
    <row r="59" spans="1:50" ht="15" customHeight="1" x14ac:dyDescent="0.25">
      <c r="A59" s="56"/>
      <c r="B59" s="149"/>
      <c r="C59" s="150"/>
      <c r="D59" s="105"/>
      <c r="E59" s="56"/>
      <c r="F59" s="151"/>
      <c r="G59" s="56"/>
      <c r="H59" s="52"/>
      <c r="I59" s="52"/>
      <c r="J59" s="52"/>
      <c r="K59" s="56"/>
      <c r="L59" s="56"/>
      <c r="M59" s="56"/>
      <c r="N59" s="56"/>
      <c r="O59" s="56"/>
      <c r="P59" s="56"/>
      <c r="Q59" s="56"/>
      <c r="R59" s="56"/>
      <c r="S59" s="56"/>
      <c r="T59" s="56"/>
      <c r="U59" s="56"/>
      <c r="V59" s="56"/>
      <c r="W59" s="56"/>
      <c r="X59" s="56"/>
      <c r="Y59" s="56"/>
      <c r="Z59" s="56"/>
      <c r="AA59" s="56"/>
      <c r="AB59" s="56"/>
      <c r="AC59" s="56"/>
      <c r="AD59" s="56"/>
      <c r="AE59" s="56"/>
      <c r="AF59" s="56"/>
      <c r="AG59" s="56"/>
      <c r="AH59" s="56"/>
      <c r="AI59" s="56"/>
      <c r="AJ59" s="56"/>
      <c r="AK59" s="56"/>
      <c r="AL59" s="56"/>
      <c r="AM59" s="56"/>
      <c r="AN59" s="56"/>
      <c r="AO59" s="56"/>
      <c r="AP59" s="56"/>
      <c r="AQ59" s="56"/>
      <c r="AR59" s="56"/>
      <c r="AS59" s="56"/>
      <c r="AT59" s="56"/>
      <c r="AU59" s="56"/>
      <c r="AV59" s="56"/>
      <c r="AW59" s="56"/>
      <c r="AX59" s="56"/>
    </row>
    <row r="60" spans="1:50" ht="15" customHeight="1" x14ac:dyDescent="0.25">
      <c r="A60" s="56"/>
      <c r="B60" s="149"/>
      <c r="C60" s="150"/>
      <c r="D60" s="105"/>
      <c r="E60" s="56" t="str">
        <f xml:space="preserve"> E$82</f>
        <v>one hundred</v>
      </c>
      <c r="F60" s="56">
        <f xml:space="preserve"> F$82</f>
        <v>100</v>
      </c>
      <c r="G60" s="56" t="str">
        <f xml:space="preserve"> G$82</f>
        <v>Constant</v>
      </c>
      <c r="H60" s="52"/>
      <c r="I60" s="52"/>
      <c r="J60" s="52"/>
      <c r="K60" s="56"/>
      <c r="L60" s="56"/>
      <c r="M60" s="56"/>
      <c r="N60" s="56"/>
      <c r="O60" s="56"/>
      <c r="P60" s="56"/>
      <c r="Q60" s="56"/>
      <c r="R60" s="56"/>
      <c r="S60" s="56"/>
      <c r="T60" s="56"/>
      <c r="U60" s="56"/>
      <c r="V60" s="56"/>
      <c r="W60" s="56"/>
      <c r="X60" s="56"/>
      <c r="Y60" s="56"/>
      <c r="Z60" s="56"/>
      <c r="AA60" s="56"/>
      <c r="AB60" s="56"/>
      <c r="AC60" s="56"/>
      <c r="AD60" s="56"/>
      <c r="AE60" s="56"/>
      <c r="AF60" s="56"/>
      <c r="AG60" s="56"/>
      <c r="AH60" s="56"/>
      <c r="AI60" s="56"/>
      <c r="AJ60" s="56"/>
      <c r="AK60" s="56"/>
      <c r="AL60" s="56"/>
      <c r="AM60" s="56"/>
      <c r="AN60" s="56"/>
      <c r="AO60" s="56"/>
      <c r="AP60" s="56"/>
      <c r="AQ60" s="56"/>
      <c r="AR60" s="56"/>
      <c r="AS60" s="56"/>
      <c r="AT60" s="56"/>
      <c r="AU60" s="56"/>
      <c r="AV60" s="56"/>
      <c r="AW60" s="56"/>
      <c r="AX60" s="56"/>
    </row>
    <row r="61" spans="1:50" ht="15" customHeight="1" x14ac:dyDescent="0.25">
      <c r="A61" s="56"/>
      <c r="B61" s="149"/>
      <c r="C61" s="150"/>
      <c r="D61" s="105"/>
      <c r="E61" s="85" t="str">
        <f>Translate!E554</f>
        <v>Net present value label</v>
      </c>
      <c r="F61" s="942" t="str">
        <f xml:space="preserve"> Translate!E$653</f>
        <v>NPV</v>
      </c>
      <c r="G61" s="56" t="str">
        <f>Translate!E$528</f>
        <v>Label</v>
      </c>
      <c r="H61" s="52"/>
      <c r="I61" s="52"/>
      <c r="J61" s="52"/>
      <c r="K61" s="56"/>
      <c r="L61" s="56"/>
      <c r="M61" s="56"/>
      <c r="N61" s="56"/>
      <c r="O61" s="56"/>
      <c r="P61" s="56"/>
      <c r="Q61" s="56"/>
      <c r="R61" s="56"/>
      <c r="S61" s="56"/>
      <c r="T61" s="56"/>
      <c r="U61" s="56"/>
      <c r="V61" s="56"/>
      <c r="W61" s="56"/>
      <c r="X61" s="56"/>
      <c r="Y61" s="56"/>
      <c r="Z61" s="56"/>
      <c r="AA61" s="56"/>
      <c r="AB61" s="56"/>
      <c r="AC61" s="56"/>
      <c r="AD61" s="56"/>
      <c r="AE61" s="56"/>
      <c r="AF61" s="56"/>
      <c r="AG61" s="56"/>
      <c r="AH61" s="56"/>
      <c r="AI61" s="56"/>
      <c r="AJ61" s="56"/>
      <c r="AK61" s="56"/>
      <c r="AL61" s="56"/>
      <c r="AM61" s="56"/>
      <c r="AN61" s="56"/>
      <c r="AO61" s="56"/>
      <c r="AP61" s="56"/>
      <c r="AQ61" s="56"/>
      <c r="AR61" s="56"/>
      <c r="AS61" s="56"/>
      <c r="AT61" s="56"/>
      <c r="AU61" s="56"/>
      <c r="AV61" s="56"/>
      <c r="AW61" s="56"/>
      <c r="AX61" s="56"/>
    </row>
    <row r="62" spans="1:50" ht="15" customHeight="1" x14ac:dyDescent="0.25">
      <c r="A62" s="56"/>
      <c r="B62" s="149"/>
      <c r="C62" s="150"/>
      <c r="D62" s="105"/>
      <c r="E62" s="85" t="str">
        <f>Translate!E555</f>
        <v>NPV label using discount rate</v>
      </c>
      <c r="F62" s="52" t="str">
        <f xml:space="preserve"> Translate!E$603 &amp; " " &amp; $F61 &amp; " " &amp; TEXT(F58 * F60, "#.0") &amp; " " &amp; Inputs!F$91</f>
        <v>US$ mn NPV 8.0 real</v>
      </c>
      <c r="G62" s="56" t="str">
        <f>Translate!E$528</f>
        <v>Label</v>
      </c>
      <c r="H62" s="52"/>
      <c r="I62" s="52"/>
      <c r="J62" s="52"/>
      <c r="K62" s="56"/>
      <c r="L62" s="56"/>
      <c r="M62" s="56"/>
      <c r="N62" s="56"/>
      <c r="O62" s="56"/>
      <c r="P62" s="56"/>
      <c r="Q62" s="56"/>
      <c r="R62" s="56"/>
      <c r="S62" s="56"/>
      <c r="T62" s="56"/>
      <c r="U62" s="56"/>
      <c r="V62" s="56"/>
      <c r="W62" s="56"/>
      <c r="X62" s="56"/>
      <c r="Y62" s="56"/>
      <c r="Z62" s="56"/>
      <c r="AA62" s="56"/>
      <c r="AB62" s="56"/>
      <c r="AC62" s="56"/>
      <c r="AD62" s="56"/>
      <c r="AE62" s="56"/>
      <c r="AF62" s="56"/>
      <c r="AG62" s="56"/>
      <c r="AH62" s="56"/>
      <c r="AI62" s="56"/>
      <c r="AJ62" s="56"/>
      <c r="AK62" s="56"/>
      <c r="AL62" s="56"/>
      <c r="AM62" s="56"/>
      <c r="AN62" s="56"/>
      <c r="AO62" s="56"/>
      <c r="AP62" s="56"/>
      <c r="AQ62" s="56"/>
      <c r="AR62" s="56"/>
      <c r="AS62" s="56"/>
      <c r="AT62" s="56"/>
      <c r="AU62" s="56"/>
      <c r="AV62" s="56"/>
      <c r="AW62" s="56"/>
      <c r="AX62" s="56"/>
    </row>
    <row r="63" spans="1:50" ht="15" customHeight="1" x14ac:dyDescent="0.25">
      <c r="A63" s="56"/>
      <c r="B63" s="149"/>
      <c r="C63" s="150"/>
      <c r="D63" s="105"/>
      <c r="E63" s="85" t="str">
        <f>Translate!E556</f>
        <v>Short NPV label</v>
      </c>
      <c r="F63" s="151" t="str">
        <f xml:space="preserve"> F61 &amp; F58 * F60</f>
        <v>NPV8</v>
      </c>
      <c r="G63" s="56" t="str">
        <f>Translate!E$528</f>
        <v>Label</v>
      </c>
      <c r="H63" s="52"/>
      <c r="I63" s="52"/>
      <c r="J63" s="52"/>
      <c r="K63" s="56"/>
      <c r="L63" s="56"/>
      <c r="M63" s="56"/>
      <c r="N63" s="56"/>
      <c r="O63" s="56"/>
      <c r="P63" s="56"/>
      <c r="Q63" s="56"/>
      <c r="R63" s="56"/>
      <c r="S63" s="56"/>
      <c r="T63" s="56"/>
      <c r="U63" s="56"/>
      <c r="V63" s="56"/>
      <c r="W63" s="56"/>
      <c r="X63" s="56"/>
      <c r="Y63" s="56"/>
      <c r="Z63" s="56"/>
      <c r="AA63" s="56"/>
      <c r="AB63" s="56"/>
      <c r="AC63" s="56"/>
      <c r="AD63" s="56"/>
      <c r="AE63" s="56"/>
      <c r="AF63" s="56"/>
      <c r="AG63" s="56"/>
      <c r="AH63" s="56"/>
      <c r="AI63" s="56"/>
      <c r="AJ63" s="56"/>
      <c r="AK63" s="56"/>
      <c r="AL63" s="56"/>
      <c r="AM63" s="56"/>
      <c r="AN63" s="56"/>
      <c r="AO63" s="56"/>
      <c r="AP63" s="56"/>
      <c r="AQ63" s="56"/>
      <c r="AR63" s="56"/>
      <c r="AS63" s="56"/>
      <c r="AT63" s="56"/>
      <c r="AU63" s="56"/>
      <c r="AV63" s="56"/>
      <c r="AW63" s="56"/>
      <c r="AX63" s="56"/>
    </row>
    <row r="64" spans="1:50" ht="15" customHeight="1" x14ac:dyDescent="0.25">
      <c r="A64" s="56"/>
      <c r="B64" s="149"/>
      <c r="C64" s="150"/>
      <c r="D64" s="105"/>
      <c r="E64" s="56"/>
      <c r="F64" s="151"/>
      <c r="G64" s="56"/>
      <c r="H64" s="52"/>
      <c r="I64" s="52"/>
      <c r="J64" s="52"/>
      <c r="K64" s="56"/>
      <c r="L64" s="56"/>
      <c r="M64" s="56"/>
      <c r="N64" s="56"/>
      <c r="O64" s="56"/>
      <c r="P64" s="56"/>
      <c r="Q64" s="56"/>
      <c r="R64" s="56"/>
      <c r="S64" s="56"/>
      <c r="T64" s="56"/>
      <c r="U64" s="56"/>
      <c r="V64" s="56"/>
      <c r="W64" s="56"/>
      <c r="X64" s="56"/>
      <c r="Y64" s="56"/>
      <c r="Z64" s="56"/>
      <c r="AA64" s="56"/>
      <c r="AB64" s="56"/>
      <c r="AC64" s="56"/>
      <c r="AD64" s="56"/>
      <c r="AE64" s="56"/>
      <c r="AF64" s="56"/>
      <c r="AG64" s="56"/>
      <c r="AH64" s="56"/>
      <c r="AI64" s="56"/>
      <c r="AJ64" s="56"/>
      <c r="AK64" s="56"/>
      <c r="AL64" s="56"/>
      <c r="AM64" s="56"/>
      <c r="AN64" s="56"/>
      <c r="AO64" s="56"/>
      <c r="AP64" s="56"/>
      <c r="AQ64" s="56"/>
      <c r="AR64" s="56"/>
      <c r="AS64" s="56"/>
      <c r="AT64" s="56"/>
      <c r="AU64" s="56"/>
      <c r="AV64" s="56"/>
      <c r="AW64" s="56"/>
      <c r="AX64" s="56"/>
    </row>
    <row r="65" spans="1:50" ht="15" customHeight="1" x14ac:dyDescent="0.25">
      <c r="A65" s="202" t="str">
        <f>Translate!$E$678</f>
        <v>GHG emissions</v>
      </c>
      <c r="B65" s="99"/>
      <c r="C65" s="100"/>
      <c r="D65" s="99"/>
      <c r="E65" s="99"/>
      <c r="F65" s="99"/>
      <c r="G65" s="99"/>
      <c r="H65" s="99"/>
      <c r="I65" s="99"/>
      <c r="J65" s="99"/>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row>
    <row r="66" spans="1:50" ht="15" customHeight="1" x14ac:dyDescent="0.25">
      <c r="A66" s="130"/>
      <c r="B66" s="131"/>
      <c r="C66" s="132"/>
      <c r="D66" s="133"/>
      <c r="G66" s="89"/>
      <c r="H66" s="134"/>
      <c r="I66" s="134"/>
      <c r="J66" s="134"/>
      <c r="M66" s="89"/>
    </row>
    <row r="67" spans="1:50" ht="15" customHeight="1" x14ac:dyDescent="0.25">
      <c r="A67" s="130"/>
      <c r="B67" s="131"/>
      <c r="C67" s="132"/>
      <c r="D67" s="133"/>
      <c r="E67" s="85" t="str">
        <f>Translate!E557</f>
        <v>Scope 1: Upstream carbon intensity</v>
      </c>
      <c r="F67" s="1076">
        <v>10.3</v>
      </c>
      <c r="G67" s="421" t="str">
        <f xml:space="preserve"> Translate!E$782</f>
        <v>g CO2 eq/MJ</v>
      </c>
      <c r="H67" s="134"/>
      <c r="I67" s="134"/>
      <c r="J67" s="134"/>
      <c r="K67" s="143"/>
      <c r="L67" s="133"/>
      <c r="M67" s="144"/>
      <c r="N67" s="144"/>
      <c r="O67" s="144"/>
      <c r="P67" s="143"/>
      <c r="Q67" s="143"/>
      <c r="R67" s="143"/>
      <c r="S67" s="143"/>
      <c r="T67" s="143"/>
      <c r="U67" s="143"/>
      <c r="V67" s="143"/>
      <c r="W67" s="143"/>
      <c r="X67" s="143"/>
      <c r="Y67" s="143"/>
      <c r="Z67" s="143"/>
      <c r="AA67" s="143"/>
      <c r="AB67" s="143"/>
      <c r="AC67" s="143"/>
      <c r="AD67" s="143"/>
      <c r="AE67" s="143"/>
      <c r="AF67" s="143"/>
      <c r="AG67" s="143"/>
      <c r="AH67" s="143"/>
      <c r="AI67" s="143"/>
      <c r="AJ67" s="143"/>
      <c r="AK67" s="143"/>
      <c r="AL67" s="143"/>
      <c r="AM67" s="143"/>
      <c r="AN67" s="143"/>
      <c r="AO67" s="143"/>
      <c r="AP67" s="143"/>
      <c r="AQ67" s="143"/>
      <c r="AR67" s="143"/>
      <c r="AS67" s="143"/>
      <c r="AT67" s="143"/>
      <c r="AU67" s="143"/>
      <c r="AV67" s="143"/>
      <c r="AW67" s="143"/>
      <c r="AX67" s="143"/>
    </row>
    <row r="68" spans="1:50" ht="15" customHeight="1" x14ac:dyDescent="0.25">
      <c r="A68" s="130"/>
      <c r="B68" s="131"/>
      <c r="C68" s="132"/>
      <c r="D68" s="133"/>
      <c r="E68" s="85" t="str">
        <f>Translate!E558</f>
        <v>Scope 3: Emissions per barrel of oil consumed</v>
      </c>
      <c r="F68" s="531">
        <v>0.43</v>
      </c>
      <c r="G68" s="421" t="str">
        <f xml:space="preserve"> Translate!E$783</f>
        <v>t CO2/barrel</v>
      </c>
      <c r="H68" s="134"/>
      <c r="I68" s="134"/>
      <c r="J68" s="134"/>
      <c r="K68" s="143"/>
      <c r="L68" s="133"/>
      <c r="M68" s="144"/>
      <c r="N68" s="144"/>
      <c r="O68" s="144"/>
      <c r="P68" s="143"/>
      <c r="Q68" s="143"/>
      <c r="R68" s="143"/>
      <c r="S68" s="143"/>
      <c r="T68" s="143"/>
      <c r="U68" s="143"/>
      <c r="V68" s="143"/>
      <c r="W68" s="143"/>
      <c r="X68" s="143"/>
      <c r="Y68" s="143"/>
      <c r="Z68" s="143"/>
      <c r="AA68" s="143"/>
      <c r="AB68" s="143"/>
      <c r="AC68" s="143"/>
      <c r="AD68" s="143"/>
      <c r="AE68" s="143"/>
      <c r="AF68" s="143"/>
      <c r="AG68" s="143"/>
      <c r="AH68" s="143"/>
      <c r="AI68" s="143"/>
      <c r="AJ68" s="143"/>
      <c r="AK68" s="143"/>
      <c r="AL68" s="143"/>
      <c r="AM68" s="143"/>
      <c r="AN68" s="143"/>
      <c r="AO68" s="143"/>
      <c r="AP68" s="143"/>
      <c r="AQ68" s="143"/>
      <c r="AR68" s="143"/>
      <c r="AS68" s="143"/>
      <c r="AT68" s="143"/>
      <c r="AU68" s="143"/>
      <c r="AV68" s="143"/>
      <c r="AW68" s="143"/>
      <c r="AX68" s="143"/>
    </row>
    <row r="69" spans="1:50" ht="15" customHeight="1" x14ac:dyDescent="0.25">
      <c r="A69" s="130"/>
      <c r="B69" s="131"/>
      <c r="C69" s="132"/>
      <c r="D69" s="133"/>
      <c r="E69" s="85" t="str">
        <f>Translate!E559</f>
        <v>BoE energy content</v>
      </c>
      <c r="F69" s="449">
        <v>6120</v>
      </c>
      <c r="G69" s="421" t="str">
        <f xml:space="preserve"> Translate!E$784</f>
        <v>MJ/BoE</v>
      </c>
      <c r="H69" s="134"/>
      <c r="I69" s="134"/>
      <c r="J69" s="134"/>
      <c r="K69" s="143"/>
      <c r="L69" s="133"/>
      <c r="M69" s="144"/>
      <c r="N69" s="144"/>
      <c r="O69" s="144"/>
      <c r="P69" s="143"/>
      <c r="Q69" s="143"/>
      <c r="R69" s="143"/>
      <c r="S69" s="143"/>
      <c r="T69" s="143"/>
      <c r="U69" s="143"/>
      <c r="V69" s="143"/>
      <c r="W69" s="143"/>
      <c r="X69" s="143"/>
      <c r="Y69" s="143"/>
      <c r="Z69" s="143"/>
      <c r="AA69" s="143"/>
      <c r="AB69" s="143"/>
      <c r="AC69" s="143"/>
      <c r="AD69" s="143"/>
      <c r="AE69" s="143"/>
      <c r="AF69" s="143"/>
      <c r="AG69" s="143"/>
      <c r="AH69" s="143"/>
      <c r="AI69" s="143"/>
      <c r="AJ69" s="143"/>
      <c r="AK69" s="143"/>
      <c r="AL69" s="143"/>
      <c r="AM69" s="143"/>
      <c r="AN69" s="143"/>
      <c r="AO69" s="143"/>
      <c r="AP69" s="143"/>
      <c r="AQ69" s="143"/>
      <c r="AR69" s="143"/>
      <c r="AS69" s="143"/>
      <c r="AT69" s="143"/>
      <c r="AU69" s="143"/>
      <c r="AV69" s="143"/>
      <c r="AW69" s="143"/>
      <c r="AX69" s="143"/>
    </row>
    <row r="70" spans="1:50" ht="15" customHeight="1" x14ac:dyDescent="0.25">
      <c r="A70" s="56"/>
      <c r="B70" s="149"/>
      <c r="C70" s="150"/>
      <c r="D70" s="105"/>
      <c r="E70" s="56"/>
      <c r="F70" s="151"/>
      <c r="G70" s="56"/>
      <c r="H70" s="52"/>
      <c r="I70" s="52"/>
      <c r="J70" s="52"/>
      <c r="K70" s="56"/>
      <c r="L70" s="56"/>
      <c r="M70" s="56"/>
      <c r="N70" s="56"/>
      <c r="O70" s="56"/>
      <c r="P70" s="56"/>
      <c r="Q70" s="56"/>
      <c r="R70" s="56"/>
      <c r="S70" s="56"/>
      <c r="T70" s="56"/>
      <c r="U70" s="56"/>
      <c r="V70" s="56"/>
      <c r="W70" s="56"/>
      <c r="X70" s="56"/>
      <c r="Y70" s="56"/>
      <c r="Z70" s="56"/>
      <c r="AA70" s="56"/>
      <c r="AB70" s="56"/>
      <c r="AC70" s="56"/>
      <c r="AD70" s="56"/>
      <c r="AE70" s="56"/>
      <c r="AF70" s="56"/>
      <c r="AG70" s="56"/>
      <c r="AH70" s="56"/>
      <c r="AI70" s="56"/>
      <c r="AJ70" s="56"/>
      <c r="AK70" s="56"/>
      <c r="AL70" s="56"/>
      <c r="AM70" s="56"/>
      <c r="AN70" s="56"/>
      <c r="AO70" s="56"/>
      <c r="AP70" s="56"/>
      <c r="AQ70" s="56"/>
      <c r="AR70" s="56"/>
      <c r="AS70" s="56"/>
      <c r="AT70" s="56"/>
      <c r="AU70" s="56"/>
      <c r="AV70" s="56"/>
      <c r="AW70" s="56"/>
      <c r="AX70" s="56"/>
    </row>
    <row r="71" spans="1:50" ht="15" customHeight="1" x14ac:dyDescent="0.25">
      <c r="A71" s="99" t="str">
        <f xml:space="preserve"> Translate!E$752</f>
        <v>Model name and version</v>
      </c>
      <c r="B71" s="99"/>
      <c r="C71" s="100"/>
      <c r="D71" s="99"/>
      <c r="E71" s="99"/>
      <c r="F71" s="99"/>
      <c r="G71" s="99"/>
      <c r="H71" s="99"/>
      <c r="I71" s="99"/>
      <c r="J71" s="99"/>
      <c r="K71" s="56"/>
      <c r="L71" s="56"/>
      <c r="M71" s="56"/>
      <c r="N71" s="56"/>
      <c r="O71" s="56"/>
      <c r="P71" s="56"/>
      <c r="Q71" s="56"/>
      <c r="R71" s="56"/>
      <c r="S71" s="56"/>
      <c r="T71" s="56"/>
      <c r="U71" s="56"/>
      <c r="V71" s="56"/>
      <c r="W71" s="56"/>
      <c r="X71" s="56"/>
      <c r="Y71" s="56"/>
      <c r="Z71" s="56"/>
      <c r="AA71" s="56"/>
      <c r="AB71" s="56"/>
      <c r="AC71" s="56"/>
      <c r="AD71" s="56"/>
      <c r="AE71" s="56"/>
      <c r="AF71" s="56"/>
      <c r="AG71" s="56"/>
      <c r="AH71" s="56"/>
      <c r="AI71" s="56"/>
      <c r="AJ71" s="56"/>
      <c r="AK71" s="56"/>
      <c r="AL71" s="56"/>
      <c r="AM71" s="56"/>
      <c r="AN71" s="56"/>
      <c r="AO71" s="56"/>
      <c r="AP71" s="56"/>
      <c r="AQ71" s="56"/>
      <c r="AR71" s="56"/>
      <c r="AS71" s="56"/>
      <c r="AT71" s="56"/>
      <c r="AU71" s="56"/>
      <c r="AV71" s="56"/>
      <c r="AW71" s="56"/>
      <c r="AX71" s="56"/>
    </row>
    <row r="72" spans="1:50" ht="15" customHeight="1" x14ac:dyDescent="0.25">
      <c r="A72" s="56"/>
      <c r="B72" s="149"/>
      <c r="C72" s="150"/>
      <c r="D72" s="105"/>
      <c r="E72" s="56"/>
      <c r="F72" s="151"/>
      <c r="G72" s="56"/>
      <c r="H72" s="52"/>
      <c r="I72" s="52"/>
      <c r="J72" s="52"/>
      <c r="K72" s="56"/>
      <c r="L72" s="56"/>
      <c r="M72" s="56"/>
      <c r="N72" s="56"/>
      <c r="O72" s="56"/>
      <c r="P72" s="56"/>
      <c r="Q72" s="56"/>
      <c r="R72" s="56"/>
      <c r="S72" s="56"/>
      <c r="T72" s="56"/>
      <c r="U72" s="56"/>
      <c r="V72" s="56"/>
      <c r="W72" s="56"/>
      <c r="X72" s="56"/>
      <c r="Y72" s="56"/>
      <c r="Z72" s="56"/>
      <c r="AA72" s="56"/>
      <c r="AB72" s="56"/>
      <c r="AC72" s="56"/>
      <c r="AD72" s="56"/>
      <c r="AE72" s="56"/>
      <c r="AF72" s="56"/>
      <c r="AG72" s="56"/>
      <c r="AH72" s="56"/>
      <c r="AI72" s="56"/>
      <c r="AJ72" s="56"/>
      <c r="AK72" s="56"/>
      <c r="AL72" s="56"/>
      <c r="AM72" s="56"/>
      <c r="AN72" s="56"/>
      <c r="AO72" s="56"/>
      <c r="AP72" s="56"/>
      <c r="AQ72" s="56"/>
      <c r="AR72" s="56"/>
      <c r="AS72" s="56"/>
      <c r="AT72" s="56"/>
      <c r="AU72" s="56"/>
      <c r="AV72" s="56"/>
      <c r="AW72" s="56"/>
      <c r="AX72" s="56"/>
    </row>
    <row r="73" spans="1:50" ht="15" customHeight="1" x14ac:dyDescent="0.25">
      <c r="A73" s="56"/>
      <c r="B73" s="149"/>
      <c r="C73" s="150"/>
      <c r="D73" s="105"/>
      <c r="E73" s="958" t="s">
        <v>34</v>
      </c>
      <c r="F73" s="535" t="str">
        <f xml:space="preserve"> Translate!E$774</f>
        <v>Name</v>
      </c>
      <c r="G73" s="56"/>
      <c r="H73" s="52"/>
      <c r="I73" s="52"/>
      <c r="J73" s="52"/>
      <c r="K73" s="56"/>
      <c r="L73" s="56"/>
      <c r="M73" s="56"/>
      <c r="N73" s="56"/>
      <c r="O73" s="56"/>
      <c r="P73" s="56"/>
      <c r="Q73" s="56"/>
      <c r="R73" s="56"/>
      <c r="S73" s="56"/>
      <c r="T73" s="56"/>
      <c r="U73" s="56"/>
      <c r="V73" s="56"/>
      <c r="W73" s="56"/>
      <c r="X73" s="56"/>
      <c r="Y73" s="56"/>
      <c r="Z73" s="56"/>
      <c r="AA73" s="56"/>
      <c r="AB73" s="56"/>
      <c r="AC73" s="56"/>
      <c r="AD73" s="56"/>
      <c r="AE73" s="56"/>
      <c r="AF73" s="56"/>
      <c r="AG73" s="56"/>
      <c r="AH73" s="56"/>
      <c r="AI73" s="56"/>
      <c r="AJ73" s="56"/>
      <c r="AK73" s="56"/>
      <c r="AL73" s="56"/>
      <c r="AM73" s="56"/>
      <c r="AN73" s="56"/>
      <c r="AO73" s="56"/>
      <c r="AP73" s="56"/>
      <c r="AQ73" s="56"/>
      <c r="AR73" s="56"/>
      <c r="AS73" s="56"/>
      <c r="AT73" s="56"/>
      <c r="AU73" s="56"/>
      <c r="AV73" s="56"/>
      <c r="AW73" s="56"/>
      <c r="AX73" s="56"/>
    </row>
    <row r="74" spans="1:50" ht="15" customHeight="1" x14ac:dyDescent="0.25">
      <c r="A74" s="56"/>
      <c r="B74" s="149"/>
      <c r="C74" s="150"/>
      <c r="D74" s="105"/>
      <c r="E74" s="1033" t="s">
        <v>35</v>
      </c>
      <c r="F74" s="535" t="str">
        <f xml:space="preserve"> Translate!E$781</f>
        <v>Date</v>
      </c>
      <c r="G74" s="56"/>
      <c r="H74" s="52"/>
      <c r="I74" s="52"/>
      <c r="J74" s="52"/>
      <c r="K74" s="56"/>
      <c r="L74" s="56"/>
      <c r="M74" s="56"/>
      <c r="N74" s="56"/>
      <c r="O74" s="56"/>
      <c r="P74" s="56"/>
      <c r="Q74" s="56"/>
      <c r="R74" s="56"/>
      <c r="S74" s="56"/>
      <c r="T74" s="56"/>
      <c r="U74" s="56"/>
      <c r="V74" s="56"/>
      <c r="W74" s="56"/>
      <c r="X74" s="56"/>
      <c r="Y74" s="56"/>
      <c r="Z74" s="56"/>
      <c r="AA74" s="56"/>
      <c r="AB74" s="56"/>
      <c r="AC74" s="56"/>
      <c r="AD74" s="56"/>
      <c r="AE74" s="56"/>
      <c r="AF74" s="56"/>
      <c r="AG74" s="56"/>
      <c r="AH74" s="56"/>
      <c r="AI74" s="56"/>
      <c r="AJ74" s="56"/>
      <c r="AK74" s="56"/>
      <c r="AL74" s="56"/>
      <c r="AM74" s="56"/>
      <c r="AN74" s="56"/>
      <c r="AO74" s="56"/>
      <c r="AP74" s="56"/>
      <c r="AQ74" s="56"/>
      <c r="AR74" s="56"/>
      <c r="AS74" s="56"/>
      <c r="AT74" s="56"/>
      <c r="AU74" s="56"/>
      <c r="AV74" s="56"/>
      <c r="AW74" s="56"/>
      <c r="AX74" s="56"/>
    </row>
    <row r="75" spans="1:50" ht="15" customHeight="1" x14ac:dyDescent="0.25">
      <c r="A75" s="56"/>
      <c r="B75" s="149"/>
      <c r="C75" s="150"/>
      <c r="D75" s="105"/>
      <c r="E75" s="3" t="str">
        <f>E73 &amp; ": " &amp; E74</f>
        <v>Simplified Petroleum FARI model: April 2022</v>
      </c>
      <c r="F75" s="151" t="str">
        <f>Translate!E$528</f>
        <v>Label</v>
      </c>
      <c r="G75" s="56"/>
      <c r="H75" s="52"/>
      <c r="I75" s="52"/>
      <c r="J75" s="52"/>
      <c r="K75" s="56"/>
      <c r="L75" s="56"/>
      <c r="M75" s="56"/>
      <c r="N75" s="56"/>
      <c r="O75" s="56"/>
      <c r="P75" s="56"/>
      <c r="Q75" s="56"/>
      <c r="R75" s="56"/>
      <c r="S75" s="56"/>
      <c r="T75" s="56"/>
      <c r="U75" s="56"/>
      <c r="V75" s="56"/>
      <c r="W75" s="56"/>
      <c r="X75" s="56"/>
      <c r="Y75" s="56"/>
      <c r="Z75" s="56"/>
      <c r="AA75" s="56"/>
      <c r="AB75" s="56"/>
      <c r="AC75" s="56"/>
      <c r="AD75" s="56"/>
      <c r="AE75" s="56"/>
      <c r="AF75" s="56"/>
      <c r="AG75" s="56"/>
      <c r="AH75" s="56"/>
      <c r="AI75" s="56"/>
      <c r="AJ75" s="56"/>
      <c r="AK75" s="56"/>
      <c r="AL75" s="56"/>
      <c r="AM75" s="56"/>
      <c r="AN75" s="56"/>
      <c r="AO75" s="56"/>
      <c r="AP75" s="56"/>
      <c r="AQ75" s="56"/>
      <c r="AR75" s="56"/>
      <c r="AS75" s="56"/>
      <c r="AT75" s="56"/>
      <c r="AU75" s="56"/>
      <c r="AV75" s="56"/>
      <c r="AW75" s="56"/>
      <c r="AX75" s="56"/>
    </row>
    <row r="76" spans="1:50" ht="15" customHeight="1" x14ac:dyDescent="0.25">
      <c r="A76" s="56"/>
      <c r="B76" s="149"/>
      <c r="C76" s="150"/>
      <c r="D76" s="105"/>
      <c r="E76" s="56"/>
      <c r="F76" s="151"/>
      <c r="G76" s="56"/>
      <c r="H76" s="52"/>
      <c r="I76" s="52"/>
      <c r="J76" s="52"/>
      <c r="K76" s="56"/>
      <c r="L76" s="56"/>
      <c r="M76" s="56"/>
      <c r="N76" s="56"/>
      <c r="O76" s="56"/>
      <c r="P76" s="56"/>
      <c r="Q76" s="56"/>
      <c r="R76" s="56"/>
      <c r="S76" s="56"/>
      <c r="T76" s="56"/>
      <c r="U76" s="56"/>
      <c r="V76" s="56"/>
      <c r="W76" s="56"/>
      <c r="X76" s="56"/>
      <c r="Y76" s="56"/>
      <c r="Z76" s="56"/>
      <c r="AA76" s="56"/>
      <c r="AB76" s="56"/>
      <c r="AC76" s="56"/>
      <c r="AD76" s="56"/>
      <c r="AE76" s="56"/>
      <c r="AF76" s="56"/>
      <c r="AG76" s="56"/>
      <c r="AH76" s="56"/>
      <c r="AI76" s="56"/>
      <c r="AJ76" s="56"/>
      <c r="AK76" s="56"/>
      <c r="AL76" s="56"/>
      <c r="AM76" s="56"/>
      <c r="AN76" s="56"/>
      <c r="AO76" s="56"/>
      <c r="AP76" s="56"/>
      <c r="AQ76" s="56"/>
      <c r="AR76" s="56"/>
      <c r="AS76" s="56"/>
      <c r="AT76" s="56"/>
      <c r="AU76" s="56"/>
      <c r="AV76" s="56"/>
      <c r="AW76" s="56"/>
      <c r="AX76" s="56"/>
    </row>
    <row r="77" spans="1:50" ht="15" customHeight="1" x14ac:dyDescent="0.25">
      <c r="A77" s="99" t="str">
        <f xml:space="preserve"> Translate!E$753</f>
        <v>Technical parameters</v>
      </c>
      <c r="B77" s="99"/>
      <c r="C77" s="100"/>
      <c r="D77" s="99"/>
      <c r="E77" s="99"/>
      <c r="F77" s="99"/>
      <c r="G77" s="99"/>
      <c r="H77" s="99"/>
      <c r="I77" s="99"/>
      <c r="J77" s="99"/>
      <c r="K77" s="56"/>
      <c r="L77" s="56"/>
      <c r="M77" s="56"/>
      <c r="N77" s="56"/>
      <c r="O77" s="56"/>
      <c r="P77" s="56"/>
      <c r="Q77" s="56"/>
      <c r="R77" s="56"/>
      <c r="S77" s="56"/>
      <c r="T77" s="56"/>
      <c r="U77" s="56"/>
      <c r="V77" s="56"/>
      <c r="W77" s="56"/>
      <c r="X77" s="56"/>
      <c r="Y77" s="56"/>
      <c r="Z77" s="56"/>
      <c r="AA77" s="56"/>
      <c r="AB77" s="56"/>
      <c r="AC77" s="56"/>
      <c r="AD77" s="56"/>
      <c r="AE77" s="56"/>
      <c r="AF77" s="56"/>
      <c r="AG77" s="56"/>
      <c r="AH77" s="56"/>
      <c r="AI77" s="56"/>
      <c r="AJ77" s="56"/>
      <c r="AK77" s="56"/>
      <c r="AL77" s="56"/>
      <c r="AM77" s="56"/>
      <c r="AN77" s="56"/>
      <c r="AO77" s="56"/>
      <c r="AP77" s="56"/>
      <c r="AQ77" s="56"/>
      <c r="AR77" s="56"/>
      <c r="AS77" s="56"/>
      <c r="AT77" s="56"/>
      <c r="AU77" s="56"/>
      <c r="AV77" s="56"/>
      <c r="AW77" s="56"/>
      <c r="AX77" s="56"/>
    </row>
    <row r="78" spans="1:50" ht="15" customHeight="1" x14ac:dyDescent="0.25">
      <c r="A78" s="130"/>
      <c r="B78" s="131"/>
      <c r="C78" s="132"/>
      <c r="D78" s="133"/>
      <c r="G78" s="89"/>
      <c r="H78" s="134"/>
      <c r="I78" s="134"/>
      <c r="J78" s="134"/>
      <c r="M78" s="89"/>
    </row>
    <row r="79" spans="1:50" ht="15" customHeight="1" x14ac:dyDescent="0.25">
      <c r="A79" s="130"/>
      <c r="B79" s="131"/>
      <c r="C79" s="132"/>
      <c r="D79" s="133"/>
      <c r="E79" s="52" t="str">
        <f>Translate!E560</f>
        <v>Production days per year</v>
      </c>
      <c r="F79" s="125">
        <v>365</v>
      </c>
      <c r="G79" s="421" t="str">
        <f xml:space="preserve"> Translate!E$778</f>
        <v>Days</v>
      </c>
      <c r="H79" s="134"/>
      <c r="I79" s="134"/>
      <c r="J79" s="134"/>
      <c r="K79" s="143"/>
      <c r="L79" s="133"/>
      <c r="M79" s="144"/>
      <c r="N79" s="144"/>
      <c r="O79" s="144"/>
      <c r="P79" s="143"/>
      <c r="Q79" s="143"/>
      <c r="R79" s="143"/>
      <c r="S79" s="143"/>
      <c r="T79" s="143"/>
      <c r="U79" s="143"/>
      <c r="V79" s="143"/>
      <c r="W79" s="143"/>
      <c r="X79" s="143"/>
      <c r="Y79" s="143"/>
      <c r="Z79" s="143"/>
      <c r="AA79" s="143"/>
      <c r="AB79" s="143"/>
      <c r="AC79" s="143"/>
      <c r="AD79" s="143"/>
      <c r="AE79" s="143"/>
      <c r="AF79" s="143"/>
      <c r="AG79" s="143"/>
      <c r="AH79" s="143"/>
      <c r="AI79" s="143"/>
      <c r="AJ79" s="143"/>
      <c r="AK79" s="143"/>
      <c r="AL79" s="143"/>
      <c r="AM79" s="143"/>
      <c r="AN79" s="143"/>
      <c r="AO79" s="143"/>
      <c r="AP79" s="143"/>
      <c r="AQ79" s="143"/>
      <c r="AR79" s="143"/>
      <c r="AS79" s="143"/>
      <c r="AT79" s="143"/>
      <c r="AU79" s="143"/>
      <c r="AV79" s="143"/>
      <c r="AW79" s="143"/>
      <c r="AX79" s="143"/>
    </row>
    <row r="80" spans="1:50" ht="15" customHeight="1" x14ac:dyDescent="0.25">
      <c r="A80" s="274"/>
      <c r="B80" s="248"/>
      <c r="C80" s="226"/>
      <c r="D80" s="55"/>
      <c r="E80" s="52" t="str">
        <f>Translate!E561</f>
        <v>one million</v>
      </c>
      <c r="F80" s="125">
        <v>1000000</v>
      </c>
      <c r="G80" s="422" t="str">
        <f xml:space="preserve"> Translate!E$598</f>
        <v>Constant</v>
      </c>
      <c r="H80" s="55"/>
      <c r="I80" s="55"/>
      <c r="J80" s="55"/>
      <c r="K80" s="55"/>
      <c r="L80" s="55"/>
      <c r="M80" s="477"/>
      <c r="N80" s="477"/>
      <c r="O80" s="477"/>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row>
    <row r="81" spans="1:50" ht="15" customHeight="1" x14ac:dyDescent="0.25">
      <c r="A81" s="274"/>
      <c r="B81" s="248"/>
      <c r="C81" s="226"/>
      <c r="D81" s="55"/>
      <c r="E81" s="52" t="str">
        <f>Translate!E562</f>
        <v>one thousand</v>
      </c>
      <c r="F81" s="125">
        <f xml:space="preserve"> 10^3</f>
        <v>1000</v>
      </c>
      <c r="G81" s="422" t="str">
        <f xml:space="preserve"> Translate!E$598</f>
        <v>Constant</v>
      </c>
      <c r="H81" s="55"/>
      <c r="I81" s="55"/>
      <c r="J81" s="55"/>
      <c r="K81" s="55"/>
      <c r="L81" s="55"/>
      <c r="M81" s="477"/>
      <c r="N81" s="477"/>
      <c r="O81" s="477"/>
      <c r="P81" s="55"/>
      <c r="Q81" s="55"/>
      <c r="R81" s="55"/>
      <c r="S81" s="55"/>
      <c r="T81" s="55"/>
      <c r="U81" s="55"/>
      <c r="V81" s="55"/>
      <c r="W81" s="55"/>
      <c r="X81" s="55"/>
      <c r="Y81" s="55"/>
      <c r="Z81" s="55"/>
      <c r="AA81" s="55"/>
      <c r="AB81" s="55"/>
      <c r="AC81" s="55"/>
      <c r="AD81" s="55"/>
      <c r="AE81" s="55"/>
      <c r="AF81" s="55"/>
      <c r="AG81" s="55"/>
      <c r="AH81" s="55"/>
      <c r="AI81" s="55"/>
      <c r="AJ81" s="55"/>
      <c r="AK81" s="55"/>
      <c r="AL81" s="55"/>
      <c r="AM81" s="55"/>
      <c r="AN81" s="55"/>
      <c r="AO81" s="55"/>
      <c r="AP81" s="55"/>
      <c r="AQ81" s="55"/>
      <c r="AR81" s="55"/>
      <c r="AS81" s="55"/>
      <c r="AT81" s="55"/>
      <c r="AU81" s="55"/>
      <c r="AV81" s="55"/>
      <c r="AW81" s="55"/>
      <c r="AX81" s="55"/>
    </row>
    <row r="82" spans="1:50" ht="15" customHeight="1" x14ac:dyDescent="0.25">
      <c r="A82" s="274"/>
      <c r="B82" s="248"/>
      <c r="C82" s="226"/>
      <c r="D82" s="55"/>
      <c r="E82" s="52" t="str">
        <f>Translate!E563</f>
        <v>one hundred</v>
      </c>
      <c r="F82" s="125">
        <v>100</v>
      </c>
      <c r="G82" s="422" t="str">
        <f xml:space="preserve"> Translate!E$598</f>
        <v>Constant</v>
      </c>
      <c r="H82" s="55"/>
      <c r="I82" s="55"/>
      <c r="J82" s="55"/>
      <c r="K82" s="55"/>
      <c r="L82" s="55"/>
      <c r="M82" s="477"/>
      <c r="N82" s="477"/>
      <c r="O82" s="477"/>
      <c r="P82" s="55"/>
      <c r="Q82" s="55"/>
      <c r="R82" s="55"/>
      <c r="S82" s="55"/>
      <c r="T82" s="55"/>
      <c r="U82" s="55"/>
      <c r="V82" s="55"/>
      <c r="W82" s="55"/>
      <c r="X82" s="55"/>
      <c r="Y82" s="55"/>
      <c r="Z82" s="55"/>
      <c r="AA82" s="55"/>
      <c r="AB82" s="55"/>
      <c r="AC82" s="55"/>
      <c r="AD82" s="55"/>
      <c r="AE82" s="55"/>
      <c r="AF82" s="55"/>
      <c r="AG82" s="55"/>
      <c r="AH82" s="55"/>
      <c r="AI82" s="55"/>
      <c r="AJ82" s="55"/>
      <c r="AK82" s="55"/>
      <c r="AL82" s="55"/>
      <c r="AM82" s="55"/>
      <c r="AN82" s="55"/>
      <c r="AO82" s="55"/>
      <c r="AP82" s="55"/>
      <c r="AQ82" s="55"/>
      <c r="AR82" s="55"/>
      <c r="AS82" s="55"/>
      <c r="AT82" s="55"/>
      <c r="AU82" s="55"/>
      <c r="AV82" s="55"/>
      <c r="AW82" s="55"/>
      <c r="AX82" s="55"/>
    </row>
    <row r="83" spans="1:50" ht="15" customHeight="1" x14ac:dyDescent="0.25">
      <c r="A83" s="56"/>
      <c r="B83" s="149"/>
      <c r="C83" s="150"/>
      <c r="D83" s="105"/>
      <c r="E83" s="52" t="str">
        <f>Translate!E564</f>
        <v>Model check tolerance level</v>
      </c>
      <c r="F83" s="478">
        <v>9.9999999999999995E-7</v>
      </c>
      <c r="G83" s="412" t="str">
        <f xml:space="preserve"> Translate!E$779</f>
        <v>Tolerance</v>
      </c>
      <c r="H83" s="52"/>
      <c r="I83" s="52"/>
      <c r="J83" s="52"/>
      <c r="K83" s="56"/>
      <c r="L83" s="56"/>
      <c r="M83" s="56"/>
      <c r="N83" s="56"/>
      <c r="O83" s="56"/>
      <c r="P83" s="56"/>
      <c r="Q83" s="56"/>
      <c r="R83" s="56"/>
      <c r="S83" s="56"/>
      <c r="T83" s="56"/>
      <c r="U83" s="56"/>
      <c r="V83" s="56"/>
      <c r="W83" s="56"/>
      <c r="X83" s="56"/>
      <c r="Y83" s="56"/>
      <c r="Z83" s="56"/>
      <c r="AA83" s="56"/>
      <c r="AB83" s="56"/>
      <c r="AC83" s="56"/>
      <c r="AD83" s="56"/>
      <c r="AE83" s="56"/>
      <c r="AF83" s="56"/>
      <c r="AG83" s="56"/>
      <c r="AH83" s="56"/>
      <c r="AI83" s="56"/>
      <c r="AJ83" s="56"/>
      <c r="AK83" s="56"/>
      <c r="AL83" s="56"/>
      <c r="AM83" s="56"/>
      <c r="AN83" s="56"/>
      <c r="AO83" s="56"/>
      <c r="AP83" s="56"/>
      <c r="AQ83" s="56"/>
      <c r="AR83" s="56"/>
      <c r="AS83" s="56"/>
      <c r="AT83" s="56"/>
      <c r="AU83" s="56"/>
      <c r="AV83" s="56"/>
      <c r="AW83" s="56"/>
      <c r="AX83" s="56"/>
    </row>
    <row r="84" spans="1:50" ht="15" customHeight="1" x14ac:dyDescent="0.25"/>
    <row r="85" spans="1:50" ht="15" customHeight="1" x14ac:dyDescent="0.25">
      <c r="A85" s="99" t="str">
        <f xml:space="preserve"> Translate!E$754</f>
        <v>Global labels</v>
      </c>
      <c r="B85" s="99"/>
      <c r="C85" s="100"/>
      <c r="D85" s="99"/>
      <c r="E85" s="99"/>
      <c r="F85" s="99"/>
      <c r="G85" s="99"/>
      <c r="H85" s="99"/>
      <c r="I85" s="99"/>
      <c r="J85" s="99"/>
      <c r="K85" s="56"/>
      <c r="L85" s="56"/>
      <c r="M85" s="56"/>
      <c r="N85" s="56"/>
      <c r="O85" s="56"/>
      <c r="P85" s="56"/>
      <c r="Q85" s="56"/>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56"/>
      <c r="AS85" s="56"/>
      <c r="AT85" s="56"/>
      <c r="AU85" s="56"/>
      <c r="AV85" s="56"/>
      <c r="AW85" s="56"/>
      <c r="AX85" s="56"/>
    </row>
    <row r="86" spans="1:50" ht="15" customHeight="1" x14ac:dyDescent="0.25">
      <c r="A86" s="130"/>
      <c r="B86" s="131"/>
      <c r="C86" s="132"/>
      <c r="D86" s="133"/>
      <c r="G86" s="89"/>
      <c r="H86" s="134"/>
      <c r="I86" s="134"/>
      <c r="J86" s="134"/>
      <c r="M86" s="89"/>
    </row>
    <row r="87" spans="1:50" ht="15" customHeight="1" x14ac:dyDescent="0.25">
      <c r="E87" s="89" t="str">
        <f xml:space="preserve"> Translate!E$528 &amp; ": " &amp; F87</f>
        <v>Label: yes</v>
      </c>
      <c r="F87" s="945" t="str">
        <f xml:space="preserve"> Translate!E$746</f>
        <v>yes</v>
      </c>
      <c r="G87" s="90" t="str">
        <f>Translate!E$528</f>
        <v>Label</v>
      </c>
    </row>
    <row r="88" spans="1:50" ht="15" customHeight="1" x14ac:dyDescent="0.25">
      <c r="E88" s="89" t="str">
        <f xml:space="preserve"> Translate!E$528 &amp; ": " &amp; F88</f>
        <v>Label: no</v>
      </c>
      <c r="F88" s="945" t="str">
        <f xml:space="preserve"> Translate!E$747</f>
        <v>no</v>
      </c>
      <c r="G88" s="90" t="str">
        <f>Translate!E$528</f>
        <v>Label</v>
      </c>
    </row>
    <row r="89" spans="1:50" ht="15" customHeight="1" x14ac:dyDescent="0.25">
      <c r="E89" s="89" t="str">
        <f xml:space="preserve"> Translate!E$528 &amp; ": " &amp; F89</f>
        <v>Label: full-cycle</v>
      </c>
      <c r="F89" s="945" t="str">
        <f xml:space="preserve"> Translate!E$812</f>
        <v>full-cycle</v>
      </c>
      <c r="G89" s="90" t="str">
        <f>Translate!E$528</f>
        <v>Label</v>
      </c>
    </row>
    <row r="90" spans="1:50" ht="15" customHeight="1" x14ac:dyDescent="0.25">
      <c r="E90" s="89" t="str">
        <f xml:space="preserve"> Translate!E$528 &amp; ": " &amp; F90</f>
        <v>Label: FID forward</v>
      </c>
      <c r="F90" s="945" t="str">
        <f xml:space="preserve"> Translate!E$111</f>
        <v>FID forward</v>
      </c>
      <c r="G90" s="90" t="str">
        <f>Translate!E$528</f>
        <v>Label</v>
      </c>
    </row>
    <row r="91" spans="1:50" ht="15" customHeight="1" x14ac:dyDescent="0.25">
      <c r="E91" s="89" t="str">
        <f xml:space="preserve"> Translate!E$528 &amp; ": " &amp; F91</f>
        <v>Label: real</v>
      </c>
      <c r="F91" s="945" t="str">
        <f xml:space="preserve"> Translate!E$625</f>
        <v>real</v>
      </c>
      <c r="G91" s="90" t="str">
        <f>Translate!E$528</f>
        <v>Label</v>
      </c>
    </row>
    <row r="92" spans="1:50" ht="15" customHeight="1" x14ac:dyDescent="0.25">
      <c r="E92" s="89" t="str">
        <f xml:space="preserve"> Translate!E$528 &amp; ": " &amp; F92</f>
        <v>Label: nominal</v>
      </c>
      <c r="F92" s="945" t="str">
        <f xml:space="preserve"> Translate!E$739</f>
        <v>nominal</v>
      </c>
      <c r="G92" s="90" t="str">
        <f>Translate!E$528</f>
        <v>Label</v>
      </c>
    </row>
    <row r="93" spans="1:50" ht="15" customHeight="1" x14ac:dyDescent="0.25">
      <c r="E93" s="89" t="str">
        <f xml:space="preserve"> Translate!E$528 &amp; ": " &amp; F93</f>
        <v>Label: undiscounted</v>
      </c>
      <c r="F93" s="945" t="str">
        <f xml:space="preserve"> Translate!E$59</f>
        <v>undiscounted</v>
      </c>
      <c r="G93" s="90" t="str">
        <f>Translate!E$528</f>
        <v>Label</v>
      </c>
    </row>
    <row r="94" spans="1:50" s="48" customFormat="1" ht="15" customHeight="1" x14ac:dyDescent="0.25">
      <c r="A94" s="86"/>
      <c r="B94" s="87"/>
      <c r="C94" s="88"/>
      <c r="D94" s="89"/>
      <c r="E94" s="89"/>
      <c r="F94" s="89"/>
      <c r="G94" s="90"/>
      <c r="H94" s="90"/>
      <c r="I94" s="90"/>
      <c r="J94" s="90"/>
      <c r="K94" s="89"/>
      <c r="L94" s="89"/>
      <c r="M94" s="91"/>
      <c r="N94" s="89"/>
      <c r="O94" s="89"/>
      <c r="P94" s="89"/>
      <c r="Q94" s="89"/>
      <c r="R94" s="89"/>
      <c r="S94" s="89"/>
      <c r="T94" s="89"/>
      <c r="U94" s="89"/>
      <c r="V94" s="89"/>
      <c r="W94" s="89"/>
      <c r="X94" s="89"/>
      <c r="Y94" s="89"/>
      <c r="Z94" s="89"/>
      <c r="AA94" s="89"/>
      <c r="AB94" s="89"/>
      <c r="AC94" s="89"/>
      <c r="AD94" s="89"/>
      <c r="AE94" s="89"/>
      <c r="AF94" s="89"/>
      <c r="AG94" s="89"/>
      <c r="AH94" s="89"/>
      <c r="AI94" s="89"/>
      <c r="AJ94" s="89"/>
      <c r="AK94" s="89"/>
      <c r="AL94" s="89"/>
      <c r="AM94" s="89"/>
      <c r="AN94" s="89"/>
      <c r="AO94" s="89"/>
      <c r="AP94" s="89"/>
      <c r="AQ94" s="89"/>
      <c r="AR94" s="89"/>
      <c r="AS94" s="89"/>
      <c r="AT94" s="89"/>
      <c r="AU94" s="89"/>
      <c r="AV94" s="89"/>
      <c r="AW94" s="89"/>
      <c r="AX94" s="89"/>
    </row>
    <row r="95" spans="1:50" ht="15" customHeight="1" x14ac:dyDescent="0.25">
      <c r="E95" s="139" t="str">
        <f xml:space="preserve"> Dashboard!B$5</f>
        <v>Language</v>
      </c>
      <c r="F95" s="139" t="str">
        <f xml:space="preserve"> Dashboard!C$5</f>
        <v>English</v>
      </c>
      <c r="G95" s="139" t="str">
        <f xml:space="preserve"> Dashboard!D$5</f>
        <v>Option</v>
      </c>
    </row>
    <row r="96" spans="1:50" ht="15" customHeight="1" x14ac:dyDescent="0.25">
      <c r="E96" s="89" t="str">
        <f>Translate!E565</f>
        <v>English</v>
      </c>
      <c r="F96" s="348" t="s">
        <v>23</v>
      </c>
      <c r="G96" s="90" t="str">
        <f>Translate!E$528</f>
        <v>Label</v>
      </c>
    </row>
    <row r="97" spans="1:13" ht="15" customHeight="1" x14ac:dyDescent="0.25">
      <c r="E97" s="89" t="str">
        <f>Translate!E566</f>
        <v>French</v>
      </c>
      <c r="F97" s="348" t="s">
        <v>36</v>
      </c>
      <c r="G97" s="90" t="str">
        <f>Translate!E$528</f>
        <v>Label</v>
      </c>
    </row>
    <row r="98" spans="1:13" ht="15" customHeight="1" x14ac:dyDescent="0.25">
      <c r="E98" s="89" t="str">
        <f>Translate!E567</f>
        <v>Spanish</v>
      </c>
      <c r="F98" s="348" t="s">
        <v>37</v>
      </c>
      <c r="G98" s="90" t="str">
        <f>Translate!E$528</f>
        <v>Label</v>
      </c>
    </row>
    <row r="99" spans="1:13" ht="15" customHeight="1" x14ac:dyDescent="0.25">
      <c r="E99" s="89" t="str">
        <f>F99</f>
        <v>Other1</v>
      </c>
      <c r="F99" s="348" t="s">
        <v>38</v>
      </c>
      <c r="G99" s="90" t="str">
        <f>Translate!E$528</f>
        <v>Label</v>
      </c>
    </row>
    <row r="100" spans="1:13" ht="15" customHeight="1" x14ac:dyDescent="0.25">
      <c r="E100" s="89" t="str">
        <f>F100</f>
        <v>Other2</v>
      </c>
      <c r="F100" s="348" t="s">
        <v>39</v>
      </c>
      <c r="G100" s="90" t="str">
        <f>Translate!E$528</f>
        <v>Label</v>
      </c>
    </row>
    <row r="101" spans="1:13" ht="15" customHeight="1" x14ac:dyDescent="0.25">
      <c r="E101" s="89" t="str">
        <f>Translate!E568</f>
        <v>Language selected</v>
      </c>
      <c r="F101" s="89">
        <f>MATCH(F95, F96:F100)</f>
        <v>1</v>
      </c>
      <c r="G101" s="948" t="str">
        <f xml:space="preserve"> Translate!E$780</f>
        <v>Option selected</v>
      </c>
    </row>
    <row r="102" spans="1:13" ht="15" customHeight="1" x14ac:dyDescent="0.25"/>
    <row r="103" spans="1:13" ht="15" customHeight="1" x14ac:dyDescent="0.25">
      <c r="A103" s="66" t="str">
        <f ca="1">A$1 &amp; ": " &amp; Translate!E$626</f>
        <v>Inputs: Sheet checks</v>
      </c>
      <c r="B103" s="66"/>
      <c r="C103" s="152"/>
      <c r="D103" s="66"/>
      <c r="E103" s="66"/>
      <c r="F103" s="66"/>
      <c r="G103" s="66"/>
      <c r="H103" s="66"/>
      <c r="I103" s="66"/>
      <c r="J103" s="66"/>
    </row>
    <row r="104" spans="1:13" ht="15" customHeight="1" x14ac:dyDescent="0.25">
      <c r="A104" s="130"/>
      <c r="B104" s="131"/>
      <c r="C104" s="132"/>
      <c r="D104" s="133"/>
      <c r="G104" s="89"/>
      <c r="H104" s="134"/>
      <c r="I104" s="134"/>
      <c r="J104" s="134"/>
      <c r="M104" s="89"/>
    </row>
    <row r="105" spans="1:13" ht="15" customHeight="1" x14ac:dyDescent="0.25">
      <c r="A105" s="67"/>
      <c r="B105" s="68"/>
      <c r="C105" s="153"/>
      <c r="D105" s="69"/>
      <c r="E105" s="154"/>
      <c r="F105" s="155" t="str">
        <f xml:space="preserve"> Translate!E$651</f>
        <v>do not delete row</v>
      </c>
      <c r="G105" s="154"/>
      <c r="H105" s="154"/>
      <c r="I105" s="154"/>
      <c r="J105" s="154"/>
    </row>
    <row r="106" spans="1:13" ht="15" customHeight="1" x14ac:dyDescent="0.25">
      <c r="A106" s="56"/>
      <c r="B106" s="156">
        <f xml:space="preserve"> FiscalModel!F59</f>
        <v>0</v>
      </c>
      <c r="E106" s="915" t="str">
        <f xml:space="preserve"> Translate!E$755 &amp; " " &amp; Translate!E$606</f>
        <v>Check:  Translation of options</v>
      </c>
      <c r="F106" s="157">
        <f>F41</f>
        <v>0</v>
      </c>
      <c r="G106" s="90" t="str">
        <f xml:space="preserve"> Translate!E$604</f>
        <v>Check</v>
      </c>
    </row>
    <row r="107" spans="1:13" ht="15" customHeight="1" x14ac:dyDescent="0.25">
      <c r="A107" s="67"/>
      <c r="B107" s="158"/>
      <c r="C107" s="153"/>
      <c r="D107" s="1077"/>
      <c r="E107" s="155"/>
      <c r="F107" s="155" t="str">
        <f xml:space="preserve"> Translate!E$651</f>
        <v>do not delete row</v>
      </c>
      <c r="G107" s="154"/>
      <c r="H107" s="154"/>
      <c r="I107" s="154"/>
      <c r="J107" s="154"/>
    </row>
    <row r="108" spans="1:13" ht="15" customHeight="1" x14ac:dyDescent="0.25">
      <c r="A108" s="21"/>
      <c r="E108" s="544" t="str">
        <f ca="1" xml:space="preserve"> Translate!E$604 &amp; ": " &amp; A$1</f>
        <v>Check: Inputs</v>
      </c>
      <c r="F108" s="157">
        <f xml:space="preserve"> SUM(F105:F107)</f>
        <v>0</v>
      </c>
      <c r="G108" s="90" t="str">
        <f xml:space="preserve"> Translate!E$604</f>
        <v>Check</v>
      </c>
    </row>
  </sheetData>
  <conditionalFormatting sqref="F108">
    <cfRule type="cellIs" dxfId="241" priority="19" stopIfTrue="1" operator="notEqual">
      <formula>0</formula>
    </cfRule>
    <cfRule type="cellIs" dxfId="240" priority="20" stopIfTrue="1" operator="equal">
      <formula>""</formula>
    </cfRule>
  </conditionalFormatting>
  <conditionalFormatting sqref="F108">
    <cfRule type="cellIs" dxfId="239" priority="17" stopIfTrue="1" operator="notEqual">
      <formula>0</formula>
    </cfRule>
    <cfRule type="cellIs" dxfId="238" priority="18" stopIfTrue="1" operator="equal">
      <formula>""</formula>
    </cfRule>
  </conditionalFormatting>
  <conditionalFormatting sqref="F3">
    <cfRule type="cellIs" dxfId="237" priority="15" stopIfTrue="1" operator="notEqual">
      <formula>0</formula>
    </cfRule>
    <cfRule type="cellIs" dxfId="236" priority="16" stopIfTrue="1" operator="equal">
      <formula>""</formula>
    </cfRule>
  </conditionalFormatting>
  <conditionalFormatting sqref="F3">
    <cfRule type="cellIs" dxfId="235" priority="13" stopIfTrue="1" operator="notEqual">
      <formula>0</formula>
    </cfRule>
    <cfRule type="cellIs" dxfId="234" priority="14" stopIfTrue="1" operator="equal">
      <formula>""</formula>
    </cfRule>
  </conditionalFormatting>
  <conditionalFormatting sqref="F106">
    <cfRule type="cellIs" dxfId="233" priority="11" stopIfTrue="1" operator="notEqual">
      <formula>0</formula>
    </cfRule>
    <cfRule type="cellIs" dxfId="232" priority="12" stopIfTrue="1" operator="equal">
      <formula>""</formula>
    </cfRule>
  </conditionalFormatting>
  <conditionalFormatting sqref="F106">
    <cfRule type="cellIs" dxfId="231" priority="9" stopIfTrue="1" operator="notEqual">
      <formula>0</formula>
    </cfRule>
    <cfRule type="cellIs" dxfId="230" priority="10" stopIfTrue="1" operator="equal">
      <formula>""</formula>
    </cfRule>
  </conditionalFormatting>
  <conditionalFormatting sqref="K3">
    <cfRule type="cellIs" dxfId="229" priority="3" stopIfTrue="1" operator="notEqual">
      <formula>0</formula>
    </cfRule>
    <cfRule type="cellIs" dxfId="228" priority="4" stopIfTrue="1" operator="equal">
      <formula>""</formula>
    </cfRule>
  </conditionalFormatting>
  <conditionalFormatting sqref="F41">
    <cfRule type="expression" dxfId="227" priority="1">
      <formula>($F$41=1)</formula>
    </cfRule>
    <cfRule type="expression" dxfId="226" priority="2">
      <formula>($F$41=0)</formula>
    </cfRule>
  </conditionalFormatting>
  <dataValidations disablePrompts="1" count="1">
    <dataValidation type="list" allowBlank="1" showInputMessage="1" showErrorMessage="1" sqref="F40" xr:uid="{6269DBC4-775A-4496-A974-794C45AF4E1E}">
      <formula1>$F$87:$F$88</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pageSetUpPr autoPageBreaks="0"/>
  </sheetPr>
  <dimension ref="A1:AX1186"/>
  <sheetViews>
    <sheetView tabSelected="1" zoomScale="70" zoomScaleNormal="70" workbookViewId="0">
      <pane xSplit="10" ySplit="3" topLeftCell="AD13" activePane="bottomRight" state="frozen"/>
      <selection pane="topRight" activeCell="H20" sqref="H20"/>
      <selection pane="bottomLeft" activeCell="H20" sqref="H20"/>
      <selection pane="bottomRight" activeCell="E35" sqref="E35:H35"/>
    </sheetView>
  </sheetViews>
  <sheetFormatPr defaultColWidth="0" defaultRowHeight="15" customHeight="1" outlineLevelCol="1" x14ac:dyDescent="0.25"/>
  <cols>
    <col min="1" max="1" width="1.26953125" style="3" customWidth="1"/>
    <col min="2" max="2" width="1.26953125" style="683" customWidth="1"/>
    <col min="3" max="3" width="1.26953125" style="620" customWidth="1"/>
    <col min="4" max="4" width="1.26953125" style="44" customWidth="1"/>
    <col min="5" max="5" width="69.7265625" style="3" bestFit="1" customWidth="1"/>
    <col min="6" max="6" width="12.7265625" style="44" customWidth="1"/>
    <col min="7" max="7" width="23" style="3" customWidth="1"/>
    <col min="8" max="8" width="40.7265625" style="3" customWidth="1" outlineLevel="1"/>
    <col min="9" max="9" width="7.81640625" style="3" customWidth="1"/>
    <col min="10" max="10" width="3.7265625" style="3" customWidth="1"/>
    <col min="11" max="21" width="10.7265625" style="3" customWidth="1"/>
    <col min="22" max="25" width="14.81640625" style="3" customWidth="1"/>
    <col min="26" max="50" width="10.7265625" style="3" customWidth="1"/>
    <col min="51" max="16384" width="9.1796875" style="3" hidden="1"/>
  </cols>
  <sheetData>
    <row r="1" spans="1:50" ht="15" customHeight="1" x14ac:dyDescent="0.25">
      <c r="A1" s="20" t="str">
        <f ca="1" xml:space="preserve"> RIGHT( CELL("filename",$A$1), LEN( CELL("filename",$A$1)) - SEARCH("]", CELL("filename",$A$1)))</f>
        <v>FiscalModel</v>
      </c>
      <c r="B1" s="174"/>
      <c r="C1" s="601"/>
      <c r="D1" s="117"/>
      <c r="E1" s="109"/>
      <c r="F1" s="117"/>
      <c r="G1" s="109"/>
      <c r="H1" s="109"/>
      <c r="I1" s="109"/>
      <c r="J1" s="109"/>
      <c r="K1" s="372">
        <f xml:space="preserve"> ProjectCashflows!K$34</f>
        <v>2021</v>
      </c>
      <c r="L1" s="372">
        <f xml:space="preserve"> ProjectCashflows!L$34</f>
        <v>2022</v>
      </c>
      <c r="M1" s="372">
        <f xml:space="preserve"> ProjectCashflows!M$34</f>
        <v>2023</v>
      </c>
      <c r="N1" s="372">
        <f xml:space="preserve"> ProjectCashflows!N$34</f>
        <v>2024</v>
      </c>
      <c r="O1" s="372">
        <f xml:space="preserve"> ProjectCashflows!O$34</f>
        <v>2025</v>
      </c>
      <c r="P1" s="372">
        <f xml:space="preserve"> ProjectCashflows!P$34</f>
        <v>2026</v>
      </c>
      <c r="Q1" s="372">
        <f xml:space="preserve"> ProjectCashflows!Q$34</f>
        <v>2027</v>
      </c>
      <c r="R1" s="372">
        <f xml:space="preserve"> ProjectCashflows!R$34</f>
        <v>2028</v>
      </c>
      <c r="S1" s="372">
        <f xml:space="preserve"> ProjectCashflows!S$34</f>
        <v>2029</v>
      </c>
      <c r="T1" s="372">
        <f xml:space="preserve"> ProjectCashflows!T$34</f>
        <v>2030</v>
      </c>
      <c r="U1" s="372">
        <f xml:space="preserve"> ProjectCashflows!U$34</f>
        <v>2031</v>
      </c>
      <c r="V1" s="372">
        <f xml:space="preserve"> ProjectCashflows!V$34</f>
        <v>2032</v>
      </c>
      <c r="W1" s="372">
        <f xml:space="preserve"> ProjectCashflows!W$34</f>
        <v>2033</v>
      </c>
      <c r="X1" s="372">
        <f xml:space="preserve"> ProjectCashflows!X$34</f>
        <v>2034</v>
      </c>
      <c r="Y1" s="372">
        <f xml:space="preserve"> ProjectCashflows!Y$34</f>
        <v>2035</v>
      </c>
      <c r="Z1" s="372">
        <f xml:space="preserve"> ProjectCashflows!Z$34</f>
        <v>2036</v>
      </c>
      <c r="AA1" s="372">
        <f xml:space="preserve"> ProjectCashflows!AA$34</f>
        <v>2037</v>
      </c>
      <c r="AB1" s="372">
        <f xml:space="preserve"> ProjectCashflows!AB$34</f>
        <v>2038</v>
      </c>
      <c r="AC1" s="372">
        <f xml:space="preserve"> ProjectCashflows!AC$34</f>
        <v>2039</v>
      </c>
      <c r="AD1" s="372">
        <f xml:space="preserve"> ProjectCashflows!AD$34</f>
        <v>2040</v>
      </c>
      <c r="AE1" s="372">
        <f xml:space="preserve"> ProjectCashflows!AE$34</f>
        <v>2041</v>
      </c>
      <c r="AF1" s="372">
        <f xml:space="preserve"> ProjectCashflows!AF$34</f>
        <v>2042</v>
      </c>
      <c r="AG1" s="372">
        <f xml:space="preserve"> ProjectCashflows!AG$34</f>
        <v>2043</v>
      </c>
      <c r="AH1" s="372">
        <f xml:space="preserve"> ProjectCashflows!AH$34</f>
        <v>2044</v>
      </c>
      <c r="AI1" s="372">
        <f xml:space="preserve"> ProjectCashflows!AI$34</f>
        <v>2045</v>
      </c>
      <c r="AJ1" s="372">
        <f xml:space="preserve"> ProjectCashflows!AJ$34</f>
        <v>2046</v>
      </c>
      <c r="AK1" s="372">
        <f xml:space="preserve"> ProjectCashflows!AK$34</f>
        <v>2047</v>
      </c>
      <c r="AL1" s="372">
        <f xml:space="preserve"> ProjectCashflows!AL$34</f>
        <v>2048</v>
      </c>
      <c r="AM1" s="372">
        <f xml:space="preserve"> ProjectCashflows!AM$34</f>
        <v>2049</v>
      </c>
      <c r="AN1" s="372">
        <f xml:space="preserve"> ProjectCashflows!AN$34</f>
        <v>2050</v>
      </c>
      <c r="AO1" s="372">
        <f xml:space="preserve"> ProjectCashflows!AO$34</f>
        <v>2051</v>
      </c>
      <c r="AP1" s="372">
        <f xml:space="preserve"> ProjectCashflows!AP$34</f>
        <v>2052</v>
      </c>
      <c r="AQ1" s="372">
        <f xml:space="preserve"> ProjectCashflows!AQ$34</f>
        <v>2053</v>
      </c>
      <c r="AR1" s="372">
        <f xml:space="preserve"> ProjectCashflows!AR$34</f>
        <v>2054</v>
      </c>
      <c r="AS1" s="372">
        <f xml:space="preserve"> ProjectCashflows!AS$34</f>
        <v>2055</v>
      </c>
      <c r="AT1" s="372">
        <f xml:space="preserve"> ProjectCashflows!AT$34</f>
        <v>2056</v>
      </c>
      <c r="AU1" s="372">
        <f xml:space="preserve"> ProjectCashflows!AU$34</f>
        <v>2057</v>
      </c>
      <c r="AV1" s="372">
        <f xml:space="preserve"> ProjectCashflows!AV$34</f>
        <v>2058</v>
      </c>
      <c r="AW1" s="372">
        <f xml:space="preserve"> ProjectCashflows!AW$34</f>
        <v>2059</v>
      </c>
      <c r="AX1" s="372">
        <f xml:space="preserve"> ProjectCashflows!AX$34</f>
        <v>2060</v>
      </c>
    </row>
    <row r="2" spans="1:50" ht="15" customHeight="1" x14ac:dyDescent="0.25">
      <c r="A2" s="106"/>
      <c r="B2" s="174"/>
      <c r="C2" s="601"/>
      <c r="D2" s="117"/>
      <c r="E2" s="931" t="str">
        <f xml:space="preserve"> Translate!E$597</f>
        <v>Row description</v>
      </c>
      <c r="F2" s="250" t="str">
        <f xml:space="preserve"> Translate!E$598</f>
        <v>Constant</v>
      </c>
      <c r="G2" s="931" t="str">
        <f xml:space="preserve"> Translate!E$599</f>
        <v>Units</v>
      </c>
      <c r="H2" s="931" t="str">
        <f xml:space="preserve"> Translate!E$600</f>
        <v>Comments</v>
      </c>
      <c r="I2" s="932" t="str">
        <f xml:space="preserve"> Translate!E$601</f>
        <v>Total</v>
      </c>
      <c r="J2" s="109"/>
      <c r="K2" s="109"/>
      <c r="L2" s="109"/>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c r="AN2" s="109"/>
      <c r="AO2" s="109"/>
      <c r="AP2" s="109"/>
      <c r="AQ2" s="109"/>
      <c r="AR2" s="109"/>
      <c r="AS2" s="109"/>
      <c r="AT2" s="109"/>
      <c r="AU2" s="109"/>
      <c r="AV2" s="109"/>
      <c r="AW2" s="109"/>
      <c r="AX2" s="109"/>
    </row>
    <row r="3" spans="1:50" ht="15" customHeight="1" x14ac:dyDescent="0.25">
      <c r="A3" s="93"/>
      <c r="B3" s="779"/>
      <c r="C3" s="602"/>
      <c r="D3" s="95"/>
      <c r="E3" s="90"/>
      <c r="F3" s="548">
        <f ca="1" xml:space="preserve"> ReadMe!$D$7</f>
        <v>0</v>
      </c>
      <c r="G3" s="90" t="str">
        <f xml:space="preserve"> ReadMe!$E$7</f>
        <v>Checks</v>
      </c>
      <c r="H3" s="48"/>
      <c r="K3" s="465">
        <f ca="1" xml:space="preserve"> Track!F$1</f>
        <v>0</v>
      </c>
      <c r="L3" s="3" t="str">
        <f xml:space="preserve"> Track!G$1</f>
        <v>Track changes</v>
      </c>
    </row>
    <row r="4" spans="1:50" ht="15" customHeight="1" x14ac:dyDescent="0.25">
      <c r="A4" s="99" t="str">
        <f xml:space="preserve"> Translate!E$96</f>
        <v>Fiscal regime parameters</v>
      </c>
      <c r="B4" s="780"/>
      <c r="C4" s="603"/>
      <c r="D4" s="99"/>
      <c r="E4" s="99"/>
      <c r="F4" s="161"/>
      <c r="G4" s="99"/>
      <c r="H4" s="99"/>
      <c r="I4" s="99"/>
      <c r="J4" s="99"/>
      <c r="K4" s="99"/>
      <c r="L4" s="99"/>
      <c r="M4" s="99"/>
      <c r="N4" s="99"/>
      <c r="O4" s="99"/>
      <c r="P4" s="99"/>
      <c r="Q4" s="99"/>
      <c r="R4" s="99"/>
      <c r="S4" s="99"/>
      <c r="T4" s="99"/>
      <c r="U4" s="99"/>
      <c r="V4" s="99"/>
      <c r="W4" s="99"/>
      <c r="X4" s="99"/>
      <c r="Y4" s="99"/>
      <c r="Z4" s="99"/>
      <c r="AA4" s="99"/>
      <c r="AB4" s="99"/>
      <c r="AC4" s="99"/>
      <c r="AD4" s="99"/>
      <c r="AE4" s="99"/>
      <c r="AF4" s="99"/>
      <c r="AG4" s="99"/>
      <c r="AH4" s="99"/>
      <c r="AI4" s="99"/>
      <c r="AJ4" s="99"/>
      <c r="AK4" s="99"/>
      <c r="AL4" s="99"/>
      <c r="AM4" s="99"/>
      <c r="AN4" s="99"/>
      <c r="AO4" s="99"/>
      <c r="AP4" s="99"/>
      <c r="AQ4" s="99"/>
      <c r="AR4" s="99"/>
      <c r="AS4" s="99"/>
      <c r="AT4" s="99"/>
      <c r="AU4" s="99"/>
      <c r="AV4" s="99"/>
      <c r="AW4" s="99"/>
      <c r="AX4" s="99"/>
    </row>
    <row r="5" spans="1:50" s="48" customFormat="1" ht="15" customHeight="1" x14ac:dyDescent="0.25">
      <c r="A5" s="311"/>
      <c r="B5" s="235"/>
      <c r="C5" s="1031"/>
      <c r="D5" s="311"/>
      <c r="E5" s="311"/>
      <c r="F5" s="313"/>
      <c r="G5" s="311"/>
      <c r="H5" s="311"/>
      <c r="I5" s="311"/>
      <c r="J5" s="311"/>
      <c r="K5" s="311"/>
      <c r="L5" s="311"/>
      <c r="M5" s="311"/>
      <c r="N5" s="311"/>
      <c r="O5" s="311"/>
      <c r="P5" s="311"/>
      <c r="Q5" s="311"/>
      <c r="R5" s="311"/>
      <c r="S5" s="311"/>
      <c r="T5" s="311"/>
      <c r="U5" s="311"/>
      <c r="V5" s="311"/>
      <c r="W5" s="311"/>
      <c r="X5" s="311"/>
      <c r="Y5" s="311"/>
      <c r="Z5" s="311"/>
      <c r="AA5" s="311"/>
      <c r="AB5" s="311"/>
      <c r="AC5" s="311"/>
      <c r="AD5" s="311"/>
      <c r="AE5" s="311"/>
      <c r="AF5" s="311"/>
      <c r="AG5" s="311"/>
      <c r="AH5" s="311"/>
      <c r="AI5" s="311"/>
      <c r="AJ5" s="311"/>
      <c r="AK5" s="311"/>
      <c r="AL5" s="311"/>
      <c r="AM5" s="311"/>
      <c r="AN5" s="311"/>
      <c r="AO5" s="311"/>
      <c r="AP5" s="311"/>
      <c r="AQ5" s="311"/>
      <c r="AR5" s="311"/>
      <c r="AS5" s="311"/>
      <c r="AT5" s="311"/>
      <c r="AU5" s="311"/>
      <c r="AV5" s="311"/>
      <c r="AW5" s="311"/>
      <c r="AX5" s="311"/>
    </row>
    <row r="6" spans="1:50" s="48" customFormat="1" ht="15" customHeight="1" x14ac:dyDescent="0.25">
      <c r="A6" s="89"/>
      <c r="B6" s="235" t="str">
        <f xml:space="preserve"> Translate!E$606</f>
        <v>Translation of options</v>
      </c>
      <c r="C6" s="604"/>
      <c r="D6" s="89"/>
      <c r="E6" s="915"/>
      <c r="F6" s="148"/>
      <c r="G6" s="915"/>
      <c r="H6" s="89"/>
      <c r="I6" s="89"/>
      <c r="J6" s="89"/>
      <c r="K6" s="61"/>
      <c r="L6" s="61"/>
      <c r="M6" s="61"/>
      <c r="N6" s="61"/>
      <c r="O6" s="61"/>
      <c r="P6" s="61"/>
      <c r="Q6" s="89"/>
      <c r="R6" s="89"/>
      <c r="S6" s="89"/>
      <c r="T6" s="89"/>
      <c r="U6" s="89"/>
      <c r="V6" s="61"/>
      <c r="W6" s="89"/>
      <c r="X6" s="89"/>
      <c r="Y6" s="89"/>
      <c r="Z6" s="89"/>
      <c r="AA6" s="61"/>
      <c r="AB6" s="61"/>
      <c r="AC6" s="89"/>
      <c r="AD6" s="61"/>
      <c r="AE6" s="61"/>
      <c r="AF6" s="61"/>
      <c r="AG6" s="61"/>
      <c r="AH6" s="89"/>
      <c r="AI6" s="61"/>
      <c r="AJ6" s="89"/>
      <c r="AK6" s="89"/>
      <c r="AL6" s="89"/>
      <c r="AM6" s="61"/>
      <c r="AN6" s="61"/>
      <c r="AO6" s="61"/>
      <c r="AP6" s="61"/>
      <c r="AQ6" s="89"/>
      <c r="AR6" s="89"/>
      <c r="AS6" s="89"/>
      <c r="AT6" s="89"/>
      <c r="AU6" s="89"/>
      <c r="AV6" s="89"/>
      <c r="AW6" s="89"/>
      <c r="AX6" s="89"/>
    </row>
    <row r="7" spans="1:50" s="48" customFormat="1" ht="15" customHeight="1" x14ac:dyDescent="0.25">
      <c r="A7" s="89"/>
      <c r="B7" s="235"/>
      <c r="C7" s="604"/>
      <c r="D7" s="89"/>
      <c r="E7" s="915" t="str">
        <f xml:space="preserve"> Translate!E$755 &amp; " " &amp; Translate!E$606</f>
        <v>Check:  Translation of options</v>
      </c>
      <c r="F7" s="929">
        <f xml:space="preserve"> MIN( 1, SUM(I16:I94))</f>
        <v>0</v>
      </c>
      <c r="G7" s="915" t="str">
        <f xml:space="preserve"> Translate!E$604</f>
        <v>Check</v>
      </c>
      <c r="H7" s="89"/>
      <c r="I7" s="89"/>
      <c r="J7" s="89"/>
      <c r="K7" s="61"/>
      <c r="L7" s="61"/>
      <c r="M7" s="61"/>
      <c r="N7" s="61"/>
      <c r="O7" s="61"/>
      <c r="P7" s="61"/>
      <c r="Q7" s="89"/>
      <c r="R7" s="89"/>
      <c r="S7" s="89"/>
      <c r="T7" s="89"/>
      <c r="U7" s="89"/>
      <c r="V7" s="61"/>
      <c r="W7" s="89"/>
      <c r="X7" s="89"/>
      <c r="Y7" s="89"/>
      <c r="Z7" s="89"/>
      <c r="AA7" s="61"/>
      <c r="AB7" s="61"/>
      <c r="AC7" s="89"/>
      <c r="AD7" s="61"/>
      <c r="AE7" s="61"/>
      <c r="AF7" s="61"/>
      <c r="AG7" s="61"/>
      <c r="AH7" s="89"/>
      <c r="AI7" s="61"/>
      <c r="AJ7" s="89"/>
      <c r="AK7" s="89"/>
      <c r="AL7" s="89"/>
      <c r="AM7" s="61"/>
      <c r="AN7" s="61"/>
      <c r="AO7" s="61"/>
      <c r="AP7" s="61"/>
      <c r="AQ7" s="89"/>
      <c r="AR7" s="89"/>
      <c r="AS7" s="89"/>
      <c r="AT7" s="89"/>
      <c r="AU7" s="89"/>
      <c r="AV7" s="89"/>
      <c r="AW7" s="89"/>
      <c r="AX7" s="89"/>
    </row>
    <row r="8" spans="1:50" ht="15" customHeight="1" x14ac:dyDescent="0.25">
      <c r="A8" s="86"/>
      <c r="B8" s="235"/>
      <c r="C8" s="604"/>
      <c r="D8" s="169"/>
      <c r="E8" s="52"/>
      <c r="F8" s="562"/>
      <c r="G8" s="52"/>
      <c r="H8" s="52"/>
      <c r="I8" s="98"/>
      <c r="J8" s="56"/>
      <c r="K8" s="56"/>
      <c r="L8" s="56"/>
      <c r="M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T8" s="56"/>
      <c r="AU8" s="56"/>
      <c r="AV8" s="56"/>
      <c r="AW8" s="56"/>
      <c r="AX8" s="56"/>
    </row>
    <row r="9" spans="1:50" s="7" customFormat="1" ht="15" customHeight="1" x14ac:dyDescent="0.25">
      <c r="A9" s="56"/>
      <c r="B9" s="102" t="str">
        <f>Translate!E$95</f>
        <v>Fiscal regime selection</v>
      </c>
      <c r="C9" s="127"/>
      <c r="D9" s="56"/>
      <c r="E9" s="56"/>
      <c r="F9" s="151"/>
      <c r="G9" s="56"/>
      <c r="H9" s="56"/>
      <c r="I9" s="56"/>
      <c r="J9" s="56"/>
      <c r="K9" s="70" t="str">
        <f xml:space="preserve"> Translate!E$602</f>
        <v>alternative sets of fiscal paramemters</v>
      </c>
      <c r="L9" s="56"/>
      <c r="M9" s="56"/>
      <c r="N9" s="56"/>
      <c r="O9" s="56"/>
      <c r="P9" s="56"/>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T9" s="56"/>
      <c r="AU9" s="56"/>
      <c r="AV9" s="56"/>
      <c r="AW9" s="56"/>
      <c r="AX9" s="56"/>
    </row>
    <row r="10" spans="1:50" ht="15" customHeight="1" x14ac:dyDescent="0.25">
      <c r="A10" s="89"/>
      <c r="B10" s="102"/>
      <c r="C10" s="604"/>
      <c r="D10" s="89"/>
      <c r="E10" s="55" t="str">
        <f xml:space="preserve"> Translate!E$92</f>
        <v>Regime number</v>
      </c>
      <c r="F10" s="151"/>
      <c r="G10" s="55" t="str">
        <f xml:space="preserve"> Translate!E$94</f>
        <v>number</v>
      </c>
      <c r="H10" s="56"/>
      <c r="I10" s="56"/>
      <c r="J10" s="163"/>
      <c r="K10" s="105">
        <f t="shared" ref="K10:AX10" si="0" xml:space="preserve"> J10 + 1</f>
        <v>1</v>
      </c>
      <c r="L10" s="105">
        <f t="shared" si="0"/>
        <v>2</v>
      </c>
      <c r="M10" s="105">
        <f t="shared" si="0"/>
        <v>3</v>
      </c>
      <c r="N10" s="105">
        <f t="shared" si="0"/>
        <v>4</v>
      </c>
      <c r="O10" s="105">
        <f t="shared" si="0"/>
        <v>5</v>
      </c>
      <c r="P10" s="105">
        <f t="shared" si="0"/>
        <v>6</v>
      </c>
      <c r="Q10" s="105">
        <f t="shared" si="0"/>
        <v>7</v>
      </c>
      <c r="R10" s="105">
        <f t="shared" si="0"/>
        <v>8</v>
      </c>
      <c r="S10" s="105">
        <f t="shared" si="0"/>
        <v>9</v>
      </c>
      <c r="T10" s="105">
        <f t="shared" si="0"/>
        <v>10</v>
      </c>
      <c r="U10" s="105">
        <f t="shared" si="0"/>
        <v>11</v>
      </c>
      <c r="V10" s="105">
        <f t="shared" si="0"/>
        <v>12</v>
      </c>
      <c r="W10" s="105">
        <f t="shared" si="0"/>
        <v>13</v>
      </c>
      <c r="X10" s="105">
        <f t="shared" si="0"/>
        <v>14</v>
      </c>
      <c r="Y10" s="105">
        <f t="shared" si="0"/>
        <v>15</v>
      </c>
      <c r="Z10" s="105">
        <f t="shared" si="0"/>
        <v>16</v>
      </c>
      <c r="AA10" s="105">
        <f t="shared" si="0"/>
        <v>17</v>
      </c>
      <c r="AB10" s="105">
        <f t="shared" si="0"/>
        <v>18</v>
      </c>
      <c r="AC10" s="105">
        <f t="shared" si="0"/>
        <v>19</v>
      </c>
      <c r="AD10" s="105">
        <f t="shared" si="0"/>
        <v>20</v>
      </c>
      <c r="AE10" s="105">
        <f t="shared" si="0"/>
        <v>21</v>
      </c>
      <c r="AF10" s="105">
        <f t="shared" si="0"/>
        <v>22</v>
      </c>
      <c r="AG10" s="105">
        <f t="shared" si="0"/>
        <v>23</v>
      </c>
      <c r="AH10" s="105">
        <f t="shared" si="0"/>
        <v>24</v>
      </c>
      <c r="AI10" s="105">
        <f t="shared" si="0"/>
        <v>25</v>
      </c>
      <c r="AJ10" s="105">
        <f t="shared" si="0"/>
        <v>26</v>
      </c>
      <c r="AK10" s="105">
        <f t="shared" si="0"/>
        <v>27</v>
      </c>
      <c r="AL10" s="105">
        <f t="shared" si="0"/>
        <v>28</v>
      </c>
      <c r="AM10" s="105">
        <f t="shared" si="0"/>
        <v>29</v>
      </c>
      <c r="AN10" s="105">
        <f t="shared" si="0"/>
        <v>30</v>
      </c>
      <c r="AO10" s="105">
        <f t="shared" si="0"/>
        <v>31</v>
      </c>
      <c r="AP10" s="105">
        <f t="shared" si="0"/>
        <v>32</v>
      </c>
      <c r="AQ10" s="105">
        <f t="shared" si="0"/>
        <v>33</v>
      </c>
      <c r="AR10" s="105">
        <f t="shared" si="0"/>
        <v>34</v>
      </c>
      <c r="AS10" s="105">
        <f t="shared" si="0"/>
        <v>35</v>
      </c>
      <c r="AT10" s="105">
        <f t="shared" si="0"/>
        <v>36</v>
      </c>
      <c r="AU10" s="105">
        <f t="shared" si="0"/>
        <v>37</v>
      </c>
      <c r="AV10" s="105">
        <f t="shared" si="0"/>
        <v>38</v>
      </c>
      <c r="AW10" s="105">
        <f t="shared" si="0"/>
        <v>39</v>
      </c>
      <c r="AX10" s="105">
        <f t="shared" si="0"/>
        <v>40</v>
      </c>
    </row>
    <row r="11" spans="1:50" ht="26" x14ac:dyDescent="0.25">
      <c r="A11" s="106"/>
      <c r="B11" s="174"/>
      <c r="C11" s="601"/>
      <c r="D11" s="109"/>
      <c r="E11" s="110" t="str">
        <f xml:space="preserve"> Translate!E$93</f>
        <v>Regime name</v>
      </c>
      <c r="F11" s="117"/>
      <c r="G11" s="110" t="str">
        <f xml:space="preserve"> Translate!E$93</f>
        <v>Regime name</v>
      </c>
      <c r="H11" s="110"/>
      <c r="I11" s="110"/>
      <c r="J11" s="110"/>
      <c r="K11" s="1006" t="s">
        <v>20</v>
      </c>
      <c r="L11" s="1006" t="s">
        <v>30</v>
      </c>
      <c r="M11" s="1006" t="s">
        <v>31</v>
      </c>
      <c r="N11" s="1006" t="s">
        <v>32</v>
      </c>
      <c r="O11" s="1006" t="s">
        <v>26</v>
      </c>
      <c r="P11" s="1006"/>
      <c r="Q11" s="1006"/>
      <c r="R11" s="1006"/>
      <c r="S11" s="1006"/>
      <c r="T11" s="1006"/>
      <c r="U11" s="1006"/>
      <c r="V11" s="1006"/>
      <c r="W11" s="1006"/>
      <c r="X11" s="1006"/>
      <c r="Y11" s="1006"/>
      <c r="Z11" s="1007"/>
      <c r="AA11" s="1006"/>
      <c r="AB11" s="1006"/>
      <c r="AC11" s="1007"/>
      <c r="AD11" s="1006"/>
      <c r="AE11" s="1006"/>
      <c r="AF11" s="1006"/>
      <c r="AG11" s="1006"/>
      <c r="AH11" s="1007"/>
      <c r="AI11" s="1006"/>
      <c r="AJ11" s="1007"/>
      <c r="AK11" s="1007"/>
      <c r="AL11" s="1007"/>
      <c r="AM11" s="1006"/>
      <c r="AN11" s="1006"/>
      <c r="AO11" s="1006"/>
      <c r="AP11" s="1006"/>
      <c r="AQ11" s="1008"/>
      <c r="AR11" s="1008"/>
      <c r="AS11" s="1008"/>
      <c r="AT11" s="1008"/>
      <c r="AU11" s="1008"/>
      <c r="AV11" s="1008"/>
      <c r="AW11" s="1008"/>
      <c r="AX11" s="1008"/>
    </row>
    <row r="12" spans="1:50" ht="14.5" x14ac:dyDescent="0.25">
      <c r="A12" s="106"/>
      <c r="B12" s="174"/>
      <c r="C12" s="601"/>
      <c r="D12" s="109"/>
      <c r="E12" s="111" t="str">
        <f xml:space="preserve"> Dashboard!B$6</f>
        <v>Fiscal regime selected</v>
      </c>
      <c r="F12" s="549" t="str">
        <f xml:space="preserve"> Dashboard!C$6</f>
        <v>Royalty + CIT</v>
      </c>
      <c r="G12" s="111" t="str">
        <f xml:space="preserve"> Dashboard!D$6</f>
        <v>Option</v>
      </c>
      <c r="H12" s="110"/>
      <c r="I12" s="110"/>
      <c r="J12" s="110"/>
      <c r="K12" s="239"/>
      <c r="L12" s="239"/>
      <c r="M12" s="239"/>
      <c r="N12" s="239"/>
      <c r="O12" s="239"/>
      <c r="P12" s="239"/>
      <c r="Q12" s="239"/>
      <c r="R12" s="239"/>
      <c r="S12" s="239"/>
      <c r="T12" s="239"/>
      <c r="U12" s="239"/>
      <c r="V12" s="239"/>
      <c r="W12" s="239"/>
      <c r="X12" s="239"/>
      <c r="Y12" s="239"/>
      <c r="Z12" s="112"/>
      <c r="AA12" s="239"/>
      <c r="AB12" s="239"/>
      <c r="AC12" s="112"/>
      <c r="AD12" s="239"/>
      <c r="AE12" s="239"/>
      <c r="AF12" s="239"/>
      <c r="AG12" s="239"/>
      <c r="AH12" s="112"/>
      <c r="AI12" s="239"/>
      <c r="AJ12" s="112"/>
      <c r="AK12" s="112"/>
      <c r="AL12" s="112"/>
      <c r="AM12" s="239"/>
      <c r="AN12" s="239"/>
      <c r="AO12" s="239"/>
      <c r="AP12" s="239"/>
      <c r="AQ12" s="112"/>
      <c r="AR12" s="112"/>
      <c r="AS12" s="112"/>
      <c r="AT12" s="112"/>
      <c r="AU12" s="112"/>
      <c r="AV12" s="112"/>
      <c r="AW12" s="112"/>
      <c r="AX12" s="112"/>
    </row>
    <row r="13" spans="1:50" ht="15" customHeight="1" x14ac:dyDescent="0.25">
      <c r="A13" s="106"/>
      <c r="B13" s="174"/>
      <c r="C13" s="601"/>
      <c r="D13" s="109"/>
      <c r="E13" s="114" t="str">
        <f xml:space="preserve"> Translate!E$97</f>
        <v>Selected regime number</v>
      </c>
      <c r="F13" s="550">
        <f xml:space="preserve"> MATCH( $F12, K11:AX11, 0)</f>
        <v>1</v>
      </c>
      <c r="G13" s="114" t="str">
        <f xml:space="preserve"> Translate!E$92</f>
        <v>Regime number</v>
      </c>
      <c r="H13" s="114"/>
      <c r="I13" s="113"/>
      <c r="J13" s="113"/>
      <c r="K13" s="239"/>
      <c r="L13" s="239"/>
      <c r="M13" s="239"/>
      <c r="N13" s="239"/>
      <c r="O13" s="239"/>
      <c r="P13" s="239"/>
      <c r="Q13" s="239"/>
      <c r="R13" s="239"/>
      <c r="S13" s="239"/>
      <c r="T13" s="239"/>
      <c r="U13" s="239"/>
      <c r="V13" s="239"/>
      <c r="W13" s="239"/>
      <c r="X13" s="239"/>
      <c r="Y13" s="239"/>
      <c r="Z13" s="115"/>
      <c r="AA13" s="239"/>
      <c r="AB13" s="239"/>
      <c r="AC13" s="115"/>
      <c r="AD13" s="239"/>
      <c r="AE13" s="239"/>
      <c r="AF13" s="239"/>
      <c r="AG13" s="239"/>
      <c r="AH13" s="115"/>
      <c r="AI13" s="239"/>
      <c r="AJ13" s="115"/>
      <c r="AK13" s="115"/>
      <c r="AL13" s="115"/>
      <c r="AM13" s="239"/>
      <c r="AN13" s="239"/>
      <c r="AO13" s="239"/>
      <c r="AP13" s="239"/>
      <c r="AQ13" s="115"/>
      <c r="AR13" s="115"/>
      <c r="AS13" s="115"/>
      <c r="AT13" s="115"/>
      <c r="AU13" s="115"/>
      <c r="AV13" s="115"/>
      <c r="AW13" s="115"/>
      <c r="AX13" s="115"/>
    </row>
    <row r="14" spans="1:50" s="155" customFormat="1" ht="15" customHeight="1" x14ac:dyDescent="0.25">
      <c r="A14" s="930" t="str">
        <f xml:space="preserve"> Translate!E$596</f>
        <v>TOP OF FISCAL REGIME PARAMETERS</v>
      </c>
      <c r="B14" s="666"/>
      <c r="C14" s="605"/>
      <c r="D14" s="293"/>
      <c r="E14" s="340"/>
      <c r="F14" s="551"/>
      <c r="G14" s="340"/>
      <c r="H14" s="340"/>
      <c r="I14" s="236"/>
      <c r="J14" s="236"/>
      <c r="K14" s="341"/>
      <c r="L14" s="341"/>
      <c r="M14" s="341"/>
      <c r="N14" s="341"/>
      <c r="O14" s="341"/>
      <c r="P14" s="341"/>
      <c r="Q14" s="341"/>
      <c r="R14" s="341"/>
      <c r="S14" s="341"/>
      <c r="T14" s="341"/>
      <c r="U14" s="341"/>
      <c r="V14" s="341"/>
      <c r="W14" s="341"/>
      <c r="X14" s="341"/>
      <c r="Y14" s="341"/>
      <c r="Z14" s="341"/>
      <c r="AA14" s="341"/>
      <c r="AB14" s="341"/>
      <c r="AC14" s="341"/>
      <c r="AD14" s="341"/>
      <c r="AE14" s="341"/>
      <c r="AF14" s="341"/>
      <c r="AG14" s="341"/>
      <c r="AH14" s="341"/>
      <c r="AI14" s="341"/>
      <c r="AJ14" s="341"/>
      <c r="AK14" s="341"/>
      <c r="AL14" s="341"/>
      <c r="AM14" s="341"/>
      <c r="AN14" s="341"/>
      <c r="AO14" s="341"/>
      <c r="AP14" s="341"/>
      <c r="AQ14" s="341"/>
      <c r="AR14" s="341"/>
      <c r="AS14" s="341"/>
      <c r="AT14" s="341"/>
      <c r="AU14" s="341"/>
      <c r="AV14" s="341"/>
      <c r="AW14" s="341"/>
      <c r="AX14" s="341"/>
    </row>
    <row r="15" spans="1:50" ht="15" customHeight="1" x14ac:dyDescent="0.25">
      <c r="A15" s="106"/>
      <c r="B15" s="118" t="str">
        <f>Translate!E123</f>
        <v>Bonus</v>
      </c>
      <c r="C15" s="128"/>
      <c r="D15" s="54"/>
      <c r="E15" s="121"/>
      <c r="F15" s="552"/>
      <c r="G15" s="121"/>
      <c r="H15" s="121"/>
      <c r="I15" s="916"/>
      <c r="J15" s="120"/>
      <c r="K15" s="122"/>
      <c r="L15" s="122"/>
      <c r="M15" s="122"/>
      <c r="N15" s="122"/>
      <c r="O15" s="122"/>
      <c r="P15" s="122"/>
      <c r="Q15" s="122"/>
      <c r="R15" s="122"/>
      <c r="S15" s="122"/>
      <c r="T15" s="122"/>
      <c r="U15" s="122"/>
      <c r="V15" s="122"/>
      <c r="W15" s="122"/>
      <c r="X15" s="122"/>
      <c r="Y15" s="122"/>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row>
    <row r="16" spans="1:50" s="120" customFormat="1" ht="15" customHeight="1" x14ac:dyDescent="0.25">
      <c r="A16" s="450"/>
      <c r="B16" s="451"/>
      <c r="C16" s="606"/>
      <c r="D16" s="452"/>
      <c r="E16" s="936" t="str">
        <f>Translate!E124</f>
        <v>Signature bonus (first period of activity)</v>
      </c>
      <c r="F16" s="553">
        <f xml:space="preserve"> INDEX(K16:AX16,$F$13)</f>
        <v>10</v>
      </c>
      <c r="G16" s="936" t="str">
        <f xml:space="preserve"> Translate!E$603</f>
        <v>US$ mn</v>
      </c>
      <c r="H16" s="453" t="str">
        <f>Translate!E192</f>
        <v>incurred in period of first project activity</v>
      </c>
      <c r="I16" s="917"/>
      <c r="K16" s="867">
        <v>10</v>
      </c>
      <c r="L16" s="867">
        <v>10</v>
      </c>
      <c r="M16" s="867">
        <v>10</v>
      </c>
      <c r="N16" s="867">
        <v>10</v>
      </c>
      <c r="O16" s="867">
        <v>10</v>
      </c>
      <c r="P16" s="867"/>
      <c r="Q16" s="867"/>
      <c r="R16" s="867"/>
      <c r="S16" s="867"/>
      <c r="T16" s="867"/>
      <c r="U16" s="867"/>
      <c r="V16" s="867"/>
      <c r="W16" s="867"/>
      <c r="X16" s="867"/>
      <c r="Y16" s="867"/>
      <c r="Z16" s="867"/>
      <c r="AA16" s="867"/>
      <c r="AB16" s="867"/>
      <c r="AC16" s="867"/>
      <c r="AD16" s="867"/>
      <c r="AE16" s="867"/>
      <c r="AF16" s="867"/>
      <c r="AG16" s="867"/>
      <c r="AH16" s="867"/>
      <c r="AI16" s="867"/>
      <c r="AJ16" s="867"/>
      <c r="AK16" s="867"/>
      <c r="AL16" s="867"/>
      <c r="AM16" s="867"/>
      <c r="AN16" s="867"/>
      <c r="AO16" s="867"/>
      <c r="AP16" s="867"/>
      <c r="AQ16" s="867"/>
      <c r="AR16" s="867"/>
      <c r="AS16" s="867"/>
      <c r="AT16" s="867"/>
      <c r="AU16" s="867"/>
      <c r="AV16" s="867"/>
      <c r="AW16" s="867"/>
      <c r="AX16" s="867"/>
    </row>
    <row r="17" spans="1:50" ht="15" customHeight="1" x14ac:dyDescent="0.25">
      <c r="A17" s="106"/>
      <c r="B17" s="118"/>
      <c r="C17" s="128"/>
      <c r="D17" s="54"/>
      <c r="E17" s="73" t="str">
        <f>Translate!E125</f>
        <v>Production bonus (start of production)</v>
      </c>
      <c r="F17" s="242">
        <f xml:space="preserve"> INDEX(K17:AX17,$F$13)</f>
        <v>50</v>
      </c>
      <c r="G17" s="73" t="str">
        <f xml:space="preserve"> Translate!E$603</f>
        <v>US$ mn</v>
      </c>
      <c r="H17" s="52" t="str">
        <f>Translate!E193</f>
        <v>start of production</v>
      </c>
      <c r="I17" s="918"/>
      <c r="J17" s="7"/>
      <c r="K17" s="449">
        <v>50</v>
      </c>
      <c r="L17" s="449">
        <v>50</v>
      </c>
      <c r="M17" s="449">
        <v>50</v>
      </c>
      <c r="N17" s="449">
        <v>50</v>
      </c>
      <c r="O17" s="449">
        <v>50</v>
      </c>
      <c r="P17" s="449"/>
      <c r="Q17" s="449"/>
      <c r="R17" s="449"/>
      <c r="S17" s="449"/>
      <c r="T17" s="449"/>
      <c r="U17" s="449"/>
      <c r="V17" s="449"/>
      <c r="W17" s="449"/>
      <c r="X17" s="449"/>
      <c r="Y17" s="449"/>
      <c r="Z17" s="449"/>
      <c r="AA17" s="449"/>
      <c r="AB17" s="449"/>
      <c r="AC17" s="449"/>
      <c r="AD17" s="449"/>
      <c r="AE17" s="449"/>
      <c r="AF17" s="449"/>
      <c r="AG17" s="449"/>
      <c r="AH17" s="449"/>
      <c r="AI17" s="449"/>
      <c r="AJ17" s="449"/>
      <c r="AK17" s="449"/>
      <c r="AL17" s="449"/>
      <c r="AM17" s="449"/>
      <c r="AN17" s="449"/>
      <c r="AO17" s="449"/>
      <c r="AP17" s="449"/>
      <c r="AQ17" s="449"/>
      <c r="AR17" s="449"/>
      <c r="AS17" s="449"/>
      <c r="AT17" s="449"/>
      <c r="AU17" s="449"/>
      <c r="AV17" s="449"/>
      <c r="AW17" s="449"/>
      <c r="AX17" s="449"/>
    </row>
    <row r="18" spans="1:50" s="7" customFormat="1" ht="15" customHeight="1" x14ac:dyDescent="0.25">
      <c r="A18" s="263"/>
      <c r="B18" s="667"/>
      <c r="C18" s="607"/>
      <c r="E18" s="190" t="str">
        <f>Translate!E126</f>
        <v>Bonuses cost recoverable and CIT and RRT deductible</v>
      </c>
      <c r="F18" s="242" t="str">
        <f xml:space="preserve"> INDEX(K18:AX18,$F$13)</f>
        <v>no</v>
      </c>
      <c r="G18" s="190" t="str">
        <f xml:space="preserve"> Translate!E$103</f>
        <v>Option</v>
      </c>
      <c r="H18" s="55" t="str">
        <f>Translate!E194</f>
        <v>expensed for cost if recoverable, depreciated for CIT if deductible, expensed for RRT if deductible</v>
      </c>
      <c r="I18" s="918" cm="1">
        <f t="array" ref="I18">MAX(0,IFERROR(MIN( 0, IF(K18:AX18&lt;&gt;"",MATCH(K18:AX18,$F$770:$F$771,0),0) ),1))</f>
        <v>0</v>
      </c>
      <c r="K18" s="778" t="s">
        <v>40</v>
      </c>
      <c r="L18" s="778" t="s">
        <v>40</v>
      </c>
      <c r="M18" s="778" t="s">
        <v>40</v>
      </c>
      <c r="N18" s="778" t="s">
        <v>40</v>
      </c>
      <c r="O18" s="778" t="s">
        <v>40</v>
      </c>
      <c r="P18" s="778"/>
      <c r="Q18" s="778"/>
      <c r="R18" s="778"/>
      <c r="S18" s="778"/>
      <c r="T18" s="778"/>
      <c r="U18" s="778"/>
      <c r="V18" s="778"/>
      <c r="W18" s="778"/>
      <c r="X18" s="778"/>
      <c r="Y18" s="778"/>
      <c r="Z18" s="449"/>
      <c r="AA18" s="778"/>
      <c r="AB18" s="778"/>
      <c r="AC18" s="449"/>
      <c r="AD18" s="778"/>
      <c r="AE18" s="778"/>
      <c r="AF18" s="778"/>
      <c r="AG18" s="778"/>
      <c r="AH18" s="449"/>
      <c r="AI18" s="778"/>
      <c r="AJ18" s="449"/>
      <c r="AK18" s="449"/>
      <c r="AL18" s="449"/>
      <c r="AM18" s="778"/>
      <c r="AN18" s="778"/>
      <c r="AO18" s="778"/>
      <c r="AP18" s="778"/>
      <c r="AQ18" s="449"/>
      <c r="AR18" s="449"/>
      <c r="AS18" s="449"/>
      <c r="AT18" s="449"/>
      <c r="AU18" s="449"/>
      <c r="AV18" s="449"/>
      <c r="AW18" s="449"/>
      <c r="AX18" s="449"/>
    </row>
    <row r="19" spans="1:50" ht="15" customHeight="1" x14ac:dyDescent="0.25">
      <c r="A19" s="106"/>
      <c r="B19" s="118" t="str">
        <f>Translate!E127</f>
        <v>Royalty</v>
      </c>
      <c r="C19" s="128"/>
      <c r="D19" s="54"/>
      <c r="E19" s="89"/>
      <c r="F19" s="162"/>
      <c r="G19" s="89"/>
      <c r="H19" s="89"/>
      <c r="I19" s="879"/>
      <c r="J19" s="109"/>
      <c r="K19" s="4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row>
    <row r="20" spans="1:50" s="120" customFormat="1" ht="15" customHeight="1" x14ac:dyDescent="0.25">
      <c r="A20" s="450"/>
      <c r="B20" s="451"/>
      <c r="C20" s="606"/>
      <c r="D20" s="452"/>
      <c r="E20" s="453" t="str">
        <f>Translate!E128</f>
        <v>Royalty rate</v>
      </c>
      <c r="F20" s="554" cm="1">
        <f t="array" ref="F20" xml:space="preserve"> INDEX(K20:AX20,$F$13)</f>
        <v>0.2</v>
      </c>
      <c r="G20" s="453" t="s">
        <v>24</v>
      </c>
      <c r="H20" s="453"/>
      <c r="I20" s="917"/>
      <c r="K20" s="868">
        <v>0.2</v>
      </c>
      <c r="L20" s="868">
        <v>0.05</v>
      </c>
      <c r="M20" s="868">
        <v>0.15</v>
      </c>
      <c r="N20" s="868">
        <v>0.08</v>
      </c>
      <c r="O20" s="868">
        <v>0.08</v>
      </c>
      <c r="P20" s="868"/>
      <c r="Q20" s="868"/>
      <c r="R20" s="868"/>
      <c r="S20" s="868"/>
      <c r="T20" s="868"/>
      <c r="U20" s="868"/>
      <c r="V20" s="868"/>
      <c r="W20" s="868"/>
      <c r="X20" s="868"/>
      <c r="Y20" s="868"/>
      <c r="Z20" s="868"/>
      <c r="AA20" s="868"/>
      <c r="AB20" s="868"/>
      <c r="AC20" s="868"/>
      <c r="AD20" s="868"/>
      <c r="AE20" s="868"/>
      <c r="AF20" s="868"/>
      <c r="AG20" s="868"/>
      <c r="AH20" s="868"/>
      <c r="AI20" s="868"/>
      <c r="AJ20" s="868"/>
      <c r="AK20" s="868"/>
      <c r="AL20" s="868"/>
      <c r="AM20" s="868"/>
      <c r="AN20" s="868"/>
      <c r="AO20" s="868"/>
      <c r="AP20" s="868"/>
      <c r="AQ20" s="868"/>
      <c r="AR20" s="868"/>
      <c r="AS20" s="868"/>
      <c r="AT20" s="868"/>
      <c r="AU20" s="868"/>
      <c r="AV20" s="868"/>
      <c r="AW20" s="868"/>
      <c r="AX20" s="868"/>
    </row>
    <row r="21" spans="1:50" s="7" customFormat="1" ht="15" customHeight="1" x14ac:dyDescent="0.25">
      <c r="A21" s="129"/>
      <c r="B21" s="118"/>
      <c r="C21" s="128"/>
      <c r="D21" s="54"/>
      <c r="E21" s="52" t="str">
        <f>Translate!E129</f>
        <v>Additional royalty rate above price threshold</v>
      </c>
      <c r="F21" s="555" cm="1">
        <f t="array" ref="F21" xml:space="preserve"> INDEX(K21:AX21,$F$13)</f>
        <v>0</v>
      </c>
      <c r="G21" s="52" t="s">
        <v>24</v>
      </c>
      <c r="H21" s="52" t="str">
        <f>Translate!E195</f>
        <v>Applies in addition to any flat royalty</v>
      </c>
      <c r="I21" s="918"/>
      <c r="K21" s="839"/>
      <c r="L21" s="839"/>
      <c r="M21" s="839"/>
      <c r="N21" s="839"/>
      <c r="O21" s="839"/>
      <c r="P21" s="839"/>
      <c r="Q21" s="839"/>
      <c r="R21" s="839"/>
      <c r="S21" s="839"/>
      <c r="T21" s="839"/>
      <c r="U21" s="839"/>
      <c r="V21" s="839"/>
      <c r="W21" s="839"/>
      <c r="X21" s="839"/>
      <c r="Y21" s="839"/>
      <c r="Z21" s="839"/>
      <c r="AA21" s="839"/>
      <c r="AB21" s="839"/>
      <c r="AC21" s="839"/>
      <c r="AD21" s="839"/>
      <c r="AE21" s="839"/>
      <c r="AF21" s="839"/>
      <c r="AG21" s="839"/>
      <c r="AH21" s="839"/>
      <c r="AI21" s="839"/>
      <c r="AJ21" s="839"/>
      <c r="AK21" s="839"/>
      <c r="AL21" s="839"/>
      <c r="AM21" s="839"/>
      <c r="AN21" s="839"/>
      <c r="AO21" s="839"/>
      <c r="AP21" s="839"/>
      <c r="AQ21" s="839"/>
      <c r="AR21" s="839"/>
      <c r="AS21" s="839"/>
      <c r="AT21" s="839"/>
      <c r="AU21" s="839"/>
      <c r="AV21" s="839"/>
      <c r="AW21" s="839"/>
      <c r="AX21" s="839"/>
    </row>
    <row r="22" spans="1:50" s="7" customFormat="1" ht="15" customHeight="1" x14ac:dyDescent="0.25">
      <c r="A22" s="263"/>
      <c r="B22" s="840"/>
      <c r="C22" s="841"/>
      <c r="E22" s="190" t="str">
        <f>Translate!E130</f>
        <v>Threshold for price royalty (0 = no price royalty)</v>
      </c>
      <c r="F22" s="842">
        <f xml:space="preserve"> INDEX(K22:AX22,$F$13)</f>
        <v>0</v>
      </c>
      <c r="G22" s="190" t="str">
        <f xml:space="preserve"> Inputs!F$55</f>
        <v>US$ / bbl</v>
      </c>
      <c r="H22" s="55"/>
      <c r="I22" s="918"/>
      <c r="K22" s="843"/>
      <c r="L22" s="449"/>
      <c r="M22" s="449"/>
      <c r="N22" s="449"/>
      <c r="O22" s="449"/>
      <c r="P22" s="449"/>
      <c r="Q22" s="449"/>
      <c r="R22" s="449"/>
      <c r="S22" s="449"/>
      <c r="T22" s="449"/>
      <c r="U22" s="449"/>
      <c r="V22" s="449"/>
      <c r="W22" s="449"/>
      <c r="X22" s="449"/>
      <c r="Y22" s="449"/>
      <c r="Z22" s="449"/>
      <c r="AA22" s="449"/>
      <c r="AB22" s="449"/>
      <c r="AC22" s="449"/>
      <c r="AD22" s="449"/>
      <c r="AE22" s="449"/>
      <c r="AF22" s="449"/>
      <c r="AG22" s="449"/>
      <c r="AH22" s="449"/>
      <c r="AI22" s="449"/>
      <c r="AJ22" s="449"/>
      <c r="AK22" s="449"/>
      <c r="AL22" s="449"/>
      <c r="AM22" s="449"/>
      <c r="AN22" s="449"/>
      <c r="AO22" s="449"/>
      <c r="AP22" s="449"/>
      <c r="AQ22" s="449"/>
      <c r="AR22" s="449"/>
      <c r="AS22" s="449"/>
      <c r="AT22" s="449"/>
      <c r="AU22" s="449"/>
      <c r="AV22" s="449"/>
      <c r="AW22" s="449"/>
      <c r="AX22" s="449"/>
    </row>
    <row r="23" spans="1:50" s="7" customFormat="1" ht="15" customHeight="1" x14ac:dyDescent="0.25">
      <c r="A23" s="129"/>
      <c r="B23" s="118"/>
      <c r="C23" s="128"/>
      <c r="D23" s="54"/>
      <c r="E23" s="844" t="str">
        <f>Translate!E131</f>
        <v>Price threshold inflation indexed</v>
      </c>
      <c r="F23" s="555" cm="1">
        <f t="array" ref="F23" xml:space="preserve"> INDEX(K23:AX23,$F$13)</f>
        <v>0</v>
      </c>
      <c r="G23" s="844" t="str">
        <f xml:space="preserve"> Translate!E$103</f>
        <v>Option</v>
      </c>
      <c r="H23" s="844" t="str">
        <f>Translate!E196</f>
        <v>yes or no</v>
      </c>
      <c r="I23" s="919" cm="1">
        <f t="array" ref="I23">MAX(0,IFERROR(MIN( 0, IF(K23:AX23&lt;&gt;"",MATCH(K23:AX23,$F$194:$F$195,0),0) ),1))</f>
        <v>0</v>
      </c>
      <c r="K23" s="778"/>
      <c r="L23" s="778"/>
      <c r="M23" s="778"/>
      <c r="N23" s="778"/>
      <c r="O23" s="778" t="s">
        <v>33</v>
      </c>
      <c r="P23" s="778"/>
      <c r="Q23" s="778"/>
      <c r="R23" s="778"/>
      <c r="S23" s="778"/>
      <c r="T23" s="778"/>
      <c r="U23" s="778"/>
      <c r="V23" s="778"/>
      <c r="W23" s="778"/>
      <c r="X23" s="778"/>
      <c r="Y23" s="778"/>
      <c r="Z23" s="778"/>
      <c r="AA23" s="778"/>
      <c r="AB23" s="778"/>
      <c r="AC23" s="778"/>
      <c r="AD23" s="778"/>
      <c r="AE23" s="778"/>
      <c r="AF23" s="778"/>
      <c r="AG23" s="778"/>
      <c r="AH23" s="778"/>
      <c r="AI23" s="778"/>
      <c r="AJ23" s="778"/>
      <c r="AK23" s="778"/>
      <c r="AL23" s="778"/>
      <c r="AM23" s="778"/>
      <c r="AN23" s="778"/>
      <c r="AO23" s="778"/>
      <c r="AP23" s="778"/>
      <c r="AQ23" s="778"/>
      <c r="AR23" s="778"/>
      <c r="AS23" s="778"/>
      <c r="AT23" s="778"/>
      <c r="AU23" s="778"/>
      <c r="AV23" s="778"/>
      <c r="AW23" s="778"/>
      <c r="AX23" s="778"/>
    </row>
    <row r="24" spans="1:50" s="7" customFormat="1" ht="15" customHeight="1" x14ac:dyDescent="0.25">
      <c r="A24" s="129"/>
      <c r="B24" s="118"/>
      <c r="C24" s="128"/>
      <c r="D24" s="54"/>
      <c r="E24" s="73" t="str">
        <f>Translate!E132</f>
        <v>Royalty base (net/gross)</v>
      </c>
      <c r="F24" s="555" t="str">
        <f xml:space="preserve"> INDEX(K24:AX24,$F$13)</f>
        <v>net</v>
      </c>
      <c r="G24" s="73" t="str">
        <f xml:space="preserve"> Translate!E$607</f>
        <v>Switch</v>
      </c>
      <c r="H24" s="52" t="str">
        <f>Translate!E197</f>
        <v>net = revenues less downstream/post-fiscal costs</v>
      </c>
      <c r="I24" s="919" cm="1">
        <f t="array" ref="I24">MAX(0,IFERROR(MIN( 0, IF(K24:AX24&lt;&gt;"",MATCH(K24:AX24,$F$181:$F$182,0),0) ),1))</f>
        <v>0</v>
      </c>
      <c r="K24" s="839" t="s">
        <v>41</v>
      </c>
      <c r="L24" s="839" t="s">
        <v>41</v>
      </c>
      <c r="M24" s="839" t="s">
        <v>41</v>
      </c>
      <c r="N24" s="839" t="s">
        <v>41</v>
      </c>
      <c r="O24" s="839" t="s">
        <v>41</v>
      </c>
      <c r="P24" s="839"/>
      <c r="Q24" s="839"/>
      <c r="R24" s="839"/>
      <c r="S24" s="839"/>
      <c r="T24" s="839"/>
      <c r="U24" s="839"/>
      <c r="V24" s="839"/>
      <c r="W24" s="839"/>
      <c r="X24" s="839"/>
      <c r="Y24" s="839"/>
      <c r="Z24" s="839"/>
      <c r="AA24" s="839"/>
      <c r="AB24" s="839"/>
      <c r="AC24" s="839"/>
      <c r="AD24" s="839"/>
      <c r="AE24" s="839"/>
      <c r="AF24" s="839"/>
      <c r="AG24" s="839"/>
      <c r="AH24" s="839"/>
      <c r="AI24" s="839"/>
      <c r="AJ24" s="839"/>
      <c r="AK24" s="839"/>
      <c r="AL24" s="839"/>
      <c r="AM24" s="839"/>
      <c r="AN24" s="839"/>
      <c r="AO24" s="839"/>
      <c r="AP24" s="839"/>
      <c r="AQ24" s="839"/>
      <c r="AR24" s="839"/>
      <c r="AS24" s="839"/>
      <c r="AT24" s="839"/>
      <c r="AU24" s="839"/>
      <c r="AV24" s="839"/>
      <c r="AW24" s="839"/>
      <c r="AX24" s="839"/>
    </row>
    <row r="25" spans="1:50" s="7" customFormat="1" ht="15" customHeight="1" x14ac:dyDescent="0.25">
      <c r="A25" s="263"/>
      <c r="B25" s="667"/>
      <c r="C25" s="607"/>
      <c r="E25" s="422" t="str">
        <f>Translate!E135</f>
        <v>Royalty, CIT and RRT deductible</v>
      </c>
      <c r="F25" s="555" t="str" cm="1">
        <f t="array" ref="F25" xml:space="preserve"> INDEX(K25:AX25,$F$13)</f>
        <v>yes</v>
      </c>
      <c r="G25" s="422" t="str">
        <f xml:space="preserve"> Translate!E$103</f>
        <v>Option</v>
      </c>
      <c r="H25" s="422" t="str">
        <f>Translate!E198</f>
        <v>only relevant for tax/royalty regimes</v>
      </c>
      <c r="I25" s="919" cm="1">
        <f t="array" ref="I25">MAX(0,IFERROR(MIN( 0, IF(K25:AX25&lt;&gt;"",MATCH(K25:AX25,$F$855:$F$856,0),0) ),1))</f>
        <v>0</v>
      </c>
      <c r="K25" s="778" t="s">
        <v>33</v>
      </c>
      <c r="L25" s="778" t="s">
        <v>33</v>
      </c>
      <c r="M25" s="778" t="s">
        <v>33</v>
      </c>
      <c r="N25" s="778" t="s">
        <v>33</v>
      </c>
      <c r="O25" s="778" t="s">
        <v>33</v>
      </c>
      <c r="P25" s="778"/>
      <c r="Q25" s="778"/>
      <c r="R25" s="778"/>
      <c r="S25" s="778"/>
      <c r="T25" s="778"/>
      <c r="U25" s="778"/>
      <c r="V25" s="778"/>
      <c r="W25" s="778"/>
      <c r="X25" s="778"/>
      <c r="Y25" s="778"/>
      <c r="Z25" s="449"/>
      <c r="AA25" s="778"/>
      <c r="AB25" s="778"/>
      <c r="AC25" s="449"/>
      <c r="AD25" s="778"/>
      <c r="AE25" s="778"/>
      <c r="AF25" s="778"/>
      <c r="AG25" s="778"/>
      <c r="AH25" s="449"/>
      <c r="AI25" s="778"/>
      <c r="AJ25" s="449"/>
      <c r="AK25" s="449"/>
      <c r="AL25" s="449"/>
      <c r="AM25" s="778"/>
      <c r="AN25" s="778"/>
      <c r="AO25" s="778"/>
      <c r="AP25" s="778"/>
      <c r="AQ25" s="449"/>
      <c r="AR25" s="449"/>
      <c r="AS25" s="449"/>
      <c r="AT25" s="449"/>
      <c r="AU25" s="449"/>
      <c r="AV25" s="449"/>
      <c r="AW25" s="449"/>
      <c r="AX25" s="449"/>
    </row>
    <row r="26" spans="1:50" s="7" customFormat="1" ht="15" customHeight="1" x14ac:dyDescent="0.25">
      <c r="A26" s="106"/>
      <c r="B26" s="118" t="str">
        <f>Translate!E136</f>
        <v>Carbon tax</v>
      </c>
      <c r="C26" s="128"/>
      <c r="D26" s="54"/>
      <c r="E26" s="89"/>
      <c r="F26" s="162"/>
      <c r="G26" s="89"/>
      <c r="H26" s="89"/>
      <c r="I26" s="879"/>
      <c r="J26" s="89"/>
      <c r="K26" s="89"/>
      <c r="L26" s="89"/>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row>
    <row r="27" spans="1:50" s="7" customFormat="1" ht="15" customHeight="1" x14ac:dyDescent="0.25">
      <c r="A27" s="454"/>
      <c r="B27" s="668"/>
      <c r="C27" s="608"/>
      <c r="D27" s="120"/>
      <c r="E27" s="845" t="str">
        <f>Translate!E137</f>
        <v>Tax per ton of CO2 eq emitted in start year</v>
      </c>
      <c r="F27" s="553" cm="1">
        <f t="array" ref="F27" xml:space="preserve"> INDEX(K27:AX27,$F$13)</f>
        <v>20</v>
      </c>
      <c r="G27" s="845" t="str">
        <f xml:space="preserve"> Translate!E$610</f>
        <v>US$ / t CO2 eq</v>
      </c>
      <c r="H27" s="845"/>
      <c r="I27" s="920"/>
      <c r="J27" s="120"/>
      <c r="K27" s="766">
        <v>20</v>
      </c>
      <c r="L27" s="766">
        <v>20</v>
      </c>
      <c r="M27" s="766">
        <v>20</v>
      </c>
      <c r="N27" s="766">
        <v>20</v>
      </c>
      <c r="O27" s="766">
        <v>20</v>
      </c>
      <c r="P27" s="766"/>
      <c r="Q27" s="766"/>
      <c r="R27" s="766"/>
      <c r="S27" s="766"/>
      <c r="T27" s="766"/>
      <c r="U27" s="766"/>
      <c r="V27" s="766"/>
      <c r="W27" s="766"/>
      <c r="X27" s="766"/>
      <c r="Y27" s="766"/>
      <c r="Z27" s="766"/>
      <c r="AA27" s="766"/>
      <c r="AB27" s="766"/>
      <c r="AC27" s="766"/>
      <c r="AD27" s="766"/>
      <c r="AE27" s="766"/>
      <c r="AF27" s="766"/>
      <c r="AG27" s="766"/>
      <c r="AH27" s="766"/>
      <c r="AI27" s="766"/>
      <c r="AJ27" s="766"/>
      <c r="AK27" s="766"/>
      <c r="AL27" s="766"/>
      <c r="AM27" s="766"/>
      <c r="AN27" s="766"/>
      <c r="AO27" s="766"/>
      <c r="AP27" s="766"/>
      <c r="AQ27" s="766"/>
      <c r="AR27" s="766"/>
      <c r="AS27" s="766"/>
      <c r="AT27" s="766"/>
      <c r="AU27" s="766"/>
      <c r="AV27" s="766"/>
      <c r="AW27" s="766"/>
      <c r="AX27" s="766"/>
    </row>
    <row r="28" spans="1:50" s="7" customFormat="1" ht="15" customHeight="1" x14ac:dyDescent="0.25">
      <c r="A28" s="263"/>
      <c r="B28" s="667"/>
      <c r="C28" s="607"/>
      <c r="E28" s="825" t="str">
        <f>Translate!E138</f>
        <v>Start year of carbon tax (0=from beginning)</v>
      </c>
      <c r="F28" s="555" cm="1">
        <f t="array" ref="F28" xml:space="preserve"> INDEX(K28:AX28,$F$13)</f>
        <v>0</v>
      </c>
      <c r="G28" s="825" t="str">
        <f xml:space="preserve"> Translate!E$609</f>
        <v>Calendar year</v>
      </c>
      <c r="H28" s="422"/>
      <c r="I28" s="921"/>
      <c r="K28" s="449">
        <v>0</v>
      </c>
      <c r="L28" s="449">
        <v>0</v>
      </c>
      <c r="M28" s="449">
        <v>0</v>
      </c>
      <c r="N28" s="449">
        <v>0</v>
      </c>
      <c r="O28" s="449">
        <v>0</v>
      </c>
      <c r="P28" s="449"/>
      <c r="Q28" s="449"/>
      <c r="R28" s="449"/>
      <c r="S28" s="449"/>
      <c r="T28" s="449"/>
      <c r="U28" s="449"/>
      <c r="V28" s="449"/>
      <c r="W28" s="449"/>
      <c r="X28" s="449"/>
      <c r="Y28" s="449"/>
      <c r="Z28" s="449"/>
      <c r="AA28" s="449"/>
      <c r="AB28" s="449"/>
      <c r="AC28" s="449"/>
      <c r="AD28" s="449"/>
      <c r="AE28" s="449"/>
      <c r="AF28" s="449"/>
      <c r="AG28" s="449"/>
      <c r="AH28" s="449"/>
      <c r="AI28" s="449"/>
      <c r="AJ28" s="449"/>
      <c r="AK28" s="449"/>
      <c r="AL28" s="449"/>
      <c r="AM28" s="449"/>
      <c r="AN28" s="449"/>
      <c r="AO28" s="449"/>
      <c r="AP28" s="449"/>
      <c r="AQ28" s="449"/>
      <c r="AR28" s="449"/>
      <c r="AS28" s="449"/>
      <c r="AT28" s="449"/>
      <c r="AU28" s="449"/>
      <c r="AV28" s="449"/>
      <c r="AW28" s="449"/>
      <c r="AX28" s="449"/>
    </row>
    <row r="29" spans="1:50" s="7" customFormat="1" ht="15" customHeight="1" x14ac:dyDescent="0.25">
      <c r="A29" s="263"/>
      <c r="B29" s="667"/>
      <c r="C29" s="607"/>
      <c r="E29" s="422" t="str">
        <f>Translate!E139</f>
        <v>Carbon tax in real or nominal terms</v>
      </c>
      <c r="F29" s="555" t="str" cm="1">
        <f t="array" ref="F29" xml:space="preserve"> INDEX(K29:AX29,$F$13)</f>
        <v>nominal</v>
      </c>
      <c r="G29" s="422" t="str">
        <f xml:space="preserve"> Translate!E$103</f>
        <v>Option</v>
      </c>
      <c r="H29" s="422" t="str">
        <f>Translate!E199</f>
        <v>Real, Nominal; assumed nominal if empty</v>
      </c>
      <c r="I29" s="919" cm="1">
        <f t="array" ref="I29">MAX(0,IFERROR(MIN( 0, IF(K29:AX29&lt;&gt;"",MATCH(K29:AX29,$F$244:$F$245,0),0) ),1))</f>
        <v>0</v>
      </c>
      <c r="K29" s="1029" t="s">
        <v>42</v>
      </c>
      <c r="L29" s="1029" t="s">
        <v>42</v>
      </c>
      <c r="M29" s="1029" t="s">
        <v>42</v>
      </c>
      <c r="N29" s="1029" t="s">
        <v>42</v>
      </c>
      <c r="O29" s="1029" t="s">
        <v>42</v>
      </c>
      <c r="P29" s="1029"/>
      <c r="Q29" s="1029"/>
      <c r="R29" s="1029"/>
      <c r="S29" s="1029"/>
      <c r="T29" s="1029"/>
      <c r="U29" s="1029"/>
      <c r="V29" s="1029"/>
      <c r="W29" s="1029"/>
      <c r="X29" s="1029"/>
      <c r="Y29" s="1029"/>
      <c r="Z29" s="1029"/>
      <c r="AA29" s="1029"/>
      <c r="AB29" s="1029"/>
      <c r="AC29" s="1029"/>
      <c r="AD29" s="1029"/>
      <c r="AE29" s="1029"/>
      <c r="AF29" s="1029"/>
      <c r="AG29" s="1029"/>
      <c r="AH29" s="1029"/>
      <c r="AI29" s="1029"/>
      <c r="AJ29" s="1029"/>
      <c r="AK29" s="1029"/>
      <c r="AL29" s="1029"/>
      <c r="AM29" s="1029"/>
      <c r="AN29" s="1029"/>
      <c r="AO29" s="1029"/>
      <c r="AP29" s="1029"/>
      <c r="AQ29" s="1029"/>
      <c r="AR29" s="1029"/>
      <c r="AS29" s="1029"/>
      <c r="AT29" s="1029"/>
      <c r="AU29" s="1029"/>
      <c r="AV29" s="1029"/>
      <c r="AW29" s="1029"/>
      <c r="AX29" s="1029"/>
    </row>
    <row r="30" spans="1:50" s="7" customFormat="1" ht="15" customHeight="1" x14ac:dyDescent="0.25">
      <c r="A30" s="263"/>
      <c r="B30" s="667"/>
      <c r="C30" s="607"/>
      <c r="E30" s="422" t="str">
        <f>Translate!E140</f>
        <v>Method to change carbon tax over time</v>
      </c>
      <c r="F30" s="555" t="str" cm="1">
        <f t="array" ref="F30" xml:space="preserve"> INDEX(K30:AX30,$F$13)</f>
        <v>Percentage</v>
      </c>
      <c r="G30" s="422" t="str">
        <f xml:space="preserve"> Translate!E$103</f>
        <v>Option</v>
      </c>
      <c r="H30" s="422" t="str">
        <f>Translate!E200</f>
        <v>Percentage, TargetYear; assumed percentage if empty</v>
      </c>
      <c r="I30" s="919" cm="1">
        <f t="array" ref="I30">MAX(0,IFERROR(MIN( 0, IF(K30:AX30&lt;&gt;"",MATCH(K30:AX30,$F$283:$F$284,0),0) ),1))</f>
        <v>0</v>
      </c>
      <c r="K30" s="1029" t="s">
        <v>43</v>
      </c>
      <c r="L30" s="1029" t="s">
        <v>43</v>
      </c>
      <c r="M30" s="1029" t="s">
        <v>43</v>
      </c>
      <c r="N30" s="1029" t="s">
        <v>43</v>
      </c>
      <c r="O30" s="1029" t="s">
        <v>43</v>
      </c>
      <c r="P30" s="1029"/>
      <c r="Q30" s="1029"/>
      <c r="R30" s="1029"/>
      <c r="S30" s="1029"/>
      <c r="T30" s="1029"/>
      <c r="U30" s="1029"/>
      <c r="V30" s="1029"/>
      <c r="W30" s="1029"/>
      <c r="X30" s="1029"/>
      <c r="Y30" s="1029"/>
      <c r="Z30" s="1029"/>
      <c r="AA30" s="1029"/>
      <c r="AB30" s="1029"/>
      <c r="AC30" s="1029"/>
      <c r="AD30" s="1029"/>
      <c r="AE30" s="1029"/>
      <c r="AF30" s="1029"/>
      <c r="AG30" s="1029"/>
      <c r="AH30" s="1029"/>
      <c r="AI30" s="1029"/>
      <c r="AJ30" s="1029"/>
      <c r="AK30" s="1029"/>
      <c r="AL30" s="1029"/>
      <c r="AM30" s="1029"/>
      <c r="AN30" s="1029"/>
      <c r="AO30" s="1029"/>
      <c r="AP30" s="1029"/>
      <c r="AQ30" s="1029"/>
      <c r="AR30" s="1029"/>
      <c r="AS30" s="1029"/>
      <c r="AT30" s="1029"/>
      <c r="AU30" s="1029"/>
      <c r="AV30" s="1029"/>
      <c r="AW30" s="1029"/>
      <c r="AX30" s="1029"/>
    </row>
    <row r="31" spans="1:50" s="521" customFormat="1" ht="15" customHeight="1" x14ac:dyDescent="0.25">
      <c r="A31" s="768"/>
      <c r="B31" s="769"/>
      <c r="C31" s="770"/>
      <c r="E31" s="846" t="str">
        <f>Translate!E141</f>
        <v>Percentage - Annual increase above inflation</v>
      </c>
      <c r="F31" s="239" cm="1">
        <f t="array" ref="F31" xml:space="preserve"> INDEX(K31:AX31,$F$13)</f>
        <v>0</v>
      </c>
      <c r="G31" s="846" t="s">
        <v>24</v>
      </c>
      <c r="H31" s="846" t="str">
        <f>Translate!E201</f>
        <v>0 if a constant tax level; percentage relative to carbon price in the first year</v>
      </c>
      <c r="I31" s="922"/>
      <c r="K31" s="736"/>
      <c r="L31" s="736"/>
      <c r="M31" s="736"/>
      <c r="N31" s="736"/>
      <c r="O31" s="736"/>
      <c r="P31" s="736"/>
      <c r="Q31" s="736"/>
      <c r="R31" s="736"/>
      <c r="S31" s="736"/>
      <c r="T31" s="736"/>
      <c r="U31" s="736"/>
      <c r="V31" s="736"/>
      <c r="W31" s="736"/>
      <c r="X31" s="736"/>
      <c r="Y31" s="736"/>
      <c r="Z31" s="736"/>
      <c r="AA31" s="736"/>
      <c r="AB31" s="736"/>
      <c r="AC31" s="736"/>
      <c r="AD31" s="736"/>
      <c r="AE31" s="736"/>
      <c r="AF31" s="736"/>
      <c r="AG31" s="736"/>
      <c r="AH31" s="736"/>
      <c r="AI31" s="736"/>
      <c r="AJ31" s="736"/>
      <c r="AK31" s="736"/>
      <c r="AL31" s="736"/>
      <c r="AM31" s="736"/>
      <c r="AN31" s="736"/>
      <c r="AO31" s="736"/>
      <c r="AP31" s="736"/>
      <c r="AQ31" s="736"/>
      <c r="AR31" s="736"/>
      <c r="AS31" s="736"/>
      <c r="AT31" s="736"/>
      <c r="AU31" s="736"/>
      <c r="AV31" s="736"/>
      <c r="AW31" s="736"/>
      <c r="AX31" s="736"/>
    </row>
    <row r="32" spans="1:50" s="774" customFormat="1" ht="15" customHeight="1" x14ac:dyDescent="0.25">
      <c r="A32" s="771"/>
      <c r="B32" s="772"/>
      <c r="C32" s="773"/>
      <c r="E32" s="798" t="str">
        <f>Translate!E142</f>
        <v>TargetYear - Tax per CO2 eq emitted in future year</v>
      </c>
      <c r="F32" s="776" cm="1">
        <f t="array" ref="F32" xml:space="preserve"> INDEX(K32:AX32,$F$13)</f>
        <v>0</v>
      </c>
      <c r="G32" s="798" t="str">
        <f xml:space="preserve"> Translate!E$610</f>
        <v>US$ / t CO2 eq</v>
      </c>
      <c r="H32" s="798"/>
      <c r="I32" s="923"/>
      <c r="K32" s="777"/>
      <c r="L32" s="777"/>
      <c r="M32" s="777"/>
      <c r="N32" s="777"/>
      <c r="O32" s="777"/>
      <c r="P32" s="777"/>
      <c r="Q32" s="777"/>
      <c r="R32" s="777"/>
      <c r="S32" s="777"/>
      <c r="T32" s="777"/>
      <c r="U32" s="777"/>
      <c r="V32" s="777"/>
      <c r="W32" s="777"/>
      <c r="X32" s="777"/>
      <c r="Y32" s="777"/>
      <c r="Z32" s="777"/>
      <c r="AA32" s="777"/>
      <c r="AB32" s="777"/>
      <c r="AC32" s="777"/>
      <c r="AD32" s="777"/>
      <c r="AE32" s="777"/>
      <c r="AF32" s="777"/>
      <c r="AG32" s="777"/>
      <c r="AH32" s="777"/>
      <c r="AI32" s="777"/>
      <c r="AJ32" s="777"/>
      <c r="AK32" s="777"/>
      <c r="AL32" s="777"/>
      <c r="AM32" s="777"/>
      <c r="AN32" s="777"/>
      <c r="AO32" s="777"/>
      <c r="AP32" s="777"/>
      <c r="AQ32" s="777"/>
      <c r="AR32" s="777"/>
      <c r="AS32" s="777"/>
      <c r="AT32" s="777"/>
      <c r="AU32" s="777"/>
      <c r="AV32" s="777"/>
      <c r="AW32" s="777"/>
      <c r="AX32" s="777"/>
    </row>
    <row r="33" spans="1:50" s="774" customFormat="1" ht="15" customHeight="1" x14ac:dyDescent="0.25">
      <c r="A33" s="771"/>
      <c r="B33" s="772"/>
      <c r="C33" s="773"/>
      <c r="E33" s="798" t="str">
        <f>Translate!E143</f>
        <v>TargetYear - Year in which Tax reaches target level</v>
      </c>
      <c r="F33" s="776" cm="1">
        <f t="array" ref="F33" xml:space="preserve"> INDEX(K33:AX33,$F$13)</f>
        <v>0</v>
      </c>
      <c r="G33" s="798" t="str">
        <f xml:space="preserve"> Translate!E$609</f>
        <v>Calendar year</v>
      </c>
      <c r="H33" s="798"/>
      <c r="I33" s="923"/>
      <c r="K33" s="777"/>
      <c r="L33" s="777"/>
      <c r="M33" s="777"/>
      <c r="N33" s="777"/>
      <c r="O33" s="777"/>
      <c r="P33" s="777"/>
      <c r="Q33" s="777"/>
      <c r="R33" s="777"/>
      <c r="S33" s="777"/>
      <c r="T33" s="777"/>
      <c r="U33" s="777"/>
      <c r="V33" s="777"/>
      <c r="W33" s="777"/>
      <c r="X33" s="777"/>
      <c r="Y33" s="777"/>
      <c r="Z33" s="777"/>
      <c r="AA33" s="777"/>
      <c r="AB33" s="777"/>
      <c r="AC33" s="777"/>
      <c r="AD33" s="777"/>
      <c r="AE33" s="777"/>
      <c r="AF33" s="777"/>
      <c r="AG33" s="777"/>
      <c r="AH33" s="777"/>
      <c r="AI33" s="777"/>
      <c r="AJ33" s="777"/>
      <c r="AK33" s="777"/>
      <c r="AL33" s="777"/>
      <c r="AM33" s="777"/>
      <c r="AN33" s="777"/>
      <c r="AO33" s="777"/>
      <c r="AP33" s="777"/>
      <c r="AQ33" s="777"/>
      <c r="AR33" s="777"/>
      <c r="AS33" s="777"/>
      <c r="AT33" s="777"/>
      <c r="AU33" s="777"/>
      <c r="AV33" s="777"/>
      <c r="AW33" s="777"/>
      <c r="AX33" s="777"/>
    </row>
    <row r="34" spans="1:50" s="7" customFormat="1" ht="15" customHeight="1" x14ac:dyDescent="0.25">
      <c r="A34" s="263"/>
      <c r="B34" s="667"/>
      <c r="C34" s="607"/>
      <c r="E34" s="422" t="str">
        <f>Translate!E144</f>
        <v>Carbon tax imposed on scope 3 emissions levied on investor</v>
      </c>
      <c r="F34" s="555" t="str" cm="1">
        <f t="array" ref="F34" xml:space="preserve"> INDEX(K34:AX34,$F$13)</f>
        <v>no</v>
      </c>
      <c r="G34" s="422" t="str">
        <f xml:space="preserve"> Translate!E$103</f>
        <v>Option</v>
      </c>
      <c r="H34" s="422" t="str">
        <f>Translate!E202</f>
        <v>no entry means not directly levied on investor</v>
      </c>
      <c r="I34" s="919" cm="1">
        <f t="array" ref="I34">MAX(0,IFERROR(MIN( 0, IF(K34:AX34&lt;&gt;"",MATCH(K34:AX34,$F$229:$F$230,0),0) ),1))</f>
        <v>0</v>
      </c>
      <c r="K34" s="778" t="s">
        <v>40</v>
      </c>
      <c r="L34" s="778" t="s">
        <v>40</v>
      </c>
      <c r="M34" s="778" t="s">
        <v>40</v>
      </c>
      <c r="N34" s="778" t="s">
        <v>40</v>
      </c>
      <c r="O34" s="778" t="s">
        <v>40</v>
      </c>
      <c r="P34" s="778"/>
      <c r="Q34" s="778"/>
      <c r="R34" s="778"/>
      <c r="S34" s="778"/>
      <c r="T34" s="778"/>
      <c r="U34" s="778"/>
      <c r="V34" s="778"/>
      <c r="W34" s="778"/>
      <c r="X34" s="778"/>
      <c r="Y34" s="778"/>
      <c r="Z34" s="449"/>
      <c r="AA34" s="778"/>
      <c r="AB34" s="778"/>
      <c r="AC34" s="449"/>
      <c r="AD34" s="778"/>
      <c r="AE34" s="778"/>
      <c r="AF34" s="778"/>
      <c r="AG34" s="778"/>
      <c r="AH34" s="449"/>
      <c r="AI34" s="778"/>
      <c r="AJ34" s="449"/>
      <c r="AK34" s="449"/>
      <c r="AL34" s="449"/>
      <c r="AM34" s="778"/>
      <c r="AN34" s="778"/>
      <c r="AO34" s="778"/>
      <c r="AP34" s="778"/>
      <c r="AQ34" s="449"/>
      <c r="AR34" s="449"/>
      <c r="AS34" s="449"/>
      <c r="AT34" s="449"/>
      <c r="AU34" s="449"/>
      <c r="AV34" s="449"/>
      <c r="AW34" s="449"/>
      <c r="AX34" s="449"/>
    </row>
    <row r="35" spans="1:50" s="7" customFormat="1" ht="15" customHeight="1" x14ac:dyDescent="0.25">
      <c r="A35" s="263"/>
      <c r="B35" s="667"/>
      <c r="C35" s="607"/>
      <c r="E35" s="422" t="str">
        <f>Translate!E145</f>
        <v>Carbon tax cost recoverable and CIT and RRT deductible</v>
      </c>
      <c r="F35" s="555" t="str">
        <f xml:space="preserve"> INDEX(K35:AX35,$F$13)</f>
        <v>yes</v>
      </c>
      <c r="G35" s="422" t="str">
        <f xml:space="preserve"> Translate!E$103</f>
        <v>Option</v>
      </c>
      <c r="H35" s="422" t="str">
        <f>Translate!E203</f>
        <v>no entry means not cost recoverable or CIT and RRT deductible</v>
      </c>
      <c r="I35" s="919" cm="1">
        <f t="array" ref="I35">MAX(0,IFERROR(MIN( 0, IF(K35:AX35&lt;&gt;"",MATCH(K35:AX35,$F$862:$F$863,0),0) ),1))</f>
        <v>0</v>
      </c>
      <c r="K35" s="778" t="s">
        <v>33</v>
      </c>
      <c r="L35" s="778" t="s">
        <v>33</v>
      </c>
      <c r="M35" s="778" t="s">
        <v>33</v>
      </c>
      <c r="N35" s="778" t="s">
        <v>33</v>
      </c>
      <c r="O35" s="778" t="s">
        <v>33</v>
      </c>
      <c r="P35" s="778"/>
      <c r="Q35" s="778"/>
      <c r="R35" s="778"/>
      <c r="S35" s="778"/>
      <c r="T35" s="778"/>
      <c r="U35" s="778"/>
      <c r="V35" s="778"/>
      <c r="W35" s="778"/>
      <c r="X35" s="778"/>
      <c r="Y35" s="778"/>
      <c r="Z35" s="449"/>
      <c r="AA35" s="778"/>
      <c r="AB35" s="778"/>
      <c r="AC35" s="449"/>
      <c r="AD35" s="778"/>
      <c r="AE35" s="778"/>
      <c r="AF35" s="778"/>
      <c r="AG35" s="778"/>
      <c r="AH35" s="449"/>
      <c r="AI35" s="778"/>
      <c r="AJ35" s="449"/>
      <c r="AK35" s="449"/>
      <c r="AL35" s="449"/>
      <c r="AM35" s="778"/>
      <c r="AN35" s="778"/>
      <c r="AO35" s="778"/>
      <c r="AP35" s="778"/>
      <c r="AQ35" s="449"/>
      <c r="AR35" s="449"/>
      <c r="AS35" s="449"/>
      <c r="AT35" s="449"/>
      <c r="AU35" s="449"/>
      <c r="AV35" s="449"/>
      <c r="AW35" s="449"/>
      <c r="AX35" s="449"/>
    </row>
    <row r="36" spans="1:50" ht="15" customHeight="1" x14ac:dyDescent="0.25">
      <c r="A36" s="106"/>
      <c r="B36" s="118" t="str">
        <f xml:space="preserve"> Translate!E$146</f>
        <v>Decommissioning</v>
      </c>
      <c r="C36" s="128"/>
      <c r="D36" s="54"/>
      <c r="E36" s="89"/>
      <c r="F36" s="162"/>
      <c r="G36" s="89"/>
      <c r="H36" s="89"/>
      <c r="I36" s="879"/>
      <c r="J36" s="89"/>
      <c r="K36" s="117"/>
      <c r="L36" s="117"/>
      <c r="M36" s="117"/>
      <c r="N36" s="117"/>
      <c r="O36" s="117"/>
      <c r="P36" s="117"/>
      <c r="Q36" s="117"/>
      <c r="R36" s="117"/>
      <c r="S36" s="117"/>
      <c r="T36" s="117"/>
      <c r="U36" s="117"/>
      <c r="V36" s="117"/>
      <c r="W36" s="117"/>
      <c r="X36" s="117"/>
      <c r="Y36" s="117"/>
      <c r="Z36" s="117"/>
      <c r="AA36" s="117"/>
      <c r="AB36" s="117"/>
      <c r="AC36" s="117"/>
      <c r="AD36" s="117"/>
      <c r="AE36" s="117"/>
      <c r="AF36" s="117"/>
      <c r="AG36" s="117"/>
      <c r="AH36" s="117"/>
      <c r="AI36" s="117"/>
      <c r="AJ36" s="117"/>
      <c r="AK36" s="117"/>
      <c r="AL36" s="117"/>
      <c r="AM36" s="117"/>
      <c r="AN36" s="117"/>
      <c r="AO36" s="117"/>
      <c r="AP36" s="117"/>
      <c r="AQ36" s="117"/>
      <c r="AR36" s="117"/>
      <c r="AS36" s="117"/>
      <c r="AT36" s="117"/>
      <c r="AU36" s="117"/>
      <c r="AV36" s="117"/>
      <c r="AW36" s="117"/>
      <c r="AX36" s="117"/>
    </row>
    <row r="37" spans="1:50" s="120" customFormat="1" ht="15" customHeight="1" x14ac:dyDescent="0.25">
      <c r="A37" s="450"/>
      <c r="B37" s="451"/>
      <c r="C37" s="606"/>
      <c r="D37" s="452"/>
      <c r="E37" s="126" t="str">
        <f>Translate!E147</f>
        <v>Decommissioning fund</v>
      </c>
      <c r="F37" s="553" t="str">
        <f>INDEX(K37:AX37,$F$13)</f>
        <v>yes</v>
      </c>
      <c r="G37" s="126" t="str">
        <f xml:space="preserve"> Translate!E$607</f>
        <v>Switch</v>
      </c>
      <c r="H37" s="126" t="str">
        <f>Translate!E204</f>
        <v>no entry means no decommissioning fund</v>
      </c>
      <c r="I37" s="924" cm="1">
        <f t="array" ref="I37">MAX(0,IFERROR(MIN( 0, IF(K37:AX37&lt;&gt;"",MATCH(K37:AX37,$F$118:$F$119,0),0) ),1))</f>
        <v>0</v>
      </c>
      <c r="K37" s="778" t="s">
        <v>33</v>
      </c>
      <c r="L37" s="778" t="s">
        <v>33</v>
      </c>
      <c r="M37" s="778" t="s">
        <v>33</v>
      </c>
      <c r="N37" s="778" t="s">
        <v>33</v>
      </c>
      <c r="O37" s="778" t="s">
        <v>33</v>
      </c>
      <c r="P37" s="778"/>
      <c r="Q37" s="778"/>
      <c r="R37" s="778"/>
      <c r="S37" s="778"/>
      <c r="T37" s="778"/>
      <c r="U37" s="778"/>
      <c r="V37" s="778"/>
      <c r="W37" s="778"/>
      <c r="X37" s="778"/>
      <c r="Y37" s="778"/>
      <c r="Z37" s="778"/>
      <c r="AA37" s="778"/>
      <c r="AB37" s="778"/>
      <c r="AC37" s="778"/>
      <c r="AD37" s="778"/>
      <c r="AE37" s="778"/>
      <c r="AF37" s="778"/>
      <c r="AG37" s="778"/>
      <c r="AH37" s="778"/>
      <c r="AI37" s="778"/>
      <c r="AJ37" s="778"/>
      <c r="AK37" s="778"/>
      <c r="AL37" s="778"/>
      <c r="AM37" s="778"/>
      <c r="AN37" s="778"/>
      <c r="AO37" s="778"/>
      <c r="AP37" s="778"/>
      <c r="AQ37" s="778"/>
      <c r="AR37" s="778"/>
      <c r="AS37" s="778"/>
      <c r="AT37" s="778"/>
      <c r="AU37" s="778"/>
      <c r="AV37" s="778"/>
      <c r="AW37" s="778"/>
      <c r="AX37" s="778"/>
    </row>
    <row r="38" spans="1:50" s="7" customFormat="1" ht="15" customHeight="1" x14ac:dyDescent="0.25">
      <c r="A38" s="129"/>
      <c r="B38" s="118"/>
      <c r="C38" s="128"/>
      <c r="D38" s="54"/>
      <c r="E38" s="13" t="str">
        <f>Translate!E148</f>
        <v>Commencement of decommissioning provision</v>
      </c>
      <c r="F38" s="555">
        <f>INDEX(K38:AX38,$F$13)</f>
        <v>0.5</v>
      </c>
      <c r="G38" s="13" t="str">
        <f>Translate!E401</f>
        <v>% depletion</v>
      </c>
      <c r="H38" s="13" t="str">
        <f>Translate!E205</f>
        <v>0 = from start of production</v>
      </c>
      <c r="I38" s="11"/>
      <c r="K38" s="870">
        <v>0.5</v>
      </c>
      <c r="L38" s="870">
        <v>0.5</v>
      </c>
      <c r="M38" s="870">
        <v>0.5</v>
      </c>
      <c r="N38" s="870">
        <v>0.5</v>
      </c>
      <c r="O38" s="870">
        <v>0.5</v>
      </c>
      <c r="P38" s="870"/>
      <c r="Q38" s="870"/>
      <c r="R38" s="870"/>
      <c r="S38" s="870"/>
      <c r="T38" s="870"/>
      <c r="U38" s="870"/>
      <c r="V38" s="870"/>
      <c r="W38" s="870"/>
      <c r="X38" s="870"/>
      <c r="Y38" s="870"/>
      <c r="Z38" s="870"/>
      <c r="AA38" s="870"/>
      <c r="AB38" s="870"/>
      <c r="AC38" s="870"/>
      <c r="AD38" s="870"/>
      <c r="AE38" s="870"/>
      <c r="AF38" s="870"/>
      <c r="AG38" s="870"/>
      <c r="AH38" s="870"/>
      <c r="AI38" s="870"/>
      <c r="AJ38" s="870"/>
      <c r="AK38" s="870"/>
      <c r="AL38" s="870"/>
      <c r="AM38" s="870"/>
      <c r="AN38" s="870"/>
      <c r="AO38" s="870"/>
      <c r="AP38" s="870"/>
      <c r="AQ38" s="870"/>
      <c r="AR38" s="870"/>
      <c r="AS38" s="870"/>
      <c r="AT38" s="870"/>
      <c r="AU38" s="870"/>
      <c r="AV38" s="870"/>
      <c r="AW38" s="870"/>
      <c r="AX38" s="870"/>
    </row>
    <row r="39" spans="1:50" ht="15" customHeight="1" x14ac:dyDescent="0.25">
      <c r="A39" s="106"/>
      <c r="B39" s="118" t="str">
        <f>Translate!E149</f>
        <v>Regime type</v>
      </c>
      <c r="C39" s="128"/>
      <c r="D39" s="54"/>
      <c r="E39" s="89"/>
      <c r="F39" s="162"/>
      <c r="G39" s="89"/>
      <c r="H39" s="89"/>
      <c r="I39" s="879"/>
      <c r="J39" s="89"/>
      <c r="K39" s="117"/>
      <c r="L39" s="117"/>
      <c r="M39" s="117"/>
      <c r="N39" s="117"/>
      <c r="O39" s="117"/>
      <c r="P39" s="117"/>
      <c r="Q39" s="117"/>
      <c r="R39" s="117"/>
      <c r="S39" s="117"/>
      <c r="T39" s="117"/>
      <c r="U39" s="117"/>
      <c r="V39" s="117"/>
      <c r="W39" s="117"/>
      <c r="X39" s="117"/>
      <c r="Y39" s="117"/>
      <c r="Z39" s="117"/>
      <c r="AA39" s="117"/>
      <c r="AB39" s="117"/>
      <c r="AC39" s="117"/>
      <c r="AD39" s="117"/>
      <c r="AE39" s="117"/>
      <c r="AF39" s="117"/>
      <c r="AG39" s="117"/>
      <c r="AH39" s="117"/>
      <c r="AI39" s="117"/>
      <c r="AJ39" s="117"/>
      <c r="AK39" s="117"/>
      <c r="AL39" s="117"/>
      <c r="AM39" s="117"/>
      <c r="AN39" s="117"/>
      <c r="AO39" s="117"/>
      <c r="AP39" s="117"/>
      <c r="AQ39" s="117"/>
      <c r="AR39" s="117"/>
      <c r="AS39" s="117"/>
      <c r="AT39" s="117"/>
      <c r="AU39" s="117"/>
      <c r="AV39" s="117"/>
      <c r="AW39" s="117"/>
      <c r="AX39" s="117"/>
    </row>
    <row r="40" spans="1:50" s="120" customFormat="1" ht="15" customHeight="1" x14ac:dyDescent="0.25">
      <c r="A40" s="450"/>
      <c r="B40" s="451"/>
      <c r="C40" s="606"/>
      <c r="D40" s="452"/>
      <c r="E40" s="126" t="str">
        <f>Translate!E149</f>
        <v>Regime type</v>
      </c>
      <c r="F40" s="553" t="str">
        <f>INDEX(K40:AX40,$F$13)</f>
        <v>T&amp;R</v>
      </c>
      <c r="G40" s="126" t="str">
        <f xml:space="preserve"> Translate!E$607</f>
        <v>Switch</v>
      </c>
      <c r="H40" s="126" t="str">
        <f>Translate!E206</f>
        <v>Overall regime configuration</v>
      </c>
      <c r="I40" s="924" cm="1">
        <f t="array" ref="I40">MAX(0,IFERROR(MIN( 0, IF(K40:AX40&lt;&gt;"",MATCH(K40:AX40,$F$422:$F$423,0),0) ),1))</f>
        <v>0</v>
      </c>
      <c r="K40" s="869" t="s">
        <v>44</v>
      </c>
      <c r="L40" s="869" t="s">
        <v>44</v>
      </c>
      <c r="M40" s="869" t="s">
        <v>44</v>
      </c>
      <c r="N40" s="869" t="s">
        <v>45</v>
      </c>
      <c r="O40" s="869" t="s">
        <v>45</v>
      </c>
      <c r="P40" s="869"/>
      <c r="Q40" s="869"/>
      <c r="R40" s="869"/>
      <c r="S40" s="869"/>
      <c r="T40" s="869"/>
      <c r="U40" s="869"/>
      <c r="V40" s="869"/>
      <c r="W40" s="869"/>
      <c r="X40" s="869"/>
      <c r="Y40" s="869"/>
      <c r="Z40" s="869"/>
      <c r="AA40" s="869"/>
      <c r="AB40" s="869"/>
      <c r="AC40" s="869"/>
      <c r="AD40" s="869"/>
      <c r="AE40" s="869"/>
      <c r="AF40" s="869"/>
      <c r="AG40" s="869"/>
      <c r="AH40" s="869"/>
      <c r="AI40" s="869"/>
      <c r="AJ40" s="869"/>
      <c r="AK40" s="869"/>
      <c r="AL40" s="869"/>
      <c r="AM40" s="869"/>
      <c r="AN40" s="869"/>
      <c r="AO40" s="869"/>
      <c r="AP40" s="869"/>
      <c r="AQ40" s="869"/>
      <c r="AR40" s="869"/>
      <c r="AS40" s="869"/>
      <c r="AT40" s="869"/>
      <c r="AU40" s="869"/>
      <c r="AV40" s="869"/>
      <c r="AW40" s="869"/>
      <c r="AX40" s="869"/>
    </row>
    <row r="41" spans="1:50" ht="15" customHeight="1" x14ac:dyDescent="0.25">
      <c r="A41" s="106"/>
      <c r="B41" s="118" t="str">
        <f>Translate!E150</f>
        <v>Production sharing: Cost recovery</v>
      </c>
      <c r="C41" s="128"/>
      <c r="D41" s="54"/>
      <c r="E41" s="13"/>
      <c r="F41" s="556"/>
      <c r="G41" s="13"/>
      <c r="H41" s="13"/>
      <c r="I41" s="11"/>
      <c r="J41" s="13"/>
      <c r="K41" s="13"/>
      <c r="L41" s="124"/>
      <c r="M41" s="124"/>
      <c r="N41" s="124"/>
      <c r="O41" s="124"/>
      <c r="P41" s="124"/>
      <c r="Q41" s="124"/>
      <c r="R41" s="124"/>
      <c r="S41" s="124"/>
      <c r="T41" s="124"/>
      <c r="U41" s="124"/>
      <c r="V41" s="124"/>
      <c r="W41" s="124"/>
      <c r="X41" s="124"/>
      <c r="Y41" s="124"/>
      <c r="Z41" s="124"/>
      <c r="AA41" s="124"/>
      <c r="AB41" s="124"/>
      <c r="AC41" s="124"/>
      <c r="AD41" s="124"/>
      <c r="AE41" s="124"/>
      <c r="AF41" s="124"/>
      <c r="AG41" s="124"/>
      <c r="AH41" s="124"/>
      <c r="AI41" s="124"/>
      <c r="AJ41" s="124"/>
      <c r="AK41" s="124"/>
      <c r="AL41" s="124"/>
      <c r="AM41" s="124"/>
      <c r="AN41" s="124"/>
      <c r="AO41" s="124"/>
      <c r="AP41" s="124"/>
      <c r="AQ41" s="124"/>
      <c r="AR41" s="124"/>
      <c r="AS41" s="124"/>
      <c r="AT41" s="124"/>
      <c r="AU41" s="124"/>
      <c r="AV41" s="124"/>
      <c r="AW41" s="124"/>
      <c r="AX41" s="124"/>
    </row>
    <row r="42" spans="1:50" s="120" customFormat="1" ht="15" customHeight="1" x14ac:dyDescent="0.25">
      <c r="A42" s="450"/>
      <c r="B42" s="451"/>
      <c r="C42" s="606"/>
      <c r="D42" s="452"/>
      <c r="E42" s="126" t="str">
        <f>Translate!E151</f>
        <v>Cost recovery limit</v>
      </c>
      <c r="F42" s="554">
        <f>INDEX(K42:AX42,$F$13)</f>
        <v>0</v>
      </c>
      <c r="G42" s="126" t="s">
        <v>24</v>
      </c>
      <c r="H42" s="126" t="str">
        <f>Translate!E207</f>
        <v>% of revenues after royalty</v>
      </c>
      <c r="I42" s="924"/>
      <c r="K42" s="871"/>
      <c r="L42" s="871"/>
      <c r="M42" s="871"/>
      <c r="N42" s="871">
        <v>0.8</v>
      </c>
      <c r="O42" s="871">
        <v>0.8</v>
      </c>
      <c r="P42" s="871"/>
      <c r="Q42" s="871"/>
      <c r="R42" s="871"/>
      <c r="S42" s="871"/>
      <c r="T42" s="871"/>
      <c r="U42" s="871"/>
      <c r="V42" s="871"/>
      <c r="W42" s="871"/>
      <c r="X42" s="871"/>
      <c r="Y42" s="871"/>
      <c r="Z42" s="871"/>
      <c r="AA42" s="871"/>
      <c r="AB42" s="871"/>
      <c r="AC42" s="871"/>
      <c r="AD42" s="871"/>
      <c r="AE42" s="871"/>
      <c r="AF42" s="871"/>
      <c r="AG42" s="871"/>
      <c r="AH42" s="871"/>
      <c r="AI42" s="871"/>
      <c r="AJ42" s="871"/>
      <c r="AK42" s="871"/>
      <c r="AL42" s="871"/>
      <c r="AM42" s="871"/>
      <c r="AN42" s="871"/>
      <c r="AO42" s="871"/>
      <c r="AP42" s="871"/>
      <c r="AQ42" s="871"/>
      <c r="AR42" s="871"/>
      <c r="AS42" s="871"/>
      <c r="AT42" s="871"/>
      <c r="AU42" s="871"/>
      <c r="AV42" s="871"/>
      <c r="AW42" s="871"/>
      <c r="AX42" s="871"/>
    </row>
    <row r="43" spans="1:50" ht="15" customHeight="1" x14ac:dyDescent="0.25">
      <c r="A43" s="106"/>
      <c r="B43" s="118"/>
      <c r="C43" s="128"/>
      <c r="D43" s="54"/>
      <c r="E43" s="13" t="str">
        <f>Translate!E152</f>
        <v>Interest cost recoverable</v>
      </c>
      <c r="F43" s="555" t="str">
        <f>INDEX(K43:AX43,$F$13)</f>
        <v>no</v>
      </c>
      <c r="G43" s="13" t="str">
        <f xml:space="preserve"> Translate!E$607</f>
        <v>Switch</v>
      </c>
      <c r="H43" s="13" t="str">
        <f>Translate!E208</f>
        <v>no entry means not recoverable</v>
      </c>
      <c r="I43" s="919" cm="1">
        <f t="array" ref="I43">MAX(0,IFERROR(MIN( 0, IF(K43:AX43&lt;&gt;"",MATCH(K43:AX43,$F$462:$F$463,0),0) ),1))</f>
        <v>0</v>
      </c>
      <c r="J43" s="7"/>
      <c r="K43" s="778" t="s">
        <v>40</v>
      </c>
      <c r="L43" s="778" t="s">
        <v>40</v>
      </c>
      <c r="M43" s="778" t="s">
        <v>40</v>
      </c>
      <c r="N43" s="778" t="s">
        <v>40</v>
      </c>
      <c r="O43" s="778" t="s">
        <v>40</v>
      </c>
      <c r="P43" s="778"/>
      <c r="Q43" s="778"/>
      <c r="R43" s="778"/>
      <c r="S43" s="778"/>
      <c r="T43" s="778"/>
      <c r="U43" s="778"/>
      <c r="V43" s="778"/>
      <c r="W43" s="778"/>
      <c r="X43" s="778"/>
      <c r="Y43" s="778"/>
      <c r="Z43" s="449"/>
      <c r="AA43" s="778"/>
      <c r="AB43" s="778"/>
      <c r="AC43" s="449"/>
      <c r="AD43" s="778"/>
      <c r="AE43" s="778"/>
      <c r="AF43" s="778"/>
      <c r="AG43" s="778"/>
      <c r="AH43" s="449"/>
      <c r="AI43" s="778"/>
      <c r="AJ43" s="449"/>
      <c r="AK43" s="449"/>
      <c r="AL43" s="449"/>
      <c r="AM43" s="778"/>
      <c r="AN43" s="778"/>
      <c r="AO43" s="778"/>
      <c r="AP43" s="778"/>
      <c r="AQ43" s="449"/>
      <c r="AR43" s="449"/>
      <c r="AS43" s="449"/>
      <c r="AT43" s="449"/>
      <c r="AU43" s="449"/>
      <c r="AV43" s="449"/>
      <c r="AW43" s="449"/>
      <c r="AX43" s="449"/>
    </row>
    <row r="44" spans="1:50" ht="15" customHeight="1" x14ac:dyDescent="0.25">
      <c r="A44" s="106"/>
      <c r="B44" s="118"/>
      <c r="C44" s="128"/>
      <c r="D44" s="54"/>
      <c r="E44" s="13" t="str">
        <f xml:space="preserve"> Translate!E$295</f>
        <v>Uplift on unrecovered costs</v>
      </c>
      <c r="F44" s="555">
        <f>INDEX(K44:AX44,$F$13)</f>
        <v>0</v>
      </c>
      <c r="G44" s="13" t="s">
        <v>24</v>
      </c>
      <c r="H44" s="13" t="str">
        <f>Translate!E209</f>
        <v>% added to unrecovered cost balance</v>
      </c>
      <c r="I44" s="11"/>
      <c r="J44" s="7"/>
      <c r="K44" s="839"/>
      <c r="L44" s="839"/>
      <c r="M44" s="839"/>
      <c r="N44" s="839"/>
      <c r="O44" s="839"/>
      <c r="P44" s="839"/>
      <c r="Q44" s="839"/>
      <c r="R44" s="839"/>
      <c r="S44" s="839"/>
      <c r="T44" s="839"/>
      <c r="U44" s="839"/>
      <c r="V44" s="839"/>
      <c r="W44" s="839"/>
      <c r="X44" s="839"/>
      <c r="Y44" s="839"/>
      <c r="Z44" s="839"/>
      <c r="AA44" s="839"/>
      <c r="AB44" s="839"/>
      <c r="AC44" s="839"/>
      <c r="AD44" s="839"/>
      <c r="AE44" s="839"/>
      <c r="AF44" s="839"/>
      <c r="AG44" s="839"/>
      <c r="AH44" s="839"/>
      <c r="AI44" s="839"/>
      <c r="AJ44" s="839"/>
      <c r="AK44" s="839"/>
      <c r="AL44" s="839"/>
      <c r="AM44" s="839"/>
      <c r="AN44" s="839"/>
      <c r="AO44" s="839"/>
      <c r="AP44" s="839"/>
      <c r="AQ44" s="839"/>
      <c r="AR44" s="839"/>
      <c r="AS44" s="839"/>
      <c r="AT44" s="839"/>
      <c r="AU44" s="839"/>
      <c r="AV44" s="839"/>
      <c r="AW44" s="839"/>
      <c r="AX44" s="839"/>
    </row>
    <row r="45" spans="1:50" s="7" customFormat="1" ht="15" customHeight="1" x14ac:dyDescent="0.25">
      <c r="A45" s="129"/>
      <c r="B45" s="118"/>
      <c r="C45" s="128"/>
      <c r="D45" s="54"/>
      <c r="E45" s="73" t="str">
        <f>Translate!E153</f>
        <v>Uplift limit (production years)</v>
      </c>
      <c r="F45" s="242">
        <f>INDEX(K45:AX45,$F$13)</f>
        <v>0</v>
      </c>
      <c r="G45" s="73" t="str">
        <f xml:space="preserve"> Translate!E$608</f>
        <v>Year</v>
      </c>
      <c r="H45" s="13" t="str">
        <f>Translate!E210</f>
        <v>time limit on uplift</v>
      </c>
      <c r="I45" s="919" cm="1">
        <f t="array" ref="I45">MAX(0,IFERROR(MIN( 0, IF(K45:AX45&lt;&gt;"",MATCH(K45:AX45,$F$509:$F$510,0),0) ),1))</f>
        <v>0</v>
      </c>
      <c r="K45" s="872"/>
      <c r="L45" s="872"/>
      <c r="M45" s="872"/>
      <c r="N45" s="872"/>
      <c r="O45" s="872"/>
      <c r="P45" s="872"/>
      <c r="Q45" s="872"/>
      <c r="R45" s="872"/>
      <c r="S45" s="872"/>
      <c r="T45" s="872"/>
      <c r="U45" s="872"/>
      <c r="V45" s="872"/>
      <c r="W45" s="872"/>
      <c r="X45" s="872"/>
      <c r="Y45" s="872"/>
      <c r="Z45" s="872"/>
      <c r="AA45" s="872"/>
      <c r="AB45" s="872"/>
      <c r="AC45" s="872"/>
      <c r="AD45" s="872"/>
      <c r="AE45" s="872"/>
      <c r="AF45" s="872"/>
      <c r="AG45" s="872"/>
      <c r="AH45" s="872"/>
      <c r="AI45" s="872"/>
      <c r="AJ45" s="872"/>
      <c r="AK45" s="872"/>
      <c r="AL45" s="872"/>
      <c r="AM45" s="872"/>
      <c r="AN45" s="872"/>
      <c r="AO45" s="872"/>
      <c r="AP45" s="872"/>
      <c r="AQ45" s="872"/>
      <c r="AR45" s="872"/>
      <c r="AS45" s="872"/>
      <c r="AT45" s="872"/>
      <c r="AU45" s="872"/>
      <c r="AV45" s="872"/>
      <c r="AW45" s="872"/>
      <c r="AX45" s="872"/>
    </row>
    <row r="46" spans="1:50" ht="15" customHeight="1" x14ac:dyDescent="0.25">
      <c r="A46" s="106"/>
      <c r="B46" s="102" t="str">
        <f>Translate!E154</f>
        <v>Production sharing: Profit oil</v>
      </c>
      <c r="C46" s="128"/>
      <c r="D46" s="54"/>
      <c r="E46" s="109"/>
      <c r="F46" s="117"/>
      <c r="G46" s="109"/>
      <c r="H46" s="109"/>
      <c r="I46" s="925"/>
      <c r="J46" s="109"/>
      <c r="K46" s="109"/>
      <c r="L46" s="117"/>
      <c r="M46" s="117"/>
      <c r="N46" s="117"/>
      <c r="O46" s="117"/>
      <c r="P46" s="117"/>
      <c r="Q46" s="117"/>
      <c r="R46" s="117"/>
      <c r="S46" s="117"/>
      <c r="T46" s="117"/>
      <c r="U46" s="117"/>
      <c r="V46" s="117"/>
      <c r="W46" s="117"/>
      <c r="X46" s="117"/>
      <c r="Y46" s="117"/>
      <c r="Z46" s="117"/>
      <c r="AA46" s="117"/>
      <c r="AB46" s="117"/>
      <c r="AC46" s="117"/>
      <c r="AD46" s="117"/>
      <c r="AE46" s="117"/>
      <c r="AF46" s="117"/>
      <c r="AG46" s="117"/>
      <c r="AH46" s="117"/>
      <c r="AI46" s="117"/>
      <c r="AJ46" s="117"/>
      <c r="AK46" s="117"/>
      <c r="AL46" s="117"/>
      <c r="AM46" s="117"/>
      <c r="AN46" s="117"/>
      <c r="AO46" s="117"/>
      <c r="AP46" s="117"/>
      <c r="AQ46" s="117"/>
      <c r="AR46" s="117"/>
      <c r="AS46" s="117"/>
      <c r="AT46" s="117"/>
      <c r="AU46" s="117"/>
      <c r="AV46" s="117"/>
      <c r="AW46" s="117"/>
      <c r="AX46" s="117"/>
    </row>
    <row r="47" spans="1:50" s="120" customFormat="1" ht="15" customHeight="1" x14ac:dyDescent="0.25">
      <c r="A47" s="450"/>
      <c r="B47" s="455"/>
      <c r="C47" s="606"/>
      <c r="D47" s="452"/>
      <c r="E47" s="126" t="str">
        <f>Translate!E155</f>
        <v>Selected profit oil sharing method</v>
      </c>
      <c r="F47" s="553">
        <f>INDEX(K47:AX47,$F$13)</f>
        <v>0</v>
      </c>
      <c r="G47" s="126" t="str">
        <f xml:space="preserve"> Translate!E$607</f>
        <v>Switch</v>
      </c>
      <c r="H47" s="126" t="str">
        <f>Translate!E211</f>
        <v>must enter value if PSC</v>
      </c>
      <c r="I47" s="924" cm="1">
        <f t="array" ref="I47">MAX(0,IFERROR(MIN( 0, IF(K47:AX47&lt;&gt;"",MATCH(K47:AX47,$F$642:$F$645,0),0) ),1))</f>
        <v>0</v>
      </c>
      <c r="K47" s="869"/>
      <c r="L47" s="869"/>
      <c r="M47" s="869"/>
      <c r="N47" s="869" t="s">
        <v>46</v>
      </c>
      <c r="O47" s="869" t="s">
        <v>47</v>
      </c>
      <c r="P47" s="869"/>
      <c r="Q47" s="869"/>
      <c r="R47" s="869"/>
      <c r="S47" s="869"/>
      <c r="T47" s="869"/>
      <c r="U47" s="869"/>
      <c r="V47" s="869"/>
      <c r="W47" s="869"/>
      <c r="X47" s="869"/>
      <c r="Y47" s="869"/>
      <c r="Z47" s="869"/>
      <c r="AA47" s="869"/>
      <c r="AB47" s="869"/>
      <c r="AC47" s="869"/>
      <c r="AD47" s="869"/>
      <c r="AE47" s="869"/>
      <c r="AF47" s="869"/>
      <c r="AG47" s="869"/>
      <c r="AH47" s="869"/>
      <c r="AI47" s="869"/>
      <c r="AJ47" s="869"/>
      <c r="AK47" s="869"/>
      <c r="AL47" s="869"/>
      <c r="AM47" s="869"/>
      <c r="AN47" s="869"/>
      <c r="AO47" s="869"/>
      <c r="AP47" s="869"/>
      <c r="AQ47" s="869"/>
      <c r="AR47" s="869"/>
      <c r="AS47" s="869"/>
      <c r="AT47" s="869"/>
      <c r="AU47" s="869"/>
      <c r="AV47" s="869"/>
      <c r="AW47" s="869"/>
      <c r="AX47" s="869"/>
    </row>
    <row r="48" spans="1:50" ht="15" customHeight="1" x14ac:dyDescent="0.25">
      <c r="A48" s="106"/>
      <c r="B48" s="118"/>
      <c r="C48" s="127" t="str">
        <f>Translate!$E$156</f>
        <v>DROP tiers</v>
      </c>
      <c r="D48" s="54"/>
      <c r="E48" s="13"/>
      <c r="F48" s="556"/>
      <c r="G48" s="13"/>
      <c r="H48" s="13" t="str">
        <f>Translate!E212</f>
        <v>Daily rate of production</v>
      </c>
      <c r="I48" s="11"/>
      <c r="J48" s="7"/>
      <c r="K48" s="124"/>
      <c r="L48" s="124"/>
      <c r="M48" s="124"/>
      <c r="N48" s="124"/>
      <c r="O48" s="124"/>
      <c r="P48" s="124"/>
      <c r="Q48" s="124"/>
      <c r="R48" s="124"/>
      <c r="S48" s="124"/>
      <c r="T48" s="124"/>
      <c r="U48" s="124"/>
      <c r="V48" s="124"/>
      <c r="W48" s="124"/>
      <c r="X48" s="124"/>
      <c r="Y48" s="124"/>
      <c r="Z48" s="124"/>
      <c r="AA48" s="124"/>
      <c r="AB48" s="124"/>
      <c r="AC48" s="124"/>
      <c r="AD48" s="124"/>
      <c r="AE48" s="124"/>
      <c r="AF48" s="124"/>
      <c r="AG48" s="124"/>
      <c r="AH48" s="124"/>
      <c r="AI48" s="124"/>
      <c r="AJ48" s="124"/>
      <c r="AK48" s="124"/>
      <c r="AL48" s="124"/>
      <c r="AM48" s="124"/>
      <c r="AN48" s="124"/>
      <c r="AO48" s="124"/>
      <c r="AP48" s="124"/>
      <c r="AQ48" s="124"/>
      <c r="AR48" s="124"/>
      <c r="AS48" s="124"/>
      <c r="AT48" s="124"/>
      <c r="AU48" s="124"/>
      <c r="AV48" s="124"/>
      <c r="AW48" s="124"/>
      <c r="AX48" s="124"/>
    </row>
    <row r="49" spans="1:50" ht="15" customHeight="1" x14ac:dyDescent="0.25">
      <c r="A49" s="106"/>
      <c r="B49" s="118"/>
      <c r="C49" s="128"/>
      <c r="D49" s="54"/>
      <c r="E49" s="13" t="str">
        <f>Translate!E$157 &amp; " 1"</f>
        <v>DROP tier 1</v>
      </c>
      <c r="F49" s="242">
        <f>INDEX(K49:AX49,$F$13)</f>
        <v>0</v>
      </c>
      <c r="G49" s="13" t="str">
        <f xml:space="preserve"> Translate!E$611</f>
        <v>KBOPD</v>
      </c>
      <c r="H49" s="13"/>
      <c r="I49" s="11"/>
      <c r="J49" s="7"/>
      <c r="K49" s="778"/>
      <c r="L49" s="778"/>
      <c r="M49" s="778"/>
      <c r="N49" s="778">
        <v>20</v>
      </c>
      <c r="O49" s="778"/>
      <c r="P49" s="778"/>
      <c r="Q49" s="778"/>
      <c r="R49" s="778"/>
      <c r="S49" s="778"/>
      <c r="T49" s="778"/>
      <c r="U49" s="778"/>
      <c r="V49" s="778"/>
      <c r="W49" s="778"/>
      <c r="X49" s="778"/>
      <c r="Y49" s="778"/>
      <c r="Z49" s="778"/>
      <c r="AA49" s="778"/>
      <c r="AB49" s="778"/>
      <c r="AC49" s="778"/>
      <c r="AD49" s="778"/>
      <c r="AE49" s="778"/>
      <c r="AF49" s="778"/>
      <c r="AG49" s="778"/>
      <c r="AH49" s="778"/>
      <c r="AI49" s="778"/>
      <c r="AJ49" s="778"/>
      <c r="AK49" s="778"/>
      <c r="AL49" s="778"/>
      <c r="AM49" s="778"/>
      <c r="AN49" s="778"/>
      <c r="AO49" s="778"/>
      <c r="AP49" s="778"/>
      <c r="AQ49" s="778"/>
      <c r="AR49" s="778"/>
      <c r="AS49" s="778"/>
      <c r="AT49" s="778"/>
      <c r="AU49" s="778"/>
      <c r="AV49" s="778"/>
      <c r="AW49" s="778"/>
      <c r="AX49" s="778"/>
    </row>
    <row r="50" spans="1:50" ht="15" customHeight="1" x14ac:dyDescent="0.25">
      <c r="A50" s="106"/>
      <c r="B50" s="118"/>
      <c r="C50" s="128"/>
      <c r="D50" s="54"/>
      <c r="E50" s="13" t="str">
        <f>Translate!E$157 &amp; " 2"</f>
        <v>DROP tier 2</v>
      </c>
      <c r="F50" s="242">
        <f>INDEX(K50:AX50,$F$13)</f>
        <v>0</v>
      </c>
      <c r="G50" s="13" t="str">
        <f xml:space="preserve"> Translate!E$611</f>
        <v>KBOPD</v>
      </c>
      <c r="H50" s="13"/>
      <c r="I50" s="11"/>
      <c r="J50" s="7"/>
      <c r="K50" s="778"/>
      <c r="L50" s="778"/>
      <c r="M50" s="778"/>
      <c r="N50" s="778">
        <f>N49+50</f>
        <v>70</v>
      </c>
      <c r="O50" s="778"/>
      <c r="P50" s="778"/>
      <c r="Q50" s="778"/>
      <c r="R50" s="778"/>
      <c r="S50" s="778"/>
      <c r="T50" s="778"/>
      <c r="U50" s="778"/>
      <c r="V50" s="778"/>
      <c r="W50" s="778"/>
      <c r="X50" s="778"/>
      <c r="Y50" s="778"/>
      <c r="Z50" s="778"/>
      <c r="AA50" s="778"/>
      <c r="AB50" s="778"/>
      <c r="AC50" s="778"/>
      <c r="AD50" s="778"/>
      <c r="AE50" s="778"/>
      <c r="AF50" s="778"/>
      <c r="AG50" s="778"/>
      <c r="AH50" s="778"/>
      <c r="AI50" s="778"/>
      <c r="AJ50" s="778"/>
      <c r="AK50" s="778"/>
      <c r="AL50" s="778"/>
      <c r="AM50" s="778"/>
      <c r="AN50" s="778"/>
      <c r="AO50" s="778"/>
      <c r="AP50" s="778"/>
      <c r="AQ50" s="778"/>
      <c r="AR50" s="778"/>
      <c r="AS50" s="778"/>
      <c r="AT50" s="778"/>
      <c r="AU50" s="778"/>
      <c r="AV50" s="778"/>
      <c r="AW50" s="778"/>
      <c r="AX50" s="778"/>
    </row>
    <row r="51" spans="1:50" ht="15" customHeight="1" x14ac:dyDescent="0.25">
      <c r="A51" s="106"/>
      <c r="B51" s="118"/>
      <c r="C51" s="128"/>
      <c r="D51" s="54"/>
      <c r="E51" s="13" t="str">
        <f>Translate!E$157 &amp; " 3"</f>
        <v>DROP tier 3</v>
      </c>
      <c r="F51" s="242">
        <f>INDEX(K51:AX51,$F$13)</f>
        <v>0</v>
      </c>
      <c r="G51" s="13" t="str">
        <f xml:space="preserve"> Translate!E$611</f>
        <v>KBOPD</v>
      </c>
      <c r="H51" s="13"/>
      <c r="I51" s="11"/>
      <c r="J51" s="7"/>
      <c r="K51" s="778"/>
      <c r="L51" s="778"/>
      <c r="M51" s="778"/>
      <c r="N51" s="778">
        <f>N50+50</f>
        <v>120</v>
      </c>
      <c r="O51" s="778"/>
      <c r="P51" s="778"/>
      <c r="Q51" s="778"/>
      <c r="R51" s="778"/>
      <c r="S51" s="778"/>
      <c r="T51" s="778"/>
      <c r="U51" s="778"/>
      <c r="V51" s="778"/>
      <c r="W51" s="778"/>
      <c r="X51" s="778"/>
      <c r="Y51" s="778"/>
      <c r="Z51" s="778"/>
      <c r="AA51" s="778"/>
      <c r="AB51" s="778"/>
      <c r="AC51" s="778"/>
      <c r="AD51" s="778"/>
      <c r="AE51" s="778"/>
      <c r="AF51" s="778"/>
      <c r="AG51" s="778"/>
      <c r="AH51" s="778"/>
      <c r="AI51" s="778"/>
      <c r="AJ51" s="778"/>
      <c r="AK51" s="778"/>
      <c r="AL51" s="778"/>
      <c r="AM51" s="778"/>
      <c r="AN51" s="778"/>
      <c r="AO51" s="778"/>
      <c r="AP51" s="778"/>
      <c r="AQ51" s="778"/>
      <c r="AR51" s="778"/>
      <c r="AS51" s="778"/>
      <c r="AT51" s="778"/>
      <c r="AU51" s="778"/>
      <c r="AV51" s="778"/>
      <c r="AW51" s="778"/>
      <c r="AX51" s="778"/>
    </row>
    <row r="52" spans="1:50" ht="15" customHeight="1" x14ac:dyDescent="0.25">
      <c r="A52" s="106"/>
      <c r="B52" s="118"/>
      <c r="C52" s="128"/>
      <c r="D52" s="54"/>
      <c r="E52" s="13" t="str">
        <f>Translate!E$157 &amp; " 4"</f>
        <v>DROP tier 4</v>
      </c>
      <c r="F52" s="242">
        <f>INDEX(K52:AX52,$F$13)</f>
        <v>0</v>
      </c>
      <c r="G52" s="13" t="str">
        <f xml:space="preserve"> Translate!E$611</f>
        <v>KBOPD</v>
      </c>
      <c r="H52" s="13"/>
      <c r="I52" s="11"/>
      <c r="J52" s="7"/>
      <c r="K52" s="778"/>
      <c r="L52" s="778"/>
      <c r="M52" s="778"/>
      <c r="N52" s="778">
        <f>N51+50</f>
        <v>170</v>
      </c>
      <c r="O52" s="778"/>
      <c r="P52" s="778"/>
      <c r="Q52" s="778"/>
      <c r="R52" s="778"/>
      <c r="S52" s="778"/>
      <c r="T52" s="778"/>
      <c r="U52" s="778"/>
      <c r="V52" s="778"/>
      <c r="W52" s="778"/>
      <c r="X52" s="778"/>
      <c r="Y52" s="778"/>
      <c r="Z52" s="778"/>
      <c r="AA52" s="778"/>
      <c r="AB52" s="778"/>
      <c r="AC52" s="778"/>
      <c r="AD52" s="778"/>
      <c r="AE52" s="778"/>
      <c r="AF52" s="778"/>
      <c r="AG52" s="778"/>
      <c r="AH52" s="778"/>
      <c r="AI52" s="778"/>
      <c r="AJ52" s="778"/>
      <c r="AK52" s="778"/>
      <c r="AL52" s="778"/>
      <c r="AM52" s="778"/>
      <c r="AN52" s="778"/>
      <c r="AO52" s="778"/>
      <c r="AP52" s="778"/>
      <c r="AQ52" s="778"/>
      <c r="AR52" s="778"/>
      <c r="AS52" s="778"/>
      <c r="AT52" s="778"/>
      <c r="AU52" s="778"/>
      <c r="AV52" s="778"/>
      <c r="AW52" s="778"/>
      <c r="AX52" s="778"/>
    </row>
    <row r="53" spans="1:50" ht="15" customHeight="1" x14ac:dyDescent="0.25">
      <c r="A53" s="106"/>
      <c r="B53" s="118"/>
      <c r="C53" s="128" t="str">
        <f xml:space="preserve"> Translate!E$158</f>
        <v>R-Factor tiers</v>
      </c>
      <c r="D53" s="54"/>
      <c r="E53" s="13"/>
      <c r="F53" s="269"/>
      <c r="G53" s="13"/>
      <c r="H53" s="13" t="str">
        <f>Translate!E213</f>
        <v>Ratio of cumulative revenues to cumulative costs</v>
      </c>
      <c r="I53" s="11"/>
      <c r="J53" s="7"/>
      <c r="K53" s="124"/>
      <c r="L53" s="124"/>
      <c r="M53" s="124"/>
      <c r="N53" s="124"/>
      <c r="O53" s="124"/>
      <c r="P53" s="124"/>
      <c r="Q53" s="124"/>
      <c r="R53" s="124"/>
      <c r="S53" s="124"/>
      <c r="T53" s="124"/>
      <c r="U53" s="124"/>
      <c r="V53" s="124"/>
      <c r="W53" s="124"/>
      <c r="X53" s="124"/>
      <c r="Y53" s="124"/>
      <c r="Z53" s="124"/>
      <c r="AA53" s="124"/>
      <c r="AB53" s="124"/>
      <c r="AC53" s="124"/>
      <c r="AD53" s="124"/>
      <c r="AE53" s="124"/>
      <c r="AF53" s="124"/>
      <c r="AG53" s="124"/>
      <c r="AH53" s="124"/>
      <c r="AI53" s="124"/>
      <c r="AJ53" s="124"/>
      <c r="AK53" s="124"/>
      <c r="AL53" s="124"/>
      <c r="AM53" s="124"/>
      <c r="AN53" s="124"/>
      <c r="AO53" s="124"/>
      <c r="AP53" s="124"/>
      <c r="AQ53" s="124"/>
      <c r="AR53" s="124"/>
      <c r="AS53" s="124"/>
      <c r="AT53" s="124"/>
      <c r="AU53" s="124"/>
      <c r="AV53" s="124"/>
      <c r="AW53" s="124"/>
      <c r="AX53" s="124"/>
    </row>
    <row r="54" spans="1:50" s="489" customFormat="1" ht="15" customHeight="1" x14ac:dyDescent="0.25">
      <c r="A54" s="486"/>
      <c r="B54" s="669"/>
      <c r="C54" s="609"/>
      <c r="D54" s="487"/>
      <c r="E54" s="13" t="str">
        <f>Translate!E$159 &amp; " 1"</f>
        <v>R-Factor tier 1</v>
      </c>
      <c r="F54" s="557">
        <f>INDEX(K54:AX54,$F$13)</f>
        <v>0</v>
      </c>
      <c r="G54" s="13" t="str">
        <f>Translate!$E$402</f>
        <v>R-Factor ratio</v>
      </c>
      <c r="H54" s="488"/>
      <c r="I54" s="926"/>
      <c r="J54" s="487"/>
      <c r="K54" s="873"/>
      <c r="L54" s="873"/>
      <c r="M54" s="873"/>
      <c r="N54" s="873"/>
      <c r="O54" s="873">
        <v>1</v>
      </c>
      <c r="P54" s="873"/>
      <c r="Q54" s="873"/>
      <c r="R54" s="873"/>
      <c r="S54" s="873"/>
      <c r="T54" s="873"/>
      <c r="U54" s="873"/>
      <c r="V54" s="873"/>
      <c r="W54" s="873"/>
      <c r="X54" s="873"/>
      <c r="Y54" s="873"/>
      <c r="Z54" s="873"/>
      <c r="AA54" s="873"/>
      <c r="AB54" s="873"/>
      <c r="AC54" s="873"/>
      <c r="AD54" s="873"/>
      <c r="AE54" s="873"/>
      <c r="AF54" s="873"/>
      <c r="AG54" s="873"/>
      <c r="AH54" s="873"/>
      <c r="AI54" s="873"/>
      <c r="AJ54" s="873"/>
      <c r="AK54" s="873"/>
      <c r="AL54" s="873"/>
      <c r="AM54" s="873"/>
      <c r="AN54" s="873"/>
      <c r="AO54" s="873"/>
      <c r="AP54" s="873"/>
      <c r="AQ54" s="873"/>
      <c r="AR54" s="873"/>
      <c r="AS54" s="873"/>
      <c r="AT54" s="873"/>
      <c r="AU54" s="873"/>
      <c r="AV54" s="873"/>
      <c r="AW54" s="873"/>
      <c r="AX54" s="873"/>
    </row>
    <row r="55" spans="1:50" s="489" customFormat="1" ht="15" customHeight="1" x14ac:dyDescent="0.25">
      <c r="A55" s="486"/>
      <c r="B55" s="669"/>
      <c r="C55" s="609"/>
      <c r="D55" s="487"/>
      <c r="E55" s="13" t="str">
        <f>Translate!E$159 &amp; " 2"</f>
        <v>R-Factor tier 2</v>
      </c>
      <c r="F55" s="557">
        <f>INDEX(K55:AX55,$F$13)</f>
        <v>0</v>
      </c>
      <c r="G55" s="13" t="str">
        <f>Translate!$E$402</f>
        <v>R-Factor ratio</v>
      </c>
      <c r="H55" s="488"/>
      <c r="I55" s="926"/>
      <c r="J55" s="487"/>
      <c r="K55" s="873"/>
      <c r="L55" s="873"/>
      <c r="M55" s="873"/>
      <c r="N55" s="873"/>
      <c r="O55" s="873">
        <v>2</v>
      </c>
      <c r="P55" s="873"/>
      <c r="Q55" s="873"/>
      <c r="R55" s="873"/>
      <c r="S55" s="873"/>
      <c r="T55" s="873"/>
      <c r="U55" s="873"/>
      <c r="V55" s="873"/>
      <c r="W55" s="873"/>
      <c r="X55" s="873"/>
      <c r="Y55" s="873"/>
      <c r="Z55" s="873"/>
      <c r="AA55" s="873"/>
      <c r="AB55" s="873"/>
      <c r="AC55" s="873"/>
      <c r="AD55" s="873"/>
      <c r="AE55" s="873"/>
      <c r="AF55" s="873"/>
      <c r="AG55" s="873"/>
      <c r="AH55" s="873"/>
      <c r="AI55" s="873"/>
      <c r="AJ55" s="873"/>
      <c r="AK55" s="873"/>
      <c r="AL55" s="873"/>
      <c r="AM55" s="873"/>
      <c r="AN55" s="873"/>
      <c r="AO55" s="873"/>
      <c r="AP55" s="873"/>
      <c r="AQ55" s="873"/>
      <c r="AR55" s="873"/>
      <c r="AS55" s="873"/>
      <c r="AT55" s="873"/>
      <c r="AU55" s="873"/>
      <c r="AV55" s="873"/>
      <c r="AW55" s="873"/>
      <c r="AX55" s="873"/>
    </row>
    <row r="56" spans="1:50" s="489" customFormat="1" ht="15" customHeight="1" x14ac:dyDescent="0.25">
      <c r="A56" s="486"/>
      <c r="B56" s="669"/>
      <c r="C56" s="609"/>
      <c r="D56" s="487"/>
      <c r="E56" s="13" t="str">
        <f>Translate!E$159 &amp; " 3"</f>
        <v>R-Factor tier 3</v>
      </c>
      <c r="F56" s="557">
        <f>INDEX(K56:AX56,$F$13)</f>
        <v>0</v>
      </c>
      <c r="G56" s="13" t="str">
        <f>Translate!$E$402</f>
        <v>R-Factor ratio</v>
      </c>
      <c r="H56" s="488"/>
      <c r="I56" s="926"/>
      <c r="J56" s="487"/>
      <c r="K56" s="873"/>
      <c r="L56" s="873"/>
      <c r="M56" s="873"/>
      <c r="N56" s="873"/>
      <c r="O56" s="873">
        <v>3</v>
      </c>
      <c r="P56" s="873"/>
      <c r="Q56" s="873"/>
      <c r="R56" s="873"/>
      <c r="S56" s="873"/>
      <c r="T56" s="873"/>
      <c r="U56" s="873"/>
      <c r="V56" s="873"/>
      <c r="W56" s="873"/>
      <c r="X56" s="873"/>
      <c r="Y56" s="873"/>
      <c r="Z56" s="873"/>
      <c r="AA56" s="873"/>
      <c r="AB56" s="873"/>
      <c r="AC56" s="873"/>
      <c r="AD56" s="873"/>
      <c r="AE56" s="873"/>
      <c r="AF56" s="873"/>
      <c r="AG56" s="873"/>
      <c r="AH56" s="873"/>
      <c r="AI56" s="873"/>
      <c r="AJ56" s="873"/>
      <c r="AK56" s="873"/>
      <c r="AL56" s="873"/>
      <c r="AM56" s="873"/>
      <c r="AN56" s="873"/>
      <c r="AO56" s="873"/>
      <c r="AP56" s="873"/>
      <c r="AQ56" s="873"/>
      <c r="AR56" s="873"/>
      <c r="AS56" s="873"/>
      <c r="AT56" s="873"/>
      <c r="AU56" s="873"/>
      <c r="AV56" s="873"/>
      <c r="AW56" s="873"/>
      <c r="AX56" s="873"/>
    </row>
    <row r="57" spans="1:50" s="489" customFormat="1" ht="15" customHeight="1" x14ac:dyDescent="0.25">
      <c r="A57" s="486"/>
      <c r="B57" s="669"/>
      <c r="C57" s="609"/>
      <c r="D57" s="487"/>
      <c r="E57" s="13" t="str">
        <f>Translate!E$159 &amp; " 4"</f>
        <v>R-Factor tier 4</v>
      </c>
      <c r="F57" s="557">
        <f>INDEX(K57:AX57,$F$13)</f>
        <v>0</v>
      </c>
      <c r="G57" s="13" t="str">
        <f>Translate!$E$402</f>
        <v>R-Factor ratio</v>
      </c>
      <c r="H57" s="488"/>
      <c r="I57" s="926"/>
      <c r="J57" s="487"/>
      <c r="K57" s="873"/>
      <c r="L57" s="873"/>
      <c r="M57" s="873"/>
      <c r="N57" s="873"/>
      <c r="O57" s="873">
        <v>4</v>
      </c>
      <c r="P57" s="873"/>
      <c r="Q57" s="873"/>
      <c r="R57" s="873"/>
      <c r="S57" s="873"/>
      <c r="T57" s="873"/>
      <c r="U57" s="873"/>
      <c r="V57" s="873"/>
      <c r="W57" s="873"/>
      <c r="X57" s="873"/>
      <c r="Y57" s="873"/>
      <c r="Z57" s="873"/>
      <c r="AA57" s="873"/>
      <c r="AB57" s="873"/>
      <c r="AC57" s="873"/>
      <c r="AD57" s="873"/>
      <c r="AE57" s="873"/>
      <c r="AF57" s="873"/>
      <c r="AG57" s="873"/>
      <c r="AH57" s="873"/>
      <c r="AI57" s="873"/>
      <c r="AJ57" s="873"/>
      <c r="AK57" s="873"/>
      <c r="AL57" s="873"/>
      <c r="AM57" s="873"/>
      <c r="AN57" s="873"/>
      <c r="AO57" s="873"/>
      <c r="AP57" s="873"/>
      <c r="AQ57" s="873"/>
      <c r="AR57" s="873"/>
      <c r="AS57" s="873"/>
      <c r="AT57" s="873"/>
      <c r="AU57" s="873"/>
      <c r="AV57" s="873"/>
      <c r="AW57" s="873"/>
      <c r="AX57" s="873"/>
    </row>
    <row r="58" spans="1:50" ht="15" customHeight="1" x14ac:dyDescent="0.25">
      <c r="A58" s="106"/>
      <c r="B58" s="670"/>
      <c r="C58" s="128" t="str">
        <f>Translate!$E$617</f>
        <v>Government share of profit oil</v>
      </c>
      <c r="D58" s="54"/>
      <c r="E58" s="13"/>
      <c r="F58" s="269"/>
      <c r="G58" s="13"/>
      <c r="H58" s="13"/>
      <c r="I58" s="11"/>
      <c r="J58" s="7"/>
      <c r="K58" s="124"/>
      <c r="L58" s="124"/>
      <c r="M58" s="124"/>
      <c r="N58" s="124"/>
      <c r="O58" s="124"/>
      <c r="P58" s="124"/>
      <c r="Q58" s="124"/>
      <c r="R58" s="124"/>
      <c r="S58" s="124"/>
      <c r="T58" s="124"/>
      <c r="U58" s="124"/>
      <c r="V58" s="124"/>
      <c r="W58" s="124"/>
      <c r="X58" s="124"/>
      <c r="Y58" s="124"/>
      <c r="Z58" s="124"/>
      <c r="AA58" s="124"/>
      <c r="AB58" s="124"/>
      <c r="AC58" s="124"/>
      <c r="AD58" s="124"/>
      <c r="AE58" s="124"/>
      <c r="AF58" s="124"/>
      <c r="AG58" s="124"/>
      <c r="AH58" s="124"/>
      <c r="AI58" s="124"/>
      <c r="AJ58" s="124"/>
      <c r="AK58" s="124"/>
      <c r="AL58" s="124"/>
      <c r="AM58" s="124"/>
      <c r="AN58" s="124"/>
      <c r="AO58" s="124"/>
      <c r="AP58" s="124"/>
      <c r="AQ58" s="124"/>
      <c r="AR58" s="124"/>
      <c r="AS58" s="124"/>
      <c r="AT58" s="124"/>
      <c r="AU58" s="124"/>
      <c r="AV58" s="124"/>
      <c r="AW58" s="124"/>
      <c r="AX58" s="124"/>
    </row>
    <row r="59" spans="1:50" ht="15" customHeight="1" x14ac:dyDescent="0.25">
      <c r="A59" s="106"/>
      <c r="B59" s="118"/>
      <c r="C59" s="128"/>
      <c r="D59" s="54"/>
      <c r="E59" s="13" t="str">
        <f>Translate!E$160 &amp; " 1"</f>
        <v>Government profit oil share tier 1</v>
      </c>
      <c r="F59" s="555">
        <f>INDEX(K59:AX59,$F$13)</f>
        <v>0</v>
      </c>
      <c r="G59" s="13" t="s">
        <v>24</v>
      </c>
      <c r="H59" s="13"/>
      <c r="I59" s="11"/>
      <c r="J59" s="7"/>
      <c r="K59" s="870"/>
      <c r="L59" s="870"/>
      <c r="M59" s="870"/>
      <c r="N59" s="870">
        <v>0.2</v>
      </c>
      <c r="O59" s="870">
        <v>0.2</v>
      </c>
      <c r="P59" s="870"/>
      <c r="Q59" s="870"/>
      <c r="R59" s="870"/>
      <c r="S59" s="870"/>
      <c r="T59" s="870"/>
      <c r="U59" s="870"/>
      <c r="V59" s="870"/>
      <c r="W59" s="870"/>
      <c r="X59" s="870"/>
      <c r="Y59" s="870"/>
      <c r="Z59" s="870"/>
      <c r="AA59" s="1009"/>
      <c r="AB59" s="1010"/>
      <c r="AC59" s="870"/>
      <c r="AD59" s="870"/>
      <c r="AE59" s="870"/>
      <c r="AF59" s="1009"/>
      <c r="AG59" s="1009"/>
      <c r="AH59" s="870"/>
      <c r="AI59" s="870"/>
      <c r="AJ59" s="870"/>
      <c r="AK59" s="870"/>
      <c r="AL59" s="870"/>
      <c r="AM59" s="870"/>
      <c r="AN59" s="870"/>
      <c r="AO59" s="1009"/>
      <c r="AP59" s="1009"/>
      <c r="AQ59" s="870"/>
      <c r="AR59" s="870"/>
      <c r="AS59" s="870"/>
      <c r="AT59" s="870"/>
      <c r="AU59" s="870"/>
      <c r="AV59" s="870"/>
      <c r="AW59" s="870"/>
      <c r="AX59" s="870"/>
    </row>
    <row r="60" spans="1:50" ht="15" customHeight="1" x14ac:dyDescent="0.25">
      <c r="A60" s="106"/>
      <c r="B60" s="118"/>
      <c r="C60" s="128"/>
      <c r="D60" s="54"/>
      <c r="E60" s="13" t="str">
        <f>Translate!E$160 &amp; " 2"</f>
        <v>Government profit oil share tier 2</v>
      </c>
      <c r="F60" s="555">
        <f>INDEX(K60:AX60,$F$13)</f>
        <v>0</v>
      </c>
      <c r="G60" s="13" t="s">
        <v>24</v>
      </c>
      <c r="H60" s="13"/>
      <c r="I60" s="11"/>
      <c r="J60" s="7"/>
      <c r="K60" s="870"/>
      <c r="L60" s="870"/>
      <c r="M60" s="870"/>
      <c r="N60" s="870">
        <f xml:space="preserve"> N59 + 10%</f>
        <v>0.30000000000000004</v>
      </c>
      <c r="O60" s="870">
        <f xml:space="preserve"> O59 + 10%</f>
        <v>0.30000000000000004</v>
      </c>
      <c r="P60" s="870"/>
      <c r="Q60" s="870"/>
      <c r="R60" s="870"/>
      <c r="S60" s="870"/>
      <c r="T60" s="870"/>
      <c r="U60" s="870"/>
      <c r="V60" s="870"/>
      <c r="W60" s="870"/>
      <c r="X60" s="870"/>
      <c r="Y60" s="870"/>
      <c r="Z60" s="870"/>
      <c r="AA60" s="1009"/>
      <c r="AB60" s="1010"/>
      <c r="AC60" s="870"/>
      <c r="AD60" s="870"/>
      <c r="AE60" s="870"/>
      <c r="AF60" s="1009"/>
      <c r="AG60" s="1009"/>
      <c r="AH60" s="870"/>
      <c r="AI60" s="870"/>
      <c r="AJ60" s="870"/>
      <c r="AK60" s="870"/>
      <c r="AL60" s="870"/>
      <c r="AM60" s="870"/>
      <c r="AN60" s="870"/>
      <c r="AO60" s="1009"/>
      <c r="AP60" s="1009"/>
      <c r="AQ60" s="870"/>
      <c r="AR60" s="870"/>
      <c r="AS60" s="870"/>
      <c r="AT60" s="870"/>
      <c r="AU60" s="870"/>
      <c r="AV60" s="870"/>
      <c r="AW60" s="870"/>
      <c r="AX60" s="870"/>
    </row>
    <row r="61" spans="1:50" ht="15" customHeight="1" x14ac:dyDescent="0.25">
      <c r="A61" s="106"/>
      <c r="B61" s="118"/>
      <c r="C61" s="128"/>
      <c r="D61" s="54"/>
      <c r="E61" s="13" t="str">
        <f>Translate!E$160 &amp; " 3"</f>
        <v>Government profit oil share tier 3</v>
      </c>
      <c r="F61" s="555">
        <f>INDEX(K61:AX61,$F$13)</f>
        <v>0</v>
      </c>
      <c r="G61" s="13" t="s">
        <v>24</v>
      </c>
      <c r="H61" s="13"/>
      <c r="I61" s="11"/>
      <c r="J61" s="7"/>
      <c r="K61" s="870"/>
      <c r="L61" s="870"/>
      <c r="M61" s="870"/>
      <c r="N61" s="870">
        <f t="shared" ref="N61:O63" si="1" xml:space="preserve"> N60 + 10%</f>
        <v>0.4</v>
      </c>
      <c r="O61" s="870">
        <f t="shared" si="1"/>
        <v>0.4</v>
      </c>
      <c r="P61" s="870"/>
      <c r="Q61" s="870"/>
      <c r="R61" s="870"/>
      <c r="S61" s="870"/>
      <c r="T61" s="870"/>
      <c r="U61" s="870"/>
      <c r="V61" s="870"/>
      <c r="W61" s="870"/>
      <c r="X61" s="870"/>
      <c r="Y61" s="870"/>
      <c r="Z61" s="870"/>
      <c r="AA61" s="1009"/>
      <c r="AB61" s="1010"/>
      <c r="AC61" s="870"/>
      <c r="AD61" s="870"/>
      <c r="AE61" s="870"/>
      <c r="AF61" s="1009"/>
      <c r="AG61" s="1009"/>
      <c r="AH61" s="870"/>
      <c r="AI61" s="870"/>
      <c r="AJ61" s="870"/>
      <c r="AK61" s="870"/>
      <c r="AL61" s="870"/>
      <c r="AM61" s="870"/>
      <c r="AN61" s="870"/>
      <c r="AO61" s="1009"/>
      <c r="AP61" s="1009"/>
      <c r="AQ61" s="870"/>
      <c r="AR61" s="870"/>
      <c r="AS61" s="870"/>
      <c r="AT61" s="870"/>
      <c r="AU61" s="870"/>
      <c r="AV61" s="870"/>
      <c r="AW61" s="870"/>
      <c r="AX61" s="870"/>
    </row>
    <row r="62" spans="1:50" ht="15" customHeight="1" x14ac:dyDescent="0.25">
      <c r="A62" s="106"/>
      <c r="B62" s="118"/>
      <c r="C62" s="128"/>
      <c r="D62" s="54"/>
      <c r="E62" s="13" t="str">
        <f>Translate!E$160 &amp; " 4"</f>
        <v>Government profit oil share tier 4</v>
      </c>
      <c r="F62" s="555">
        <f>INDEX(K62:AX62,$F$13)</f>
        <v>0</v>
      </c>
      <c r="G62" s="13" t="s">
        <v>24</v>
      </c>
      <c r="H62" s="13"/>
      <c r="I62" s="11"/>
      <c r="J62" s="7"/>
      <c r="K62" s="870"/>
      <c r="L62" s="870"/>
      <c r="M62" s="870"/>
      <c r="N62" s="870">
        <f t="shared" si="1"/>
        <v>0.5</v>
      </c>
      <c r="O62" s="870">
        <f t="shared" si="1"/>
        <v>0.5</v>
      </c>
      <c r="P62" s="870"/>
      <c r="Q62" s="870"/>
      <c r="R62" s="870"/>
      <c r="S62" s="870"/>
      <c r="T62" s="870"/>
      <c r="U62" s="870"/>
      <c r="V62" s="870"/>
      <c r="W62" s="870"/>
      <c r="X62" s="870"/>
      <c r="Y62" s="870"/>
      <c r="Z62" s="870"/>
      <c r="AA62" s="1009"/>
      <c r="AB62" s="1010"/>
      <c r="AC62" s="870"/>
      <c r="AD62" s="870"/>
      <c r="AE62" s="870"/>
      <c r="AF62" s="1009"/>
      <c r="AG62" s="1009"/>
      <c r="AH62" s="870"/>
      <c r="AI62" s="870"/>
      <c r="AJ62" s="870"/>
      <c r="AK62" s="870"/>
      <c r="AL62" s="870"/>
      <c r="AM62" s="870"/>
      <c r="AN62" s="870"/>
      <c r="AO62" s="1009"/>
      <c r="AP62" s="1009"/>
      <c r="AQ62" s="870"/>
      <c r="AR62" s="870"/>
      <c r="AS62" s="870"/>
      <c r="AT62" s="870"/>
      <c r="AU62" s="870"/>
      <c r="AV62" s="870"/>
      <c r="AW62" s="870"/>
      <c r="AX62" s="870"/>
    </row>
    <row r="63" spans="1:50" s="7" customFormat="1" ht="15" customHeight="1" x14ac:dyDescent="0.25">
      <c r="A63" s="129"/>
      <c r="B63" s="118"/>
      <c r="C63" s="128"/>
      <c r="D63" s="54"/>
      <c r="E63" s="13" t="str">
        <f>Translate!E$160 &amp; " 5"</f>
        <v>Government profit oil share tier 5</v>
      </c>
      <c r="F63" s="555">
        <f>INDEX(K63:AX63,$F$13)</f>
        <v>0</v>
      </c>
      <c r="G63" s="13" t="s">
        <v>24</v>
      </c>
      <c r="H63" s="13"/>
      <c r="I63" s="11"/>
      <c r="K63" s="870"/>
      <c r="L63" s="870"/>
      <c r="M63" s="870"/>
      <c r="N63" s="870">
        <f t="shared" si="1"/>
        <v>0.6</v>
      </c>
      <c r="O63" s="870">
        <f t="shared" si="1"/>
        <v>0.6</v>
      </c>
      <c r="P63" s="870"/>
      <c r="Q63" s="870"/>
      <c r="R63" s="870"/>
      <c r="S63" s="870"/>
      <c r="T63" s="870"/>
      <c r="U63" s="870"/>
      <c r="V63" s="870"/>
      <c r="W63" s="870"/>
      <c r="X63" s="870"/>
      <c r="Y63" s="870"/>
      <c r="Z63" s="870"/>
      <c r="AA63" s="1009"/>
      <c r="AB63" s="1010"/>
      <c r="AC63" s="870"/>
      <c r="AD63" s="870"/>
      <c r="AE63" s="870"/>
      <c r="AF63" s="1009"/>
      <c r="AG63" s="1009"/>
      <c r="AH63" s="870"/>
      <c r="AI63" s="870"/>
      <c r="AJ63" s="870"/>
      <c r="AK63" s="870"/>
      <c r="AL63" s="870"/>
      <c r="AM63" s="870"/>
      <c r="AN63" s="870"/>
      <c r="AO63" s="1009"/>
      <c r="AP63" s="1009"/>
      <c r="AQ63" s="870"/>
      <c r="AR63" s="870"/>
      <c r="AS63" s="870"/>
      <c r="AT63" s="870"/>
      <c r="AU63" s="870"/>
      <c r="AV63" s="870"/>
      <c r="AW63" s="870"/>
      <c r="AX63" s="870"/>
    </row>
    <row r="64" spans="1:50" ht="15" customHeight="1" x14ac:dyDescent="0.25">
      <c r="A64" s="106"/>
      <c r="B64" s="118" t="str">
        <f>Translate!E161 &amp; " (" &amp; Translate!E732 &amp; ")"</f>
        <v>Corporate income tax (CIT)</v>
      </c>
      <c r="C64" s="128"/>
      <c r="D64" s="54"/>
      <c r="E64" s="109"/>
      <c r="F64" s="117"/>
      <c r="G64" s="109"/>
      <c r="H64" s="109"/>
      <c r="I64" s="925"/>
      <c r="J64" s="109"/>
      <c r="K64" s="117"/>
      <c r="L64" s="117"/>
      <c r="M64" s="117"/>
      <c r="N64" s="117"/>
      <c r="O64" s="117"/>
      <c r="P64" s="117"/>
      <c r="Q64" s="117"/>
      <c r="R64" s="117"/>
      <c r="S64" s="117"/>
      <c r="T64" s="117"/>
      <c r="U64" s="117"/>
      <c r="V64" s="117"/>
      <c r="W64" s="117"/>
      <c r="X64" s="117"/>
      <c r="Y64" s="117"/>
      <c r="Z64" s="117"/>
      <c r="AA64" s="117"/>
      <c r="AB64" s="117"/>
      <c r="AC64" s="117"/>
      <c r="AD64" s="117"/>
      <c r="AE64" s="117"/>
      <c r="AF64" s="117"/>
      <c r="AG64" s="117"/>
      <c r="AH64" s="117"/>
      <c r="AI64" s="117"/>
      <c r="AJ64" s="117"/>
      <c r="AK64" s="117"/>
      <c r="AL64" s="117"/>
      <c r="AM64" s="117"/>
      <c r="AN64" s="117"/>
      <c r="AO64" s="117"/>
      <c r="AP64" s="117"/>
      <c r="AQ64" s="117"/>
      <c r="AR64" s="117"/>
      <c r="AS64" s="117"/>
      <c r="AT64" s="117"/>
      <c r="AU64" s="117"/>
      <c r="AV64" s="117"/>
      <c r="AW64" s="117"/>
      <c r="AX64" s="117"/>
    </row>
    <row r="65" spans="1:50" s="833" customFormat="1" ht="15" customHeight="1" x14ac:dyDescent="0.25">
      <c r="A65" s="830"/>
      <c r="B65" s="831"/>
      <c r="C65" s="832"/>
      <c r="E65" s="834" t="str">
        <f>Translate!E162</f>
        <v>CIT rate</v>
      </c>
      <c r="F65" s="834">
        <f>INDEX(K65:AX65,$F$13)</f>
        <v>0.35</v>
      </c>
      <c r="G65" s="834" t="s">
        <v>24</v>
      </c>
      <c r="H65" s="834"/>
      <c r="I65" s="927"/>
      <c r="K65" s="871">
        <v>0.35</v>
      </c>
      <c r="L65" s="871">
        <v>0.3</v>
      </c>
      <c r="M65" s="871">
        <v>0.4</v>
      </c>
      <c r="N65" s="871">
        <v>0.3</v>
      </c>
      <c r="O65" s="871">
        <v>0.3</v>
      </c>
      <c r="P65" s="1011"/>
      <c r="Q65" s="1011"/>
      <c r="R65" s="1011"/>
      <c r="S65" s="1011"/>
      <c r="T65" s="1011"/>
      <c r="U65" s="1011"/>
      <c r="V65" s="1011"/>
      <c r="W65" s="1011"/>
      <c r="X65" s="1011"/>
      <c r="Y65" s="1011"/>
      <c r="Z65" s="1011"/>
      <c r="AA65" s="1011"/>
      <c r="AB65" s="1011"/>
      <c r="AC65" s="1011"/>
      <c r="AD65" s="1011"/>
      <c r="AE65" s="1011"/>
      <c r="AF65" s="1011"/>
      <c r="AG65" s="1011"/>
      <c r="AH65" s="1011"/>
      <c r="AI65" s="1011"/>
      <c r="AJ65" s="1011"/>
      <c r="AK65" s="1011"/>
      <c r="AL65" s="1011"/>
      <c r="AM65" s="1011"/>
      <c r="AN65" s="1011"/>
      <c r="AO65" s="1011"/>
      <c r="AP65" s="1011"/>
      <c r="AQ65" s="1011"/>
      <c r="AR65" s="1011"/>
      <c r="AS65" s="1011"/>
      <c r="AT65" s="1011"/>
      <c r="AU65" s="1011"/>
      <c r="AV65" s="1011"/>
      <c r="AW65" s="1011"/>
      <c r="AX65" s="1011"/>
    </row>
    <row r="66" spans="1:50" s="741" customFormat="1" ht="15" customHeight="1" x14ac:dyDescent="0.25">
      <c r="A66" s="874"/>
      <c r="B66" s="772"/>
      <c r="C66" s="773"/>
      <c r="D66" s="774"/>
      <c r="E66" s="13" t="str">
        <f>Translate!E163</f>
        <v>Exploration costs depreciated or deducted immediately</v>
      </c>
      <c r="F66" s="776" t="str">
        <f>INDEX(K66:AX66,$F$13)</f>
        <v>expensed</v>
      </c>
      <c r="G66" s="13" t="str">
        <f xml:space="preserve"> Translate!E$103</f>
        <v>Option</v>
      </c>
      <c r="H66" s="776" t="str">
        <f>Translate!E$214</f>
        <v>must enter value</v>
      </c>
      <c r="I66" s="919" cm="1">
        <f t="array" ref="I66">MAX(0,IFERROR(MIN( 0, IF(K66:AX66&lt;&gt;"",MATCH(K66:AX66,$F$761:$F$762,0),0) ),1))</f>
        <v>0</v>
      </c>
      <c r="J66" s="774"/>
      <c r="K66" s="1027" t="s">
        <v>48</v>
      </c>
      <c r="L66" s="1027" t="s">
        <v>48</v>
      </c>
      <c r="M66" s="1027" t="s">
        <v>48</v>
      </c>
      <c r="N66" s="1027" t="s">
        <v>48</v>
      </c>
      <c r="O66" s="1027" t="s">
        <v>48</v>
      </c>
      <c r="P66" s="1028"/>
      <c r="Q66" s="1028"/>
      <c r="R66" s="1028"/>
      <c r="S66" s="1028"/>
      <c r="T66" s="1028"/>
      <c r="U66" s="1028"/>
      <c r="V66" s="1028"/>
      <c r="W66" s="1028"/>
      <c r="X66" s="1028"/>
      <c r="Y66" s="1028"/>
      <c r="Z66" s="1028"/>
      <c r="AA66" s="1028"/>
      <c r="AB66" s="1028"/>
      <c r="AC66" s="1028"/>
      <c r="AD66" s="1028"/>
      <c r="AE66" s="1028"/>
      <c r="AF66" s="1028"/>
      <c r="AG66" s="1028"/>
      <c r="AH66" s="1028"/>
      <c r="AI66" s="1028"/>
      <c r="AJ66" s="1028"/>
      <c r="AK66" s="1028"/>
      <c r="AL66" s="1028"/>
      <c r="AM66" s="1028"/>
      <c r="AN66" s="1028"/>
      <c r="AO66" s="1028"/>
      <c r="AP66" s="1028"/>
      <c r="AQ66" s="1028"/>
      <c r="AR66" s="1028"/>
      <c r="AS66" s="1028"/>
      <c r="AT66" s="1028"/>
      <c r="AU66" s="1028"/>
      <c r="AV66" s="1028"/>
      <c r="AW66" s="1028"/>
      <c r="AX66" s="1028"/>
    </row>
    <row r="67" spans="1:50" s="741" customFormat="1" ht="15" customHeight="1" x14ac:dyDescent="0.25">
      <c r="A67" s="874"/>
      <c r="B67" s="772"/>
      <c r="C67" s="773"/>
      <c r="D67" s="774"/>
      <c r="E67" s="13" t="str">
        <f>Translate!E164</f>
        <v>Depreciation starts from</v>
      </c>
      <c r="F67" s="776" t="str">
        <f>INDEX(K67:AX67,$F$13)</f>
        <v>Production</v>
      </c>
      <c r="G67" s="13" t="str">
        <f xml:space="preserve"> Translate!E$103</f>
        <v>Option</v>
      </c>
      <c r="H67" s="776" t="str">
        <f>Translate!E$214</f>
        <v>must enter value</v>
      </c>
      <c r="I67" s="919" cm="1">
        <f t="array" ref="I67">MAX(0,IFERROR(MIN( 0, IF(K67:AX67&lt;&gt;"",MATCH(K67:AX67,$F$795:$F$796,0),0) ),1))</f>
        <v>0</v>
      </c>
      <c r="J67" s="774"/>
      <c r="K67" s="1027" t="s">
        <v>49</v>
      </c>
      <c r="L67" s="1027" t="s">
        <v>49</v>
      </c>
      <c r="M67" s="1027" t="s">
        <v>49</v>
      </c>
      <c r="N67" s="1027" t="s">
        <v>49</v>
      </c>
      <c r="O67" s="1027" t="s">
        <v>49</v>
      </c>
      <c r="P67" s="1028"/>
      <c r="Q67" s="1028"/>
      <c r="R67" s="1028"/>
      <c r="S67" s="1028"/>
      <c r="T67" s="1028"/>
      <c r="U67" s="1028"/>
      <c r="V67" s="1028"/>
      <c r="W67" s="1028"/>
      <c r="X67" s="1028"/>
      <c r="Y67" s="1028"/>
      <c r="Z67" s="1028"/>
      <c r="AA67" s="1028"/>
      <c r="AB67" s="1028"/>
      <c r="AC67" s="1028"/>
      <c r="AD67" s="1028"/>
      <c r="AE67" s="1028"/>
      <c r="AF67" s="1028"/>
      <c r="AG67" s="1028"/>
      <c r="AH67" s="1028"/>
      <c r="AI67" s="1028"/>
      <c r="AJ67" s="1028"/>
      <c r="AK67" s="1028"/>
      <c r="AL67" s="1028"/>
      <c r="AM67" s="1028"/>
      <c r="AN67" s="1028"/>
      <c r="AO67" s="1028"/>
      <c r="AP67" s="1028"/>
      <c r="AQ67" s="1028"/>
      <c r="AR67" s="1028"/>
      <c r="AS67" s="1028"/>
      <c r="AT67" s="1028"/>
      <c r="AU67" s="1028"/>
      <c r="AV67" s="1028"/>
      <c r="AW67" s="1028"/>
      <c r="AX67" s="1028"/>
    </row>
    <row r="68" spans="1:50" s="7" customFormat="1" ht="15" customHeight="1" x14ac:dyDescent="0.25">
      <c r="A68" s="129"/>
      <c r="B68" s="118"/>
      <c r="C68" s="128"/>
      <c r="D68" s="54"/>
      <c r="E68" s="13" t="str">
        <f>Translate!E165</f>
        <v>Development costs and replacement capital depreciation</v>
      </c>
      <c r="F68" s="242">
        <f>INDEX(K68:AX68,$F$13)</f>
        <v>5</v>
      </c>
      <c r="G68" s="13" t="str">
        <f xml:space="preserve"> Translate!E$608</f>
        <v>Year</v>
      </c>
      <c r="H68" s="13"/>
      <c r="I68" s="11"/>
      <c r="K68" s="875">
        <v>5</v>
      </c>
      <c r="L68" s="875">
        <v>5</v>
      </c>
      <c r="M68" s="875">
        <v>5</v>
      </c>
      <c r="N68" s="875">
        <v>5</v>
      </c>
      <c r="O68" s="875">
        <v>5</v>
      </c>
      <c r="P68" s="875"/>
      <c r="Q68" s="875"/>
      <c r="R68" s="875"/>
      <c r="S68" s="875"/>
      <c r="T68" s="875"/>
      <c r="U68" s="875"/>
      <c r="V68" s="875"/>
      <c r="W68" s="875"/>
      <c r="X68" s="875"/>
      <c r="Y68" s="875"/>
      <c r="Z68" s="875"/>
      <c r="AA68" s="875"/>
      <c r="AB68" s="875"/>
      <c r="AC68" s="875"/>
      <c r="AD68" s="875"/>
      <c r="AE68" s="875"/>
      <c r="AF68" s="875"/>
      <c r="AG68" s="875"/>
      <c r="AH68" s="875"/>
      <c r="AI68" s="875"/>
      <c r="AJ68" s="875"/>
      <c r="AK68" s="875"/>
      <c r="AL68" s="875"/>
      <c r="AM68" s="875"/>
      <c r="AN68" s="875"/>
      <c r="AO68" s="875"/>
      <c r="AP68" s="875"/>
      <c r="AQ68" s="875"/>
      <c r="AR68" s="875"/>
      <c r="AS68" s="875"/>
      <c r="AT68" s="875"/>
      <c r="AU68" s="875"/>
      <c r="AV68" s="875"/>
      <c r="AW68" s="875"/>
      <c r="AX68" s="875"/>
    </row>
    <row r="69" spans="1:50" ht="15" customHeight="1" x14ac:dyDescent="0.25">
      <c r="A69" s="106"/>
      <c r="B69" s="118" t="str">
        <f>Translate!E166 &amp; " (" &amp; Translate!E$731 &amp; ")"</f>
        <v>Resource rent tax (RRT)</v>
      </c>
      <c r="C69" s="128"/>
      <c r="D69" s="54"/>
      <c r="E69" s="109"/>
      <c r="F69" s="117"/>
      <c r="G69" s="109"/>
      <c r="H69" s="109" t="str">
        <f>Translate!E215</f>
        <v>Cashflow RRT</v>
      </c>
      <c r="I69" s="925"/>
      <c r="J69" s="109"/>
      <c r="K69" s="109"/>
      <c r="L69" s="117"/>
      <c r="M69" s="117"/>
      <c r="N69" s="117"/>
      <c r="O69" s="117"/>
      <c r="P69" s="117"/>
      <c r="Q69" s="117"/>
      <c r="R69" s="117"/>
      <c r="S69" s="117"/>
      <c r="T69" s="117"/>
      <c r="U69" s="117"/>
      <c r="V69" s="117"/>
      <c r="W69" s="117"/>
      <c r="X69" s="117"/>
      <c r="Y69" s="117"/>
      <c r="Z69" s="117"/>
      <c r="AA69" s="117"/>
      <c r="AB69" s="117"/>
      <c r="AC69" s="117"/>
      <c r="AD69" s="117"/>
      <c r="AE69" s="117"/>
      <c r="AF69" s="117"/>
      <c r="AG69" s="117"/>
      <c r="AH69" s="117"/>
      <c r="AI69" s="117"/>
      <c r="AJ69" s="117"/>
      <c r="AK69" s="117"/>
      <c r="AL69" s="117"/>
      <c r="AM69" s="117"/>
      <c r="AN69" s="117"/>
      <c r="AO69" s="117"/>
      <c r="AP69" s="117"/>
      <c r="AQ69" s="117"/>
      <c r="AR69" s="117"/>
      <c r="AS69" s="117"/>
      <c r="AT69" s="117"/>
      <c r="AU69" s="117"/>
      <c r="AV69" s="117"/>
      <c r="AW69" s="117"/>
      <c r="AX69" s="117"/>
    </row>
    <row r="70" spans="1:50" s="120" customFormat="1" ht="15" customHeight="1" x14ac:dyDescent="0.25">
      <c r="A70" s="450"/>
      <c r="B70" s="451"/>
      <c r="C70" s="606"/>
      <c r="D70" s="452"/>
      <c r="E70" s="126" t="str">
        <f>Translate!E167</f>
        <v>Uplift on negative cashflows</v>
      </c>
      <c r="F70" s="558">
        <f>INDEX(K70:AX70,$F$13)</f>
        <v>0</v>
      </c>
      <c r="G70" s="126" t="s">
        <v>24</v>
      </c>
      <c r="H70" s="126"/>
      <c r="I70" s="924"/>
      <c r="K70" s="876"/>
      <c r="L70" s="871">
        <v>0.1</v>
      </c>
      <c r="M70" s="876"/>
      <c r="N70" s="876"/>
      <c r="O70" s="871"/>
      <c r="P70" s="871"/>
      <c r="Q70" s="876"/>
      <c r="R70" s="876"/>
      <c r="S70" s="876"/>
      <c r="T70" s="1012"/>
      <c r="U70" s="871"/>
      <c r="V70" s="876"/>
      <c r="W70" s="876"/>
      <c r="X70" s="876"/>
      <c r="Y70" s="876"/>
      <c r="Z70" s="871"/>
      <c r="AA70" s="876"/>
      <c r="AB70" s="876"/>
      <c r="AC70" s="871"/>
      <c r="AD70" s="876"/>
      <c r="AE70" s="1012"/>
      <c r="AF70" s="876"/>
      <c r="AG70" s="876"/>
      <c r="AH70" s="871"/>
      <c r="AI70" s="876"/>
      <c r="AJ70" s="871"/>
      <c r="AK70" s="871"/>
      <c r="AL70" s="871"/>
      <c r="AM70" s="876"/>
      <c r="AN70" s="1012"/>
      <c r="AO70" s="876"/>
      <c r="AP70" s="876"/>
      <c r="AQ70" s="871"/>
      <c r="AR70" s="871"/>
      <c r="AS70" s="871"/>
      <c r="AT70" s="871"/>
      <c r="AU70" s="871"/>
      <c r="AV70" s="871"/>
      <c r="AW70" s="871"/>
      <c r="AX70" s="871"/>
    </row>
    <row r="71" spans="1:50" ht="15" customHeight="1" x14ac:dyDescent="0.25">
      <c r="A71" s="106"/>
      <c r="B71" s="118"/>
      <c r="C71" s="128"/>
      <c r="D71" s="54"/>
      <c r="E71" s="13" t="str">
        <f>Translate!E168</f>
        <v>CIT deductible for RRT</v>
      </c>
      <c r="F71" s="559">
        <f>INDEX(K71:AX71,$F$13)</f>
        <v>0</v>
      </c>
      <c r="G71" s="13" t="str">
        <f xml:space="preserve"> Translate!E$103</f>
        <v>Option</v>
      </c>
      <c r="H71" s="13" t="str">
        <f>Translate!E216</f>
        <v>no entry means before CIT; CIT non-deductible means RRT deducted for CIT</v>
      </c>
      <c r="I71" s="919" cm="1">
        <f t="array" ref="I71">MAX(0,IFERROR(MIN( 0, IF(K71:AX71&lt;&gt;"",MATCH(K71:AX71,$F$936:$F$937,0),0) ),1))</f>
        <v>0</v>
      </c>
      <c r="J71" s="7"/>
      <c r="K71" s="778"/>
      <c r="L71" s="778" t="s">
        <v>33</v>
      </c>
      <c r="M71" s="778"/>
      <c r="N71" s="778"/>
      <c r="O71" s="778"/>
      <c r="P71" s="778"/>
      <c r="Q71" s="778"/>
      <c r="R71" s="778"/>
      <c r="S71" s="778"/>
      <c r="T71" s="778"/>
      <c r="U71" s="778"/>
      <c r="V71" s="778"/>
      <c r="W71" s="778"/>
      <c r="X71" s="778"/>
      <c r="Y71" s="778"/>
      <c r="Z71" s="449"/>
      <c r="AA71" s="778"/>
      <c r="AB71" s="778"/>
      <c r="AC71" s="449"/>
      <c r="AD71" s="778"/>
      <c r="AE71" s="778"/>
      <c r="AF71" s="778"/>
      <c r="AG71" s="778"/>
      <c r="AH71" s="449"/>
      <c r="AI71" s="778"/>
      <c r="AJ71" s="449"/>
      <c r="AK71" s="449"/>
      <c r="AL71" s="449"/>
      <c r="AM71" s="778"/>
      <c r="AN71" s="778"/>
      <c r="AO71" s="778"/>
      <c r="AP71" s="778"/>
      <c r="AQ71" s="449"/>
      <c r="AR71" s="449"/>
      <c r="AS71" s="449"/>
      <c r="AT71" s="449"/>
      <c r="AU71" s="449"/>
      <c r="AV71" s="449"/>
      <c r="AW71" s="449"/>
      <c r="AX71" s="449"/>
    </row>
    <row r="72" spans="1:50" ht="15" customHeight="1" x14ac:dyDescent="0.25">
      <c r="A72" s="106"/>
      <c r="B72" s="118"/>
      <c r="C72" s="128"/>
      <c r="D72" s="54"/>
      <c r="E72" s="13" t="str">
        <f>Translate!E169</f>
        <v>RRT tax rate</v>
      </c>
      <c r="F72" s="559">
        <f>INDEX(K72:AX72,$F$13)</f>
        <v>0</v>
      </c>
      <c r="G72" s="13" t="s">
        <v>24</v>
      </c>
      <c r="H72" s="13"/>
      <c r="I72" s="11"/>
      <c r="J72" s="55"/>
      <c r="K72" s="875"/>
      <c r="L72" s="870">
        <v>0.45</v>
      </c>
      <c r="M72" s="875"/>
      <c r="N72" s="875"/>
      <c r="O72" s="870"/>
      <c r="P72" s="870"/>
      <c r="Q72" s="875"/>
      <c r="R72" s="875"/>
      <c r="S72" s="875"/>
      <c r="T72" s="870"/>
      <c r="U72" s="870"/>
      <c r="V72" s="875"/>
      <c r="W72" s="875"/>
      <c r="X72" s="875"/>
      <c r="Y72" s="875"/>
      <c r="Z72" s="870"/>
      <c r="AA72" s="875"/>
      <c r="AB72" s="875"/>
      <c r="AC72" s="870"/>
      <c r="AD72" s="875"/>
      <c r="AE72" s="870"/>
      <c r="AF72" s="875"/>
      <c r="AG72" s="875"/>
      <c r="AH72" s="870"/>
      <c r="AI72" s="875"/>
      <c r="AJ72" s="870"/>
      <c r="AK72" s="870"/>
      <c r="AL72" s="870"/>
      <c r="AM72" s="875"/>
      <c r="AN72" s="870"/>
      <c r="AO72" s="875"/>
      <c r="AP72" s="875"/>
      <c r="AQ72" s="870"/>
      <c r="AR72" s="870"/>
      <c r="AS72" s="870"/>
      <c r="AT72" s="870"/>
      <c r="AU72" s="870"/>
      <c r="AV72" s="870"/>
      <c r="AW72" s="870"/>
      <c r="AX72" s="870"/>
    </row>
    <row r="73" spans="1:50" ht="15" customHeight="1" x14ac:dyDescent="0.25">
      <c r="A73" s="106"/>
      <c r="B73" s="118" t="str">
        <f>Translate!E170</f>
        <v>Withholding tax on dividends and interest</v>
      </c>
      <c r="C73" s="128"/>
      <c r="D73" s="54"/>
      <c r="E73" s="109"/>
      <c r="F73" s="117"/>
      <c r="G73" s="109"/>
      <c r="H73" s="109"/>
      <c r="I73" s="925"/>
      <c r="J73" s="109"/>
      <c r="K73" s="117"/>
      <c r="L73" s="117"/>
      <c r="M73" s="117"/>
      <c r="N73" s="117"/>
      <c r="O73" s="117"/>
      <c r="P73" s="117"/>
      <c r="Q73" s="117"/>
      <c r="R73" s="117"/>
      <c r="S73" s="117"/>
      <c r="T73" s="117"/>
      <c r="U73" s="117"/>
      <c r="V73" s="117"/>
      <c r="W73" s="117"/>
      <c r="X73" s="117"/>
      <c r="Y73" s="117"/>
      <c r="Z73" s="117"/>
      <c r="AA73" s="117"/>
      <c r="AB73" s="117"/>
      <c r="AC73" s="117"/>
      <c r="AD73" s="117"/>
      <c r="AE73" s="117"/>
      <c r="AF73" s="117"/>
      <c r="AG73" s="117"/>
      <c r="AH73" s="117"/>
      <c r="AI73" s="117"/>
      <c r="AJ73" s="117"/>
      <c r="AK73" s="117"/>
      <c r="AL73" s="117"/>
      <c r="AM73" s="117"/>
      <c r="AN73" s="117"/>
      <c r="AO73" s="117"/>
      <c r="AP73" s="117"/>
      <c r="AQ73" s="117"/>
      <c r="AR73" s="117"/>
      <c r="AS73" s="117"/>
      <c r="AT73" s="117"/>
      <c r="AU73" s="117"/>
      <c r="AV73" s="117"/>
      <c r="AW73" s="117"/>
      <c r="AX73" s="117"/>
    </row>
    <row r="74" spans="1:50" s="120" customFormat="1" ht="15" customHeight="1" x14ac:dyDescent="0.25">
      <c r="A74" s="450"/>
      <c r="B74" s="451"/>
      <c r="C74" s="606"/>
      <c r="D74" s="452"/>
      <c r="E74" s="126" t="str">
        <f xml:space="preserve"> Translate!E$375</f>
        <v>Dividend withholding tax</v>
      </c>
      <c r="F74" s="554">
        <f>INDEX(K74:AX74,$F$13)</f>
        <v>0.1</v>
      </c>
      <c r="G74" s="126" t="s">
        <v>24</v>
      </c>
      <c r="H74" s="126" t="str">
        <f>Translate!E217</f>
        <v>paid when cumulative equity cashflow positive</v>
      </c>
      <c r="I74" s="924"/>
      <c r="J74" s="103"/>
      <c r="K74" s="871">
        <v>0.1</v>
      </c>
      <c r="L74" s="871">
        <v>0.1</v>
      </c>
      <c r="M74" s="871">
        <v>0.1</v>
      </c>
      <c r="N74" s="871">
        <v>0.1</v>
      </c>
      <c r="O74" s="871">
        <v>0.1</v>
      </c>
      <c r="P74" s="871"/>
      <c r="Q74" s="871"/>
      <c r="R74" s="871"/>
      <c r="S74" s="871"/>
      <c r="T74" s="871"/>
      <c r="U74" s="871"/>
      <c r="V74" s="871"/>
      <c r="W74" s="871"/>
      <c r="X74" s="871"/>
      <c r="Y74" s="871"/>
      <c r="Z74" s="871"/>
      <c r="AA74" s="871"/>
      <c r="AB74" s="871"/>
      <c r="AC74" s="871"/>
      <c r="AD74" s="871"/>
      <c r="AE74" s="871"/>
      <c r="AF74" s="871"/>
      <c r="AG74" s="871"/>
      <c r="AH74" s="871"/>
      <c r="AI74" s="871"/>
      <c r="AJ74" s="871"/>
      <c r="AK74" s="871"/>
      <c r="AL74" s="871"/>
      <c r="AM74" s="871"/>
      <c r="AN74" s="871"/>
      <c r="AO74" s="871"/>
      <c r="AP74" s="871"/>
      <c r="AQ74" s="871"/>
      <c r="AR74" s="871"/>
      <c r="AS74" s="871"/>
      <c r="AT74" s="871"/>
      <c r="AU74" s="871"/>
      <c r="AV74" s="871"/>
      <c r="AW74" s="871"/>
      <c r="AX74" s="871"/>
    </row>
    <row r="75" spans="1:50" s="7" customFormat="1" ht="15" customHeight="1" x14ac:dyDescent="0.25">
      <c r="A75" s="129"/>
      <c r="B75" s="118"/>
      <c r="C75" s="128"/>
      <c r="D75" s="54"/>
      <c r="E75" s="13" t="str">
        <f>Translate!E171</f>
        <v>Interest withholding tax</v>
      </c>
      <c r="F75" s="555">
        <f>INDEX(K75:AX75,$F$13)</f>
        <v>0.1</v>
      </c>
      <c r="G75" s="13" t="s">
        <v>24</v>
      </c>
      <c r="H75" s="13"/>
      <c r="I75" s="11"/>
      <c r="J75" s="55"/>
      <c r="K75" s="870">
        <v>0.1</v>
      </c>
      <c r="L75" s="870">
        <v>0.1</v>
      </c>
      <c r="M75" s="870">
        <v>0.1</v>
      </c>
      <c r="N75" s="870">
        <v>0.1</v>
      </c>
      <c r="O75" s="870">
        <v>0.1</v>
      </c>
      <c r="P75" s="870"/>
      <c r="Q75" s="870"/>
      <c r="R75" s="870"/>
      <c r="S75" s="870"/>
      <c r="T75" s="870"/>
      <c r="U75" s="870"/>
      <c r="V75" s="870"/>
      <c r="W75" s="870"/>
      <c r="X75" s="870"/>
      <c r="Y75" s="870"/>
      <c r="Z75" s="870"/>
      <c r="AA75" s="870"/>
      <c r="AB75" s="870"/>
      <c r="AC75" s="870"/>
      <c r="AD75" s="870"/>
      <c r="AE75" s="870"/>
      <c r="AF75" s="870"/>
      <c r="AG75" s="870"/>
      <c r="AH75" s="870"/>
      <c r="AI75" s="870"/>
      <c r="AJ75" s="870"/>
      <c r="AK75" s="870"/>
      <c r="AL75" s="870"/>
      <c r="AM75" s="870"/>
      <c r="AN75" s="870"/>
      <c r="AO75" s="870"/>
      <c r="AP75" s="870"/>
      <c r="AQ75" s="870"/>
      <c r="AR75" s="870"/>
      <c r="AS75" s="870"/>
      <c r="AT75" s="870"/>
      <c r="AU75" s="870"/>
      <c r="AV75" s="870"/>
      <c r="AW75" s="870"/>
      <c r="AX75" s="870"/>
    </row>
    <row r="76" spans="1:50" ht="14.5" x14ac:dyDescent="0.25">
      <c r="A76" s="106"/>
      <c r="B76" s="118" t="str">
        <f>Translate!E172</f>
        <v>SOC participation in JV</v>
      </c>
      <c r="C76" s="128"/>
      <c r="D76" s="54"/>
      <c r="E76" s="89"/>
      <c r="F76" s="162"/>
      <c r="G76" s="89"/>
      <c r="H76" s="89"/>
      <c r="I76" s="879"/>
      <c r="J76" s="89"/>
      <c r="K76" s="89"/>
      <c r="L76" s="117"/>
      <c r="M76" s="117"/>
      <c r="N76" s="117"/>
      <c r="O76" s="117"/>
      <c r="P76" s="117"/>
      <c r="Q76" s="733"/>
      <c r="R76" s="733"/>
      <c r="S76" s="733"/>
      <c r="T76" s="117"/>
      <c r="U76" s="117"/>
      <c r="V76" s="117"/>
      <c r="W76" s="117"/>
      <c r="X76" s="117"/>
      <c r="Y76" s="117"/>
      <c r="Z76" s="117"/>
      <c r="AA76" s="117"/>
      <c r="AB76" s="117"/>
      <c r="AC76" s="117"/>
      <c r="AD76" s="117"/>
      <c r="AE76" s="117"/>
      <c r="AF76" s="117"/>
      <c r="AG76" s="117"/>
      <c r="AH76" s="117"/>
      <c r="AI76" s="117"/>
      <c r="AJ76" s="117"/>
      <c r="AK76" s="117"/>
      <c r="AL76" s="117"/>
      <c r="AM76" s="117"/>
      <c r="AN76" s="117"/>
      <c r="AO76" s="117"/>
      <c r="AP76" s="117"/>
      <c r="AQ76" s="117"/>
      <c r="AR76" s="117"/>
      <c r="AS76" s="117"/>
      <c r="AT76" s="117"/>
      <c r="AU76" s="117"/>
      <c r="AV76" s="117"/>
      <c r="AW76" s="117"/>
      <c r="AX76" s="117"/>
    </row>
    <row r="77" spans="1:50" s="120" customFormat="1" ht="15" customHeight="1" x14ac:dyDescent="0.25">
      <c r="A77" s="450"/>
      <c r="B77" s="451"/>
      <c r="C77" s="606"/>
      <c r="D77" s="452"/>
      <c r="E77" s="126" t="str">
        <f>Translate!E173</f>
        <v>State participation</v>
      </c>
      <c r="F77" s="558">
        <f t="shared" ref="F77:F84" si="2">INDEX(K77:AX77,$F$13)</f>
        <v>0.2</v>
      </c>
      <c r="G77" s="126" t="s">
        <v>24</v>
      </c>
      <c r="H77" s="126" t="str">
        <f>Translate!E218</f>
        <v>% share in JV</v>
      </c>
      <c r="I77" s="924"/>
      <c r="J77" s="103"/>
      <c r="K77" s="871">
        <v>0.2</v>
      </c>
      <c r="L77" s="871">
        <v>0.1</v>
      </c>
      <c r="M77" s="871">
        <v>0.2</v>
      </c>
      <c r="N77" s="871">
        <v>0.1</v>
      </c>
      <c r="O77" s="871">
        <v>0.1</v>
      </c>
      <c r="P77" s="871"/>
      <c r="Q77" s="871"/>
      <c r="R77" s="871"/>
      <c r="S77" s="871"/>
      <c r="T77" s="871"/>
      <c r="U77" s="871"/>
      <c r="V77" s="871"/>
      <c r="W77" s="871"/>
      <c r="X77" s="871"/>
      <c r="Y77" s="871"/>
      <c r="Z77" s="871"/>
      <c r="AA77" s="871"/>
      <c r="AB77" s="871"/>
      <c r="AC77" s="871"/>
      <c r="AD77" s="871"/>
      <c r="AE77" s="871"/>
      <c r="AF77" s="871"/>
      <c r="AG77" s="871"/>
      <c r="AH77" s="871"/>
      <c r="AI77" s="871"/>
      <c r="AJ77" s="871"/>
      <c r="AK77" s="871"/>
      <c r="AL77" s="871"/>
      <c r="AM77" s="871"/>
      <c r="AN77" s="871"/>
      <c r="AO77" s="871"/>
      <c r="AP77" s="871"/>
      <c r="AQ77" s="871"/>
      <c r="AR77" s="871"/>
      <c r="AS77" s="871"/>
      <c r="AT77" s="871"/>
      <c r="AU77" s="871"/>
      <c r="AV77" s="871"/>
      <c r="AW77" s="871"/>
      <c r="AX77" s="871"/>
    </row>
    <row r="78" spans="1:50" s="7" customFormat="1" ht="15" customHeight="1" x14ac:dyDescent="0.25">
      <c r="A78" s="129"/>
      <c r="B78" s="118"/>
      <c r="C78" s="128"/>
      <c r="D78" s="54"/>
      <c r="E78" s="13" t="str">
        <f>Translate!E175</f>
        <v>SOC in PSC shares profit oil only</v>
      </c>
      <c r="F78" s="242">
        <f>INDEX(K78:AX78,$F$13)</f>
        <v>0</v>
      </c>
      <c r="G78" s="13" t="str">
        <f xml:space="preserve"> Translate!E$103</f>
        <v>Option</v>
      </c>
      <c r="H78" s="13" t="str">
        <f>Translate!E219</f>
        <v>State takes no share of costs; PSC only</v>
      </c>
      <c r="I78" s="919" cm="1">
        <f t="array" ref="I78">MAX(0,IFERROR(MIN( 0, IF(K78:AX78&lt;&gt;"",MATCH(K78:AX78,$F$718:$F$719,0),0) ),1))</f>
        <v>0</v>
      </c>
      <c r="J78" s="55"/>
      <c r="K78" s="870"/>
      <c r="L78" s="870"/>
      <c r="M78" s="870"/>
      <c r="N78" s="870"/>
      <c r="O78" s="870"/>
      <c r="P78" s="870"/>
      <c r="Q78" s="870"/>
      <c r="R78" s="870"/>
      <c r="S78" s="870"/>
      <c r="T78" s="870"/>
      <c r="U78" s="870"/>
      <c r="V78" s="870"/>
      <c r="W78" s="870"/>
      <c r="X78" s="870"/>
      <c r="Y78" s="870"/>
      <c r="Z78" s="870"/>
      <c r="AA78" s="870"/>
      <c r="AB78" s="870"/>
      <c r="AC78" s="870"/>
      <c r="AD78" s="870"/>
      <c r="AE78" s="870"/>
      <c r="AF78" s="870"/>
      <c r="AG78" s="870"/>
      <c r="AH78" s="870"/>
      <c r="AI78" s="870"/>
      <c r="AJ78" s="870"/>
      <c r="AK78" s="870"/>
      <c r="AL78" s="870"/>
      <c r="AM78" s="870"/>
      <c r="AN78" s="870"/>
      <c r="AO78" s="870"/>
      <c r="AP78" s="870"/>
      <c r="AQ78" s="870"/>
      <c r="AR78" s="870"/>
      <c r="AS78" s="870"/>
      <c r="AT78" s="870"/>
      <c r="AU78" s="870"/>
      <c r="AV78" s="870"/>
      <c r="AW78" s="870"/>
      <c r="AX78" s="870"/>
    </row>
    <row r="79" spans="1:50" ht="15" customHeight="1" x14ac:dyDescent="0.25">
      <c r="A79" s="106"/>
      <c r="B79" s="118"/>
      <c r="C79" s="128"/>
      <c r="D79" s="54"/>
      <c r="E79" s="13" t="str">
        <f>Translate!E176</f>
        <v>SOC meets exploration costs</v>
      </c>
      <c r="F79" s="242" t="str">
        <f t="shared" si="2"/>
        <v>no</v>
      </c>
      <c r="G79" s="13" t="str">
        <f xml:space="preserve"> Translate!E$103</f>
        <v>Option</v>
      </c>
      <c r="H79" s="13" t="str">
        <f>Translate!E220</f>
        <v>no entry means state does not pay for exploration</v>
      </c>
      <c r="I79" s="919" cm="1">
        <f t="array" ref="I79">MAX(0,IFERROR(MIN( 0, IF(K79:AX79&lt;&gt;"",MATCH(K79:AX79,$F$718:$F$719,0),0) ),1))</f>
        <v>0</v>
      </c>
      <c r="J79" s="55"/>
      <c r="K79" s="778" t="s">
        <v>40</v>
      </c>
      <c r="L79" s="778" t="s">
        <v>40</v>
      </c>
      <c r="M79" s="778" t="s">
        <v>40</v>
      </c>
      <c r="N79" s="778" t="s">
        <v>40</v>
      </c>
      <c r="O79" s="778" t="s">
        <v>40</v>
      </c>
      <c r="P79" s="778"/>
      <c r="Q79" s="778"/>
      <c r="R79" s="778"/>
      <c r="S79" s="778"/>
      <c r="T79" s="778"/>
      <c r="U79" s="778"/>
      <c r="V79" s="778"/>
      <c r="W79" s="778"/>
      <c r="X79" s="778"/>
      <c r="Y79" s="778"/>
      <c r="Z79" s="449"/>
      <c r="AA79" s="778"/>
      <c r="AB79" s="778"/>
      <c r="AC79" s="449"/>
      <c r="AD79" s="778"/>
      <c r="AE79" s="778"/>
      <c r="AF79" s="778"/>
      <c r="AG79" s="778"/>
      <c r="AH79" s="449"/>
      <c r="AI79" s="778"/>
      <c r="AJ79" s="449"/>
      <c r="AK79" s="449"/>
      <c r="AL79" s="449"/>
      <c r="AM79" s="778"/>
      <c r="AN79" s="778"/>
      <c r="AO79" s="778"/>
      <c r="AP79" s="778"/>
      <c r="AQ79" s="449"/>
      <c r="AR79" s="449"/>
      <c r="AS79" s="449"/>
      <c r="AT79" s="449"/>
      <c r="AU79" s="449"/>
      <c r="AV79" s="449"/>
      <c r="AW79" s="449"/>
      <c r="AX79" s="449"/>
    </row>
    <row r="80" spans="1:50" s="59" customFormat="1" ht="15" customHeight="1" x14ac:dyDescent="0.25">
      <c r="A80" s="838"/>
      <c r="B80" s="769"/>
      <c r="C80" s="770"/>
      <c r="D80" s="521"/>
      <c r="E80" s="13" t="str">
        <f>Translate!E177</f>
        <v>SOC meets development costs</v>
      </c>
      <c r="F80" s="555" t="str">
        <f t="shared" si="2"/>
        <v>yes</v>
      </c>
      <c r="G80" s="13" t="str">
        <f xml:space="preserve"> Translate!E$103</f>
        <v>Option</v>
      </c>
      <c r="H80" s="13" t="str">
        <f>Translate!E221</f>
        <v>no entry means state does not pay for development</v>
      </c>
      <c r="I80" s="919" cm="1">
        <f t="array" ref="I80">MAX(0,IFERROR(MIN( 0, IF(K80:AX80&lt;&gt;"",MATCH(K80:AX80,$F$718:$F$719,0),0) ),1))</f>
        <v>0</v>
      </c>
      <c r="J80" s="249"/>
      <c r="K80" s="778" t="s">
        <v>33</v>
      </c>
      <c r="L80" s="778" t="s">
        <v>33</v>
      </c>
      <c r="M80" s="778" t="s">
        <v>33</v>
      </c>
      <c r="N80" s="778" t="s">
        <v>33</v>
      </c>
      <c r="O80" s="778" t="s">
        <v>33</v>
      </c>
      <c r="P80" s="778"/>
      <c r="Q80" s="778"/>
      <c r="R80" s="778"/>
      <c r="S80" s="778"/>
      <c r="T80" s="778"/>
      <c r="U80" s="778"/>
      <c r="V80" s="778"/>
      <c r="W80" s="778"/>
      <c r="X80" s="778"/>
      <c r="Y80" s="778"/>
      <c r="Z80" s="449"/>
      <c r="AA80" s="778"/>
      <c r="AB80" s="778"/>
      <c r="AC80" s="449"/>
      <c r="AD80" s="778"/>
      <c r="AE80" s="778"/>
      <c r="AF80" s="778"/>
      <c r="AG80" s="778"/>
      <c r="AH80" s="449"/>
      <c r="AI80" s="778"/>
      <c r="AJ80" s="449"/>
      <c r="AK80" s="449"/>
      <c r="AL80" s="449"/>
      <c r="AM80" s="778"/>
      <c r="AN80" s="778"/>
      <c r="AO80" s="778"/>
      <c r="AP80" s="778"/>
      <c r="AQ80" s="449"/>
      <c r="AR80" s="449"/>
      <c r="AS80" s="449"/>
      <c r="AT80" s="449"/>
      <c r="AU80" s="449"/>
      <c r="AV80" s="449"/>
      <c r="AW80" s="449"/>
      <c r="AX80" s="449"/>
    </row>
    <row r="81" spans="1:50" s="59" customFormat="1" ht="15" customHeight="1" x14ac:dyDescent="0.25">
      <c r="A81" s="838"/>
      <c r="B81" s="769"/>
      <c r="C81" s="770"/>
      <c r="D81" s="521"/>
      <c r="E81" s="13" t="str">
        <f>Translate!E178</f>
        <v>Carried interest: Proportion of SOC negative cashflows financed by IOC</v>
      </c>
      <c r="F81" s="239">
        <f t="shared" si="2"/>
        <v>1</v>
      </c>
      <c r="G81" s="13" t="s">
        <v>24</v>
      </c>
      <c r="H81" s="239"/>
      <c r="I81" s="919"/>
      <c r="J81" s="249"/>
      <c r="K81" s="870">
        <v>1</v>
      </c>
      <c r="L81" s="870">
        <v>1</v>
      </c>
      <c r="M81" s="870">
        <v>1</v>
      </c>
      <c r="N81" s="870">
        <v>1</v>
      </c>
      <c r="O81" s="870">
        <v>1</v>
      </c>
      <c r="P81" s="736"/>
      <c r="Q81" s="736"/>
      <c r="R81" s="736"/>
      <c r="S81" s="736"/>
      <c r="T81" s="736"/>
      <c r="U81" s="736"/>
      <c r="V81" s="736"/>
      <c r="W81" s="736"/>
      <c r="X81" s="736"/>
      <c r="Y81" s="736"/>
      <c r="Z81" s="736"/>
      <c r="AA81" s="736"/>
      <c r="AB81" s="736"/>
      <c r="AC81" s="736"/>
      <c r="AD81" s="736"/>
      <c r="AE81" s="736"/>
      <c r="AF81" s="736"/>
      <c r="AG81" s="736"/>
      <c r="AH81" s="736"/>
      <c r="AI81" s="736"/>
      <c r="AJ81" s="736"/>
      <c r="AK81" s="736"/>
      <c r="AL81" s="736"/>
      <c r="AM81" s="736"/>
      <c r="AN81" s="736"/>
      <c r="AO81" s="736"/>
      <c r="AP81" s="736"/>
      <c r="AQ81" s="736"/>
      <c r="AR81" s="736"/>
      <c r="AS81" s="736"/>
      <c r="AT81" s="736"/>
      <c r="AU81" s="736"/>
      <c r="AV81" s="736"/>
      <c r="AW81" s="736"/>
      <c r="AX81" s="736"/>
    </row>
    <row r="82" spans="1:50" ht="15" customHeight="1" x14ac:dyDescent="0.25">
      <c r="A82" s="106"/>
      <c r="B82" s="118"/>
      <c r="C82" s="128"/>
      <c r="D82" s="54"/>
      <c r="E82" s="13" t="str">
        <f>Translate!E179</f>
        <v>Carried interest: financing by IOC till prod. year</v>
      </c>
      <c r="F82" s="242">
        <f t="shared" si="2"/>
        <v>2</v>
      </c>
      <c r="G82" s="13" t="str">
        <f xml:space="preserve"> Translate!E$608</f>
        <v>Year</v>
      </c>
      <c r="H82" s="13"/>
      <c r="I82" s="11"/>
      <c r="J82" s="55"/>
      <c r="K82" s="449">
        <v>2</v>
      </c>
      <c r="L82" s="449">
        <v>2</v>
      </c>
      <c r="M82" s="449">
        <v>2</v>
      </c>
      <c r="N82" s="449">
        <v>2</v>
      </c>
      <c r="O82" s="449">
        <v>2</v>
      </c>
      <c r="P82" s="449"/>
      <c r="Q82" s="449"/>
      <c r="R82" s="449"/>
      <c r="S82" s="449"/>
      <c r="T82" s="449"/>
      <c r="U82" s="449"/>
      <c r="V82" s="449"/>
      <c r="W82" s="449"/>
      <c r="X82" s="449"/>
      <c r="Y82" s="449"/>
      <c r="Z82" s="870"/>
      <c r="AA82" s="449"/>
      <c r="AB82" s="449"/>
      <c r="AC82" s="870"/>
      <c r="AD82" s="449"/>
      <c r="AE82" s="449"/>
      <c r="AF82" s="449"/>
      <c r="AG82" s="449"/>
      <c r="AH82" s="870"/>
      <c r="AI82" s="449"/>
      <c r="AJ82" s="870"/>
      <c r="AK82" s="870"/>
      <c r="AL82" s="870"/>
      <c r="AM82" s="449"/>
      <c r="AN82" s="449"/>
      <c r="AO82" s="449"/>
      <c r="AP82" s="449"/>
      <c r="AQ82" s="870"/>
      <c r="AR82" s="870"/>
      <c r="AS82" s="870"/>
      <c r="AT82" s="870"/>
      <c r="AU82" s="870"/>
      <c r="AV82" s="870"/>
      <c r="AW82" s="870"/>
      <c r="AX82" s="870"/>
    </row>
    <row r="83" spans="1:50" ht="15" customHeight="1" x14ac:dyDescent="0.25">
      <c r="A83" s="106"/>
      <c r="B83" s="118"/>
      <c r="C83" s="128"/>
      <c r="D83" s="54"/>
      <c r="E83" s="13" t="str">
        <f>Translate!E180</f>
        <v>Carried interest: Interest rate margin above LIBOR</v>
      </c>
      <c r="F83" s="559">
        <f t="shared" si="2"/>
        <v>0.03</v>
      </c>
      <c r="G83" s="13" t="s">
        <v>24</v>
      </c>
      <c r="H83" s="13"/>
      <c r="I83" s="11"/>
      <c r="J83" s="55"/>
      <c r="K83" s="736">
        <v>0.03</v>
      </c>
      <c r="L83" s="736">
        <v>0.03</v>
      </c>
      <c r="M83" s="736">
        <v>0.03</v>
      </c>
      <c r="N83" s="736">
        <v>0.03</v>
      </c>
      <c r="O83" s="736">
        <v>0.03</v>
      </c>
      <c r="P83" s="736"/>
      <c r="Q83" s="736"/>
      <c r="R83" s="736"/>
      <c r="S83" s="736"/>
      <c r="T83" s="736"/>
      <c r="U83" s="736"/>
      <c r="V83" s="736"/>
      <c r="W83" s="736"/>
      <c r="X83" s="736"/>
      <c r="Y83" s="736"/>
      <c r="Z83" s="870"/>
      <c r="AA83" s="736"/>
      <c r="AB83" s="736"/>
      <c r="AC83" s="870"/>
      <c r="AD83" s="736"/>
      <c r="AE83" s="736"/>
      <c r="AF83" s="736"/>
      <c r="AG83" s="736"/>
      <c r="AH83" s="870"/>
      <c r="AI83" s="736"/>
      <c r="AJ83" s="870"/>
      <c r="AK83" s="870"/>
      <c r="AL83" s="870"/>
      <c r="AM83" s="736"/>
      <c r="AN83" s="736"/>
      <c r="AO83" s="736"/>
      <c r="AP83" s="736"/>
      <c r="AQ83" s="870"/>
      <c r="AR83" s="870"/>
      <c r="AS83" s="870"/>
      <c r="AT83" s="870"/>
      <c r="AU83" s="870"/>
      <c r="AV83" s="870"/>
      <c r="AW83" s="870"/>
      <c r="AX83" s="870"/>
    </row>
    <row r="84" spans="1:50" s="7" customFormat="1" ht="15" customHeight="1" x14ac:dyDescent="0.25">
      <c r="A84" s="129"/>
      <c r="B84" s="118"/>
      <c r="C84" s="128"/>
      <c r="D84" s="54"/>
      <c r="E84" s="13" t="str">
        <f>Translate!E181</f>
        <v>Carried interest: Proportion SOC cashflows used to repay</v>
      </c>
      <c r="F84" s="559">
        <f t="shared" si="2"/>
        <v>1</v>
      </c>
      <c r="G84" s="13" t="s">
        <v>24</v>
      </c>
      <c r="H84" s="13"/>
      <c r="I84" s="11"/>
      <c r="J84" s="55"/>
      <c r="K84" s="736">
        <v>1</v>
      </c>
      <c r="L84" s="736">
        <v>1</v>
      </c>
      <c r="M84" s="736">
        <v>1</v>
      </c>
      <c r="N84" s="736">
        <v>1</v>
      </c>
      <c r="O84" s="736">
        <v>1</v>
      </c>
      <c r="P84" s="736"/>
      <c r="Q84" s="736"/>
      <c r="R84" s="736"/>
      <c r="S84" s="736"/>
      <c r="T84" s="736"/>
      <c r="U84" s="736"/>
      <c r="V84" s="736"/>
      <c r="W84" s="736"/>
      <c r="X84" s="736"/>
      <c r="Y84" s="736"/>
      <c r="Z84" s="870"/>
      <c r="AA84" s="736"/>
      <c r="AB84" s="736"/>
      <c r="AC84" s="870"/>
      <c r="AD84" s="736"/>
      <c r="AE84" s="736"/>
      <c r="AF84" s="736"/>
      <c r="AG84" s="736"/>
      <c r="AH84" s="870"/>
      <c r="AI84" s="736"/>
      <c r="AJ84" s="870"/>
      <c r="AK84" s="870"/>
      <c r="AL84" s="870"/>
      <c r="AM84" s="736"/>
      <c r="AN84" s="736"/>
      <c r="AO84" s="736"/>
      <c r="AP84" s="736"/>
      <c r="AQ84" s="870"/>
      <c r="AR84" s="870"/>
      <c r="AS84" s="870"/>
      <c r="AT84" s="870"/>
      <c r="AU84" s="870"/>
      <c r="AV84" s="870"/>
      <c r="AW84" s="870"/>
      <c r="AX84" s="870"/>
    </row>
    <row r="85" spans="1:50" ht="15" customHeight="1" x14ac:dyDescent="0.25">
      <c r="A85" s="106"/>
      <c r="B85" s="118" t="str">
        <f>Translate!E182</f>
        <v>Financing assumptions (assumes joint or equivalent financing by SOC and IOC)</v>
      </c>
      <c r="C85" s="128"/>
      <c r="D85" s="54"/>
      <c r="E85" s="52"/>
      <c r="F85" s="560"/>
      <c r="G85" s="52"/>
      <c r="H85" s="52"/>
      <c r="I85" s="918"/>
      <c r="J85" s="52"/>
      <c r="K85" s="124"/>
      <c r="L85" s="124"/>
      <c r="M85" s="124"/>
      <c r="N85" s="124"/>
      <c r="O85" s="124"/>
      <c r="P85" s="124"/>
      <c r="Q85" s="124"/>
      <c r="R85" s="124"/>
      <c r="S85" s="124"/>
      <c r="T85" s="124"/>
      <c r="U85" s="124"/>
      <c r="V85" s="124"/>
      <c r="W85" s="124"/>
      <c r="X85" s="124"/>
      <c r="Y85" s="124"/>
      <c r="Z85" s="124"/>
      <c r="AA85" s="124"/>
      <c r="AB85" s="124"/>
      <c r="AC85" s="124"/>
      <c r="AD85" s="124"/>
      <c r="AE85" s="124"/>
      <c r="AF85" s="124"/>
      <c r="AG85" s="124"/>
      <c r="AH85" s="124"/>
      <c r="AI85" s="124"/>
      <c r="AJ85" s="124"/>
      <c r="AK85" s="124"/>
      <c r="AL85" s="124"/>
      <c r="AM85" s="124"/>
      <c r="AN85" s="124"/>
      <c r="AO85" s="124"/>
      <c r="AP85" s="124"/>
      <c r="AQ85" s="124"/>
      <c r="AR85" s="124"/>
      <c r="AS85" s="124"/>
      <c r="AT85" s="124"/>
      <c r="AU85" s="124"/>
      <c r="AV85" s="124"/>
      <c r="AW85" s="124"/>
      <c r="AX85" s="124"/>
    </row>
    <row r="86" spans="1:50" s="120" customFormat="1" ht="15" customHeight="1" x14ac:dyDescent="0.25">
      <c r="A86" s="450"/>
      <c r="B86" s="451"/>
      <c r="C86" s="606"/>
      <c r="D86" s="452"/>
      <c r="E86" s="104" t="str">
        <f>Translate!E183</f>
        <v>Proportion development costs borrowed</v>
      </c>
      <c r="F86" s="554">
        <f>INDEX(K86:AX86,$F$13)</f>
        <v>0.7</v>
      </c>
      <c r="G86" s="104" t="s">
        <v>24</v>
      </c>
      <c r="H86" s="104"/>
      <c r="I86" s="917"/>
      <c r="J86" s="104"/>
      <c r="K86" s="871">
        <v>0.7</v>
      </c>
      <c r="L86" s="871">
        <v>0.7</v>
      </c>
      <c r="M86" s="871">
        <v>0</v>
      </c>
      <c r="N86" s="871">
        <v>0.7</v>
      </c>
      <c r="O86" s="871">
        <v>0.7</v>
      </c>
      <c r="P86" s="871"/>
      <c r="Q86" s="871"/>
      <c r="R86" s="871"/>
      <c r="S86" s="871"/>
      <c r="T86" s="871"/>
      <c r="U86" s="871"/>
      <c r="V86" s="871"/>
      <c r="W86" s="871"/>
      <c r="X86" s="871"/>
      <c r="Y86" s="871"/>
      <c r="Z86" s="871"/>
      <c r="AA86" s="871"/>
      <c r="AB86" s="871"/>
      <c r="AC86" s="871"/>
      <c r="AD86" s="871"/>
      <c r="AE86" s="871"/>
      <c r="AF86" s="871"/>
      <c r="AG86" s="871"/>
      <c r="AH86" s="871"/>
      <c r="AI86" s="871"/>
      <c r="AJ86" s="871"/>
      <c r="AK86" s="871"/>
      <c r="AL86" s="871"/>
      <c r="AM86" s="871"/>
      <c r="AN86" s="871"/>
      <c r="AO86" s="871"/>
      <c r="AP86" s="871"/>
      <c r="AQ86" s="871"/>
      <c r="AR86" s="871"/>
      <c r="AS86" s="871"/>
      <c r="AT86" s="871"/>
      <c r="AU86" s="871"/>
      <c r="AV86" s="871"/>
      <c r="AW86" s="871"/>
      <c r="AX86" s="871"/>
    </row>
    <row r="87" spans="1:50" ht="15" customHeight="1" x14ac:dyDescent="0.25">
      <c r="A87" s="106"/>
      <c r="B87" s="118"/>
      <c r="C87" s="128"/>
      <c r="D87" s="54"/>
      <c r="E87" s="13" t="str">
        <f>Translate!E184</f>
        <v>Repayment period (yrs after financing period)</v>
      </c>
      <c r="F87" s="242">
        <f>INDEX(K87:AX87,$F$13)</f>
        <v>10</v>
      </c>
      <c r="G87" s="13" t="str">
        <f xml:space="preserve"> Translate!E$608</f>
        <v>Year</v>
      </c>
      <c r="H87" s="13"/>
      <c r="I87" s="11"/>
      <c r="J87" s="13"/>
      <c r="K87" s="877">
        <v>10</v>
      </c>
      <c r="L87" s="877">
        <v>10</v>
      </c>
      <c r="M87" s="877">
        <v>10</v>
      </c>
      <c r="N87" s="877">
        <v>10</v>
      </c>
      <c r="O87" s="877">
        <v>10</v>
      </c>
      <c r="P87" s="877"/>
      <c r="Q87" s="877"/>
      <c r="R87" s="877"/>
      <c r="S87" s="877"/>
      <c r="T87" s="877"/>
      <c r="U87" s="877"/>
      <c r="V87" s="877"/>
      <c r="W87" s="877"/>
      <c r="X87" s="877"/>
      <c r="Y87" s="877"/>
      <c r="Z87" s="877"/>
      <c r="AA87" s="877"/>
      <c r="AB87" s="877"/>
      <c r="AC87" s="877"/>
      <c r="AD87" s="877"/>
      <c r="AE87" s="877"/>
      <c r="AF87" s="877"/>
      <c r="AG87" s="877"/>
      <c r="AH87" s="877"/>
      <c r="AI87" s="877"/>
      <c r="AJ87" s="877"/>
      <c r="AK87" s="877"/>
      <c r="AL87" s="877"/>
      <c r="AM87" s="877"/>
      <c r="AN87" s="877"/>
      <c r="AO87" s="877"/>
      <c r="AP87" s="877"/>
      <c r="AQ87" s="877"/>
      <c r="AR87" s="877"/>
      <c r="AS87" s="877"/>
      <c r="AT87" s="877"/>
      <c r="AU87" s="877"/>
      <c r="AV87" s="877"/>
      <c r="AW87" s="877"/>
      <c r="AX87" s="877"/>
    </row>
    <row r="88" spans="1:50" ht="15" customHeight="1" x14ac:dyDescent="0.25">
      <c r="A88" s="129"/>
      <c r="B88" s="118"/>
      <c r="C88" s="128"/>
      <c r="D88" s="54"/>
      <c r="E88" s="56" t="str">
        <f>Translate!E185</f>
        <v>Loan real interest rate</v>
      </c>
      <c r="F88" s="555">
        <f>INDEX(K88:AX88,$F$13)</f>
        <v>0.03</v>
      </c>
      <c r="G88" s="56" t="s">
        <v>24</v>
      </c>
      <c r="H88" s="56"/>
      <c r="I88" s="918"/>
      <c r="J88" s="56"/>
      <c r="K88" s="878">
        <v>0.03</v>
      </c>
      <c r="L88" s="878">
        <v>0.03</v>
      </c>
      <c r="M88" s="878">
        <v>0.03</v>
      </c>
      <c r="N88" s="878">
        <v>0.03</v>
      </c>
      <c r="O88" s="878">
        <v>0.03</v>
      </c>
      <c r="P88" s="878"/>
      <c r="Q88" s="878"/>
      <c r="R88" s="878"/>
      <c r="S88" s="878"/>
      <c r="T88" s="878"/>
      <c r="U88" s="878"/>
      <c r="V88" s="878"/>
      <c r="W88" s="878"/>
      <c r="X88" s="878"/>
      <c r="Y88" s="878"/>
      <c r="Z88" s="878"/>
      <c r="AA88" s="878"/>
      <c r="AB88" s="878"/>
      <c r="AC88" s="878"/>
      <c r="AD88" s="878"/>
      <c r="AE88" s="878"/>
      <c r="AF88" s="878"/>
      <c r="AG88" s="878"/>
      <c r="AH88" s="878"/>
      <c r="AI88" s="878"/>
      <c r="AJ88" s="878"/>
      <c r="AK88" s="878"/>
      <c r="AL88" s="878"/>
      <c r="AM88" s="878"/>
      <c r="AN88" s="878"/>
      <c r="AO88" s="878"/>
      <c r="AP88" s="878"/>
      <c r="AQ88" s="878"/>
      <c r="AR88" s="878"/>
      <c r="AS88" s="878"/>
      <c r="AT88" s="878"/>
      <c r="AU88" s="878"/>
      <c r="AV88" s="878"/>
      <c r="AW88" s="878"/>
      <c r="AX88" s="878"/>
    </row>
    <row r="89" spans="1:50" ht="15" customHeight="1" x14ac:dyDescent="0.25">
      <c r="A89" s="106"/>
      <c r="B89" s="118" t="str">
        <f xml:space="preserve"> Translate!E$186 &amp; " (" &amp; Translate!E$729 &amp; ")"</f>
        <v>Value added tax (VAT)</v>
      </c>
      <c r="C89" s="128"/>
      <c r="D89" s="54"/>
      <c r="E89" s="756"/>
      <c r="F89" s="755"/>
      <c r="G89" s="756"/>
      <c r="H89" s="756"/>
      <c r="I89" s="928"/>
      <c r="J89" s="756"/>
      <c r="K89" s="115"/>
      <c r="L89" s="115"/>
      <c r="M89" s="115"/>
      <c r="N89" s="115"/>
      <c r="O89" s="115"/>
      <c r="P89" s="115"/>
      <c r="Q89" s="115"/>
      <c r="R89" s="115"/>
      <c r="S89" s="115"/>
      <c r="T89" s="115"/>
      <c r="U89" s="115"/>
      <c r="V89" s="115"/>
      <c r="W89" s="115"/>
      <c r="X89" s="115"/>
      <c r="Y89" s="115"/>
      <c r="Z89" s="115"/>
      <c r="AA89" s="115"/>
      <c r="AB89" s="115"/>
      <c r="AC89" s="115"/>
      <c r="AD89" s="115"/>
      <c r="AE89" s="115"/>
      <c r="AF89" s="115"/>
      <c r="AG89" s="115"/>
      <c r="AH89" s="115"/>
      <c r="AI89" s="115"/>
      <c r="AJ89" s="115"/>
      <c r="AK89" s="115"/>
      <c r="AL89" s="115"/>
      <c r="AM89" s="115"/>
      <c r="AN89" s="115"/>
      <c r="AO89" s="115"/>
      <c r="AP89" s="115"/>
      <c r="AQ89" s="115"/>
      <c r="AR89" s="115"/>
      <c r="AS89" s="115"/>
      <c r="AT89" s="115"/>
      <c r="AU89" s="115"/>
      <c r="AV89" s="115"/>
      <c r="AW89" s="115"/>
      <c r="AX89" s="115"/>
    </row>
    <row r="90" spans="1:50" ht="15" customHeight="1" x14ac:dyDescent="0.25">
      <c r="A90" s="450"/>
      <c r="B90" s="451"/>
      <c r="C90" s="606"/>
      <c r="D90" s="452"/>
      <c r="E90" s="13" t="str">
        <f>Translate!E187</f>
        <v>VAT rate</v>
      </c>
      <c r="F90" s="555">
        <f>INDEX(K90:AX90,$F$13)</f>
        <v>0</v>
      </c>
      <c r="G90" s="13" t="s">
        <v>24</v>
      </c>
      <c r="H90" s="56"/>
      <c r="I90" s="918"/>
      <c r="J90" s="56"/>
      <c r="K90" s="735"/>
      <c r="L90" s="735"/>
      <c r="M90" s="735"/>
      <c r="N90" s="735"/>
      <c r="O90" s="735"/>
      <c r="P90" s="735"/>
      <c r="Q90" s="735"/>
      <c r="R90" s="735"/>
      <c r="S90" s="735"/>
      <c r="T90" s="735"/>
      <c r="U90" s="735"/>
      <c r="V90" s="735"/>
      <c r="W90" s="735"/>
      <c r="X90" s="735"/>
      <c r="Y90" s="735"/>
      <c r="Z90" s="735"/>
      <c r="AA90" s="735"/>
      <c r="AB90" s="735"/>
      <c r="AC90" s="735"/>
      <c r="AD90" s="735"/>
      <c r="AE90" s="735"/>
      <c r="AF90" s="735"/>
      <c r="AG90" s="735"/>
      <c r="AH90" s="735"/>
      <c r="AI90" s="735"/>
      <c r="AJ90" s="735"/>
      <c r="AK90" s="735"/>
      <c r="AL90" s="735"/>
      <c r="AM90" s="735"/>
      <c r="AN90" s="735"/>
      <c r="AO90" s="735"/>
      <c r="AP90" s="735"/>
      <c r="AQ90" s="735"/>
      <c r="AR90" s="735"/>
      <c r="AS90" s="735"/>
      <c r="AT90" s="735"/>
      <c r="AU90" s="735"/>
      <c r="AV90" s="735"/>
      <c r="AW90" s="735"/>
      <c r="AX90" s="735"/>
    </row>
    <row r="91" spans="1:50" ht="15" customHeight="1" x14ac:dyDescent="0.25">
      <c r="A91" s="129"/>
      <c r="B91" s="118"/>
      <c r="C91" s="128"/>
      <c r="D91" s="54"/>
      <c r="E91" s="13" t="str">
        <f>Translate!E188</f>
        <v>% Exploration &amp; capex subject to VAT</v>
      </c>
      <c r="F91" s="239">
        <f>INDEX(K91:AX91,$F$13)</f>
        <v>0</v>
      </c>
      <c r="G91" s="13" t="s">
        <v>24</v>
      </c>
      <c r="H91" s="56"/>
      <c r="I91" s="918"/>
      <c r="J91" s="56"/>
      <c r="K91" s="736"/>
      <c r="L91" s="736"/>
      <c r="M91" s="736"/>
      <c r="N91" s="736"/>
      <c r="O91" s="736"/>
      <c r="P91" s="736"/>
      <c r="Q91" s="736"/>
      <c r="R91" s="736"/>
      <c r="S91" s="736"/>
      <c r="T91" s="736"/>
      <c r="U91" s="736"/>
      <c r="V91" s="736"/>
      <c r="W91" s="736"/>
      <c r="X91" s="736"/>
      <c r="Y91" s="736"/>
      <c r="Z91" s="736"/>
      <c r="AA91" s="736"/>
      <c r="AB91" s="736"/>
      <c r="AC91" s="736"/>
      <c r="AD91" s="736"/>
      <c r="AE91" s="736"/>
      <c r="AF91" s="736"/>
      <c r="AG91" s="736"/>
      <c r="AH91" s="736"/>
      <c r="AI91" s="736"/>
      <c r="AJ91" s="736"/>
      <c r="AK91" s="736"/>
      <c r="AL91" s="736"/>
      <c r="AM91" s="736"/>
      <c r="AN91" s="736"/>
      <c r="AO91" s="736"/>
      <c r="AP91" s="736"/>
      <c r="AQ91" s="736"/>
      <c r="AR91" s="736"/>
      <c r="AS91" s="736"/>
      <c r="AT91" s="736"/>
      <c r="AU91" s="736"/>
      <c r="AV91" s="736"/>
      <c r="AW91" s="736"/>
      <c r="AX91" s="736"/>
    </row>
    <row r="92" spans="1:50" ht="15" customHeight="1" x14ac:dyDescent="0.25">
      <c r="A92" s="129"/>
      <c r="B92" s="118"/>
      <c r="C92" s="128"/>
      <c r="D92" s="54"/>
      <c r="E92" s="13" t="str">
        <f>Translate!E189</f>
        <v>% opex subject to VAT</v>
      </c>
      <c r="F92" s="239">
        <f>INDEX(K92:AX92,$F$13)</f>
        <v>0</v>
      </c>
      <c r="G92" s="13" t="s">
        <v>24</v>
      </c>
      <c r="H92" s="56"/>
      <c r="I92" s="918"/>
      <c r="J92" s="56"/>
      <c r="K92" s="736"/>
      <c r="L92" s="736"/>
      <c r="M92" s="736"/>
      <c r="N92" s="736"/>
      <c r="O92" s="736"/>
      <c r="P92" s="736"/>
      <c r="Q92" s="736"/>
      <c r="R92" s="736"/>
      <c r="S92" s="736"/>
      <c r="T92" s="736"/>
      <c r="U92" s="736"/>
      <c r="V92" s="736"/>
      <c r="W92" s="736"/>
      <c r="X92" s="736"/>
      <c r="Y92" s="736"/>
      <c r="Z92" s="736"/>
      <c r="AA92" s="736"/>
      <c r="AB92" s="736"/>
      <c r="AC92" s="736"/>
      <c r="AD92" s="736"/>
      <c r="AE92" s="736"/>
      <c r="AF92" s="736"/>
      <c r="AG92" s="736"/>
      <c r="AH92" s="736"/>
      <c r="AI92" s="736"/>
      <c r="AJ92" s="736"/>
      <c r="AK92" s="736"/>
      <c r="AL92" s="736"/>
      <c r="AM92" s="736"/>
      <c r="AN92" s="736"/>
      <c r="AO92" s="736"/>
      <c r="AP92" s="736"/>
      <c r="AQ92" s="736"/>
      <c r="AR92" s="736"/>
      <c r="AS92" s="736"/>
      <c r="AT92" s="736"/>
      <c r="AU92" s="736"/>
      <c r="AV92" s="736"/>
      <c r="AW92" s="736"/>
      <c r="AX92" s="736"/>
    </row>
    <row r="93" spans="1:50" ht="15" customHeight="1" x14ac:dyDescent="0.25">
      <c r="A93" s="129"/>
      <c r="B93" s="118"/>
      <c r="C93" s="128"/>
      <c r="D93" s="54"/>
      <c r="E93" s="13" t="str">
        <f>Translate!E190</f>
        <v>VAT refund delay</v>
      </c>
      <c r="F93" s="190">
        <f>INDEX(K93:AX93,$F$13)</f>
        <v>0</v>
      </c>
      <c r="G93" s="13" t="str">
        <f>Translate!E404</f>
        <v>Months</v>
      </c>
      <c r="H93" s="56"/>
      <c r="I93" s="918"/>
      <c r="J93" s="56"/>
      <c r="K93" s="449"/>
      <c r="L93" s="449"/>
      <c r="M93" s="449"/>
      <c r="N93" s="449"/>
      <c r="O93" s="449"/>
      <c r="P93" s="449"/>
      <c r="Q93" s="449"/>
      <c r="R93" s="449"/>
      <c r="S93" s="449"/>
      <c r="T93" s="449"/>
      <c r="U93" s="449"/>
      <c r="V93" s="449"/>
      <c r="W93" s="449"/>
      <c r="X93" s="449"/>
      <c r="Y93" s="449"/>
      <c r="Z93" s="449"/>
      <c r="AA93" s="449"/>
      <c r="AB93" s="449"/>
      <c r="AC93" s="449"/>
      <c r="AD93" s="449"/>
      <c r="AE93" s="449"/>
      <c r="AF93" s="449"/>
      <c r="AG93" s="449"/>
      <c r="AH93" s="449"/>
      <c r="AI93" s="449"/>
      <c r="AJ93" s="449"/>
      <c r="AK93" s="449"/>
      <c r="AL93" s="449"/>
      <c r="AM93" s="449"/>
      <c r="AN93" s="449"/>
      <c r="AO93" s="449"/>
      <c r="AP93" s="449"/>
      <c r="AQ93" s="449"/>
      <c r="AR93" s="449"/>
      <c r="AS93" s="449"/>
      <c r="AT93" s="449"/>
      <c r="AU93" s="449"/>
      <c r="AV93" s="449"/>
      <c r="AW93" s="449"/>
      <c r="AX93" s="449"/>
    </row>
    <row r="94" spans="1:50" s="411" customFormat="1" ht="15" customHeight="1" x14ac:dyDescent="0.25">
      <c r="A94" s="415"/>
      <c r="B94" s="102"/>
      <c r="C94" s="614"/>
      <c r="D94" s="415"/>
      <c r="E94" s="13" t="str">
        <f>Translate!E191</f>
        <v>VAT applicable from</v>
      </c>
      <c r="F94" s="506">
        <f>INDEX(K94:AX94,$F$13)</f>
        <v>0</v>
      </c>
      <c r="G94" s="13" t="str">
        <f xml:space="preserve"> Translate!E$103</f>
        <v>Option</v>
      </c>
      <c r="H94" s="415"/>
      <c r="I94" s="919" cm="1">
        <f t="array" ref="I94">MAX(0,IFERROR(MIN( 0, IF(K94:AX94&lt;&gt;"",MATCH(K94:AX94,$F$952:$F$954,0),0) ),1))</f>
        <v>0</v>
      </c>
      <c r="J94" s="415"/>
      <c r="K94" s="746"/>
      <c r="L94" s="746"/>
      <c r="M94" s="746"/>
      <c r="N94" s="746"/>
      <c r="O94" s="746"/>
      <c r="P94" s="746"/>
      <c r="Q94" s="746"/>
      <c r="R94" s="746"/>
      <c r="S94" s="746"/>
      <c r="T94" s="746"/>
      <c r="U94" s="746"/>
      <c r="V94" s="746"/>
      <c r="W94" s="746"/>
      <c r="X94" s="746"/>
      <c r="Y94" s="746"/>
      <c r="Z94" s="746"/>
      <c r="AA94" s="746"/>
      <c r="AB94" s="746"/>
      <c r="AC94" s="746"/>
      <c r="AD94" s="746"/>
      <c r="AE94" s="746"/>
      <c r="AF94" s="746"/>
      <c r="AG94" s="746"/>
      <c r="AH94" s="746"/>
      <c r="AI94" s="746"/>
      <c r="AJ94" s="746"/>
      <c r="AK94" s="746"/>
      <c r="AL94" s="746"/>
      <c r="AM94" s="746"/>
      <c r="AN94" s="746"/>
      <c r="AO94" s="746"/>
      <c r="AP94" s="746"/>
      <c r="AQ94" s="746"/>
      <c r="AR94" s="746"/>
      <c r="AS94" s="746"/>
      <c r="AT94" s="746"/>
      <c r="AU94" s="746"/>
      <c r="AV94" s="746"/>
      <c r="AW94" s="746"/>
      <c r="AX94" s="746"/>
    </row>
    <row r="95" spans="1:50" ht="15" customHeight="1" x14ac:dyDescent="0.25">
      <c r="A95" s="930" t="str">
        <f xml:space="preserve"> Translate!E$605</f>
        <v>Bottom of fiscal regime parameters</v>
      </c>
      <c r="B95" s="666"/>
      <c r="C95" s="605"/>
      <c r="D95" s="293"/>
      <c r="E95" s="343"/>
      <c r="F95" s="561"/>
      <c r="G95" s="343"/>
      <c r="H95" s="293"/>
      <c r="I95" s="293"/>
      <c r="J95" s="293"/>
      <c r="K95" s="342"/>
      <c r="L95" s="342"/>
      <c r="M95" s="342"/>
      <c r="N95" s="342"/>
      <c r="O95" s="342"/>
      <c r="P95" s="342"/>
      <c r="Q95" s="293"/>
      <c r="R95" s="293"/>
      <c r="S95" s="293"/>
      <c r="T95" s="293"/>
      <c r="U95" s="293"/>
      <c r="V95" s="342"/>
      <c r="W95" s="293"/>
      <c r="X95" s="293"/>
      <c r="Y95" s="293"/>
      <c r="Z95" s="293"/>
      <c r="AA95" s="342"/>
      <c r="AB95" s="342"/>
      <c r="AC95" s="293"/>
      <c r="AD95" s="342"/>
      <c r="AE95" s="342"/>
      <c r="AF95" s="342"/>
      <c r="AG95" s="342"/>
      <c r="AH95" s="293"/>
      <c r="AI95" s="342"/>
      <c r="AJ95" s="293"/>
      <c r="AK95" s="293"/>
      <c r="AL95" s="293"/>
      <c r="AM95" s="342"/>
      <c r="AN95" s="342"/>
      <c r="AO95" s="342"/>
      <c r="AP95" s="342"/>
      <c r="AQ95" s="293"/>
      <c r="AR95" s="293"/>
      <c r="AS95" s="293"/>
      <c r="AT95" s="293"/>
      <c r="AU95" s="293"/>
      <c r="AV95" s="293"/>
      <c r="AW95" s="293"/>
      <c r="AX95" s="293"/>
    </row>
    <row r="96" spans="1:50" s="48" customFormat="1" ht="15" customHeight="1" x14ac:dyDescent="0.25">
      <c r="A96" s="85"/>
      <c r="B96" s="235"/>
      <c r="C96" s="604"/>
      <c r="D96" s="89"/>
      <c r="E96" s="915"/>
      <c r="F96" s="148"/>
      <c r="G96" s="915"/>
      <c r="H96" s="89"/>
      <c r="I96" s="89"/>
      <c r="J96" s="89"/>
      <c r="K96" s="61"/>
      <c r="L96" s="61"/>
      <c r="M96" s="61"/>
      <c r="N96" s="61"/>
      <c r="O96" s="61"/>
      <c r="P96" s="61"/>
      <c r="Q96" s="89"/>
      <c r="R96" s="89"/>
      <c r="S96" s="89"/>
      <c r="T96" s="89"/>
      <c r="U96" s="89"/>
      <c r="V96" s="61"/>
      <c r="W96" s="89"/>
      <c r="X96" s="89"/>
      <c r="Y96" s="89"/>
      <c r="Z96" s="89"/>
      <c r="AA96" s="61"/>
      <c r="AB96" s="61"/>
      <c r="AC96" s="89"/>
      <c r="AD96" s="61"/>
      <c r="AE96" s="61"/>
      <c r="AF96" s="61"/>
      <c r="AG96" s="61"/>
      <c r="AH96" s="89"/>
      <c r="AI96" s="61"/>
      <c r="AJ96" s="89"/>
      <c r="AK96" s="89"/>
      <c r="AL96" s="89"/>
      <c r="AM96" s="61"/>
      <c r="AN96" s="61"/>
      <c r="AO96" s="61"/>
      <c r="AP96" s="61"/>
      <c r="AQ96" s="89"/>
      <c r="AR96" s="89"/>
      <c r="AS96" s="89"/>
      <c r="AT96" s="89"/>
      <c r="AU96" s="89"/>
      <c r="AV96" s="89"/>
      <c r="AW96" s="89"/>
      <c r="AX96" s="89"/>
    </row>
    <row r="97" spans="1:50" ht="15" customHeight="1" x14ac:dyDescent="0.25">
      <c r="A97" s="202" t="str">
        <f>Translate!$E$147</f>
        <v>Decommissioning fund</v>
      </c>
      <c r="B97" s="781"/>
      <c r="C97" s="610"/>
      <c r="D97" s="204"/>
      <c r="E97" s="202"/>
      <c r="F97" s="204"/>
      <c r="G97" s="202"/>
      <c r="H97" s="202"/>
      <c r="I97" s="202"/>
      <c r="J97" s="202"/>
      <c r="K97" s="202"/>
      <c r="L97" s="202"/>
      <c r="M97" s="202"/>
      <c r="N97" s="202"/>
      <c r="O97" s="202"/>
      <c r="P97" s="202"/>
      <c r="Q97" s="202"/>
      <c r="R97" s="202"/>
      <c r="S97" s="202"/>
      <c r="T97" s="202"/>
      <c r="U97" s="202"/>
      <c r="V97" s="202"/>
      <c r="W97" s="202"/>
      <c r="X97" s="202"/>
      <c r="Y97" s="202"/>
      <c r="Z97" s="202"/>
      <c r="AA97" s="202"/>
      <c r="AB97" s="202"/>
      <c r="AC97" s="202"/>
      <c r="AD97" s="202"/>
      <c r="AE97" s="202"/>
      <c r="AF97" s="202"/>
      <c r="AG97" s="202"/>
      <c r="AH97" s="202"/>
      <c r="AI97" s="202"/>
      <c r="AJ97" s="202"/>
      <c r="AK97" s="202"/>
      <c r="AL97" s="202"/>
      <c r="AM97" s="202"/>
      <c r="AN97" s="202"/>
      <c r="AO97" s="202"/>
      <c r="AP97" s="202"/>
      <c r="AQ97" s="202"/>
      <c r="AR97" s="202"/>
      <c r="AS97" s="202"/>
      <c r="AT97" s="202"/>
      <c r="AU97" s="202"/>
      <c r="AV97" s="202"/>
      <c r="AW97" s="202"/>
      <c r="AX97" s="202"/>
    </row>
    <row r="98" spans="1:50" ht="15" customHeight="1" x14ac:dyDescent="0.25">
      <c r="A98" s="220"/>
      <c r="B98" s="102"/>
      <c r="C98" s="611"/>
      <c r="D98" s="221"/>
      <c r="E98" s="220"/>
      <c r="F98" s="221"/>
      <c r="G98" s="220"/>
      <c r="H98" s="220"/>
      <c r="I98" s="220"/>
      <c r="J98" s="220"/>
      <c r="K98" s="220"/>
      <c r="L98" s="220"/>
      <c r="M98" s="220"/>
      <c r="N98" s="220"/>
      <c r="O98" s="220"/>
      <c r="P98" s="220"/>
      <c r="Q98" s="220"/>
      <c r="R98" s="220"/>
      <c r="S98" s="220"/>
      <c r="T98" s="220"/>
      <c r="U98" s="220"/>
      <c r="V98" s="220"/>
      <c r="W98" s="220"/>
      <c r="X98" s="220"/>
      <c r="Y98" s="220"/>
      <c r="Z98" s="220"/>
      <c r="AA98" s="220"/>
      <c r="AB98" s="220"/>
      <c r="AC98" s="220"/>
      <c r="AD98" s="220"/>
      <c r="AE98" s="220"/>
      <c r="AF98" s="220"/>
      <c r="AG98" s="220"/>
      <c r="AH98" s="220"/>
      <c r="AI98" s="220"/>
      <c r="AJ98" s="220"/>
      <c r="AK98" s="220"/>
      <c r="AL98" s="220"/>
      <c r="AM98" s="220"/>
      <c r="AN98" s="220"/>
      <c r="AO98" s="220"/>
      <c r="AP98" s="220"/>
      <c r="AQ98" s="220"/>
      <c r="AR98" s="220"/>
      <c r="AS98" s="220"/>
      <c r="AT98" s="220"/>
      <c r="AU98" s="220"/>
      <c r="AV98" s="220"/>
      <c r="AW98" s="220"/>
      <c r="AX98" s="220"/>
    </row>
    <row r="99" spans="1:50" s="45" customFormat="1" ht="15" customHeight="1" x14ac:dyDescent="0.25">
      <c r="A99" s="70"/>
      <c r="B99" s="102" t="str">
        <f>Translate!$E$410</f>
        <v>Determine start of contributions</v>
      </c>
      <c r="C99" s="612"/>
      <c r="D99" s="269"/>
      <c r="E99" s="70"/>
      <c r="F99" s="269"/>
      <c r="G99" s="70"/>
      <c r="H99" s="70"/>
      <c r="I99" s="70"/>
      <c r="J99" s="70"/>
      <c r="K99" s="70"/>
      <c r="L99" s="70"/>
      <c r="M99" s="70"/>
      <c r="N99" s="70"/>
      <c r="O99" s="70"/>
      <c r="P99" s="70"/>
      <c r="Q99" s="70"/>
      <c r="R99" s="70"/>
      <c r="S99" s="70"/>
      <c r="T99" s="70"/>
      <c r="U99" s="70"/>
      <c r="V99" s="70"/>
      <c r="W99" s="70"/>
      <c r="X99" s="70"/>
      <c r="Y99" s="70"/>
      <c r="Z99" s="70"/>
      <c r="AA99" s="70"/>
      <c r="AB99" s="70"/>
      <c r="AC99" s="70"/>
      <c r="AD99" s="70"/>
      <c r="AE99" s="70"/>
      <c r="AF99" s="70"/>
      <c r="AG99" s="70"/>
      <c r="AH99" s="70"/>
      <c r="AI99" s="70"/>
      <c r="AJ99" s="70"/>
      <c r="AK99" s="70"/>
      <c r="AL99" s="70"/>
      <c r="AM99" s="70"/>
      <c r="AN99" s="70"/>
      <c r="AO99" s="70"/>
      <c r="AP99" s="70"/>
      <c r="AQ99" s="70"/>
      <c r="AR99" s="70"/>
      <c r="AS99" s="70"/>
      <c r="AT99" s="70"/>
      <c r="AU99" s="70"/>
      <c r="AV99" s="70"/>
      <c r="AW99" s="70"/>
      <c r="AX99" s="70"/>
    </row>
    <row r="100" spans="1:50" s="40" customFormat="1" ht="15" customHeight="1" x14ac:dyDescent="0.25">
      <c r="A100" s="290"/>
      <c r="B100" s="235"/>
      <c r="C100" s="613"/>
      <c r="D100" s="210"/>
      <c r="E100" s="222" t="str">
        <f xml:space="preserve"> ProjectCashflows!E$132</f>
        <v>Oil production Volume after ELT</v>
      </c>
      <c r="F100" s="533">
        <f xml:space="preserve"> ProjectCashflows!F$132</f>
        <v>0</v>
      </c>
      <c r="G100" s="222" t="str">
        <f xml:space="preserve"> ProjectCashflows!G$132</f>
        <v>Mn Bbl</v>
      </c>
      <c r="H100" s="222">
        <f xml:space="preserve"> ProjectCashflows!H$132</f>
        <v>0</v>
      </c>
      <c r="I100" s="222">
        <f ca="1" xml:space="preserve"> ProjectCashflows!I$132</f>
        <v>801.87316114953705</v>
      </c>
      <c r="J100" s="352">
        <f xml:space="preserve"> ProjectCashflows!J$132</f>
        <v>0</v>
      </c>
      <c r="K100" s="222">
        <f ca="1" xml:space="preserve"> ProjectCashflows!K$132</f>
        <v>0</v>
      </c>
      <c r="L100" s="222">
        <f ca="1" xml:space="preserve"> ProjectCashflows!L$132</f>
        <v>0</v>
      </c>
      <c r="M100" s="222">
        <f ca="1" xml:space="preserve"> ProjectCashflows!M$132</f>
        <v>0</v>
      </c>
      <c r="N100" s="222">
        <f ca="1" xml:space="preserve"> ProjectCashflows!N$132</f>
        <v>0</v>
      </c>
      <c r="O100" s="222">
        <f ca="1" xml:space="preserve"> ProjectCashflows!O$132</f>
        <v>3.4846974211692809</v>
      </c>
      <c r="P100" s="222">
        <f ca="1" xml:space="preserve"> ProjectCashflows!P$132</f>
        <v>27.375</v>
      </c>
      <c r="Q100" s="222">
        <f ca="1" xml:space="preserve"> ProjectCashflows!Q$132</f>
        <v>54.75</v>
      </c>
      <c r="R100" s="222">
        <f ca="1" xml:space="preserve"> ProjectCashflows!R$132</f>
        <v>54.75</v>
      </c>
      <c r="S100" s="222">
        <f ca="1" xml:space="preserve"> ProjectCashflows!S$132</f>
        <v>54.75</v>
      </c>
      <c r="T100" s="222">
        <f ca="1" xml:space="preserve"> ProjectCashflows!T$132</f>
        <v>54.75</v>
      </c>
      <c r="U100" s="222">
        <f ca="1" xml:space="preserve"> ProjectCashflows!U$132</f>
        <v>54.75</v>
      </c>
      <c r="V100" s="222">
        <f ca="1" xml:space="preserve"> ProjectCashflows!V$132</f>
        <v>54.75</v>
      </c>
      <c r="W100" s="222">
        <f ca="1" xml:space="preserve"> ProjectCashflows!W$132</f>
        <v>54.75</v>
      </c>
      <c r="X100" s="222">
        <f ca="1" xml:space="preserve"> ProjectCashflows!X$132</f>
        <v>54.75</v>
      </c>
      <c r="Y100" s="222">
        <f ca="1" xml:space="preserve"> ProjectCashflows!Y$132</f>
        <v>54.75</v>
      </c>
      <c r="Z100" s="222">
        <f ca="1" xml:space="preserve"> ProjectCashflows!Z$132</f>
        <v>54.75</v>
      </c>
      <c r="AA100" s="222">
        <f ca="1" xml:space="preserve"> ProjectCashflows!AA$132</f>
        <v>44.347500000000011</v>
      </c>
      <c r="AB100" s="222">
        <f ca="1" xml:space="preserve"> ProjectCashflows!AB$132</f>
        <v>35.921475000000008</v>
      </c>
      <c r="AC100" s="222">
        <f ca="1" xml:space="preserve"> ProjectCashflows!AC$132</f>
        <v>29.096394750000009</v>
      </c>
      <c r="AD100" s="222">
        <f ca="1" xml:space="preserve"> ProjectCashflows!AD$132</f>
        <v>23.568079747500011</v>
      </c>
      <c r="AE100" s="222">
        <f ca="1" xml:space="preserve"> ProjectCashflows!AE$132</f>
        <v>19.09014459547501</v>
      </c>
      <c r="AF100" s="222">
        <f ca="1" xml:space="preserve"> ProjectCashflows!AF$132</f>
        <v>15.463017122334758</v>
      </c>
      <c r="AG100" s="222">
        <f ca="1" xml:space="preserve"> ProjectCashflows!AG$132</f>
        <v>12.525043869091157</v>
      </c>
      <c r="AH100" s="222">
        <f ca="1" xml:space="preserve"> ProjectCashflows!AH$132</f>
        <v>10.145285533963838</v>
      </c>
      <c r="AI100" s="222">
        <f ca="1" xml:space="preserve"> ProjectCashflows!AI$132</f>
        <v>8.2176812825107088</v>
      </c>
      <c r="AJ100" s="222">
        <f ca="1" xml:space="preserve"> ProjectCashflows!AJ$132</f>
        <v>6.6563218388336738</v>
      </c>
      <c r="AK100" s="222">
        <f ca="1" xml:space="preserve"> ProjectCashflows!AK$132</f>
        <v>5.3916206894552765</v>
      </c>
      <c r="AL100" s="222">
        <f ca="1" xml:space="preserve"> ProjectCashflows!AL$132</f>
        <v>4.3672127584587734</v>
      </c>
      <c r="AM100" s="222">
        <f ca="1" xml:space="preserve"> ProjectCashflows!AM$132</f>
        <v>3.5374423343516064</v>
      </c>
      <c r="AN100" s="222">
        <f ca="1" xml:space="preserve"> ProjectCashflows!AN$132</f>
        <v>2.8653282908248014</v>
      </c>
      <c r="AO100" s="222">
        <f ca="1" xml:space="preserve"> ProjectCashflows!AO$132</f>
        <v>2.3209159155680896</v>
      </c>
      <c r="AP100" s="222">
        <f ca="1" xml:space="preserve"> ProjectCashflows!AP$132</f>
        <v>0</v>
      </c>
      <c r="AQ100" s="222">
        <f ca="1" xml:space="preserve"> ProjectCashflows!AQ$132</f>
        <v>0</v>
      </c>
      <c r="AR100" s="222">
        <f ca="1" xml:space="preserve"> ProjectCashflows!AR$132</f>
        <v>0</v>
      </c>
      <c r="AS100" s="222">
        <f ca="1" xml:space="preserve"> ProjectCashflows!AS$132</f>
        <v>0</v>
      </c>
      <c r="AT100" s="222">
        <f ca="1" xml:space="preserve"> ProjectCashflows!AT$132</f>
        <v>0</v>
      </c>
      <c r="AU100" s="222">
        <f ca="1" xml:space="preserve"> ProjectCashflows!AU$132</f>
        <v>0</v>
      </c>
      <c r="AV100" s="222">
        <f ca="1" xml:space="preserve"> ProjectCashflows!AV$132</f>
        <v>0</v>
      </c>
      <c r="AW100" s="222">
        <f ca="1" xml:space="preserve"> ProjectCashflows!AW$132</f>
        <v>0</v>
      </c>
      <c r="AX100" s="222">
        <f ca="1" xml:space="preserve"> ProjectCashflows!AX$132</f>
        <v>0</v>
      </c>
    </row>
    <row r="101" spans="1:50" ht="15" customHeight="1" x14ac:dyDescent="0.25">
      <c r="A101" s="106"/>
      <c r="B101" s="235"/>
      <c r="C101" s="604"/>
      <c r="D101" s="151"/>
      <c r="E101" s="89" t="str">
        <f xml:space="preserve"> Translate!E$601 &amp; ": "  &amp; E100</f>
        <v>Total: Oil production Volume after ELT</v>
      </c>
      <c r="F101" s="162">
        <f ca="1" xml:space="preserve"> SUM(K100:AX100)</f>
        <v>801.87316114953705</v>
      </c>
      <c r="G101" s="89" t="str">
        <f xml:space="preserve"> G100</f>
        <v>Mn Bbl</v>
      </c>
      <c r="H101" s="89"/>
      <c r="I101" s="89"/>
      <c r="J101" s="89"/>
      <c r="K101" s="89"/>
      <c r="L101" s="89"/>
      <c r="M101" s="89"/>
      <c r="N101" s="89"/>
      <c r="O101" s="89"/>
      <c r="P101" s="89"/>
      <c r="Q101" s="89"/>
      <c r="R101" s="89"/>
      <c r="S101" s="89"/>
      <c r="T101" s="89"/>
      <c r="U101" s="89"/>
      <c r="V101" s="89"/>
      <c r="W101" s="89"/>
      <c r="X101" s="89"/>
      <c r="Y101" s="89"/>
      <c r="Z101" s="89"/>
      <c r="AA101" s="89"/>
      <c r="AB101" s="89"/>
      <c r="AC101" s="89"/>
      <c r="AD101" s="89"/>
      <c r="AE101" s="89"/>
      <c r="AF101" s="89"/>
      <c r="AG101" s="89"/>
      <c r="AH101" s="89"/>
      <c r="AI101" s="89"/>
      <c r="AJ101" s="89"/>
      <c r="AK101" s="89"/>
      <c r="AL101" s="89"/>
      <c r="AM101" s="89"/>
      <c r="AN101" s="89"/>
      <c r="AO101" s="89"/>
      <c r="AP101" s="89"/>
      <c r="AQ101" s="89"/>
      <c r="AR101" s="89"/>
      <c r="AS101" s="89"/>
      <c r="AT101" s="89"/>
      <c r="AU101" s="89"/>
      <c r="AV101" s="89"/>
      <c r="AW101" s="89"/>
      <c r="AX101" s="89"/>
    </row>
    <row r="102" spans="1:50" ht="15" customHeight="1" x14ac:dyDescent="0.25">
      <c r="A102" s="106"/>
      <c r="B102" s="235"/>
      <c r="C102" s="604"/>
      <c r="D102" s="151"/>
      <c r="E102" s="89" t="str">
        <f>Translate!E222</f>
        <v>Proportion reserves produced</v>
      </c>
      <c r="F102" s="563"/>
      <c r="G102" s="89" t="s">
        <v>24</v>
      </c>
      <c r="H102" s="89"/>
      <c r="I102" s="151"/>
      <c r="J102" s="89"/>
      <c r="K102" s="61">
        <f ca="1" xml:space="preserve"> SUM($J100:K100) / $F101</f>
        <v>0</v>
      </c>
      <c r="L102" s="61">
        <f ca="1" xml:space="preserve"> SUM($J100:L100) / $F101</f>
        <v>0</v>
      </c>
      <c r="M102" s="61">
        <f ca="1" xml:space="preserve"> SUM($J100:M100) / $F101</f>
        <v>0</v>
      </c>
      <c r="N102" s="61">
        <f ca="1" xml:space="preserve"> SUM($J100:N100) / $F101</f>
        <v>0</v>
      </c>
      <c r="O102" s="61">
        <f ca="1" xml:space="preserve"> SUM($J100:O100) / $F101</f>
        <v>4.3456965390558048E-3</v>
      </c>
      <c r="P102" s="61">
        <f ca="1" xml:space="preserve"> SUM($J100:P100) / $F101</f>
        <v>3.8484512160164963E-2</v>
      </c>
      <c r="Q102" s="61">
        <f ca="1" xml:space="preserve"> SUM($J100:Q100) / $F101</f>
        <v>0.10676214340238328</v>
      </c>
      <c r="R102" s="61">
        <f ca="1" xml:space="preserve"> SUM($J100:R100) / $F101</f>
        <v>0.1750397746446016</v>
      </c>
      <c r="S102" s="61">
        <f ca="1" xml:space="preserve"> SUM($J100:S100) / $F101</f>
        <v>0.24331740588681994</v>
      </c>
      <c r="T102" s="61">
        <f ca="1" xml:space="preserve"> SUM($J100:T100) / $F101</f>
        <v>0.31159503712903824</v>
      </c>
      <c r="U102" s="61">
        <f ca="1" xml:space="preserve"> SUM($J100:U100) / $F101</f>
        <v>0.37987266837125655</v>
      </c>
      <c r="V102" s="61">
        <f ca="1" xml:space="preserve"> SUM($J100:V100) / $F101</f>
        <v>0.44815029961347486</v>
      </c>
      <c r="W102" s="61">
        <f ca="1" xml:space="preserve"> SUM($J100:W100) / $F101</f>
        <v>0.51642793085569316</v>
      </c>
      <c r="X102" s="61">
        <f ca="1" xml:space="preserve"> SUM($J100:X100) / $F101</f>
        <v>0.58470556209791147</v>
      </c>
      <c r="Y102" s="61">
        <f ca="1" xml:space="preserve"> SUM($J100:Y100) / $F101</f>
        <v>0.65298319334012989</v>
      </c>
      <c r="Z102" s="61">
        <f ca="1" xml:space="preserve"> SUM($J100:Z100) / $F101</f>
        <v>0.72126082458234819</v>
      </c>
      <c r="AA102" s="61">
        <f ca="1" xml:space="preserve"> SUM($J100:AA100) / $F101</f>
        <v>0.77656570588854501</v>
      </c>
      <c r="AB102" s="61">
        <f ca="1" xml:space="preserve"> SUM($J100:AB100) / $F101</f>
        <v>0.82136265974656442</v>
      </c>
      <c r="AC102" s="61">
        <f ca="1" xml:space="preserve"> SUM($J100:AC100) / $F101</f>
        <v>0.8576481923715602</v>
      </c>
      <c r="AD102" s="61">
        <f ca="1" xml:space="preserve"> SUM($J100:AD100) / $F101</f>
        <v>0.8870394737978069</v>
      </c>
      <c r="AE102" s="61">
        <f ca="1" xml:space="preserve"> SUM($J100:AE100) / $F101</f>
        <v>0.91084641175306646</v>
      </c>
      <c r="AF102" s="61">
        <f ca="1" xml:space="preserve"> SUM($J100:AF100) / $F101</f>
        <v>0.93013003149682694</v>
      </c>
      <c r="AG102" s="61">
        <f ca="1" xml:space="preserve"> SUM($J100:AG100) / $F101</f>
        <v>0.94574976348927287</v>
      </c>
      <c r="AH102" s="61">
        <f ca="1" xml:space="preserve"> SUM($J100:AH100) / $F101</f>
        <v>0.95840174640315401</v>
      </c>
      <c r="AI102" s="61">
        <f ca="1" xml:space="preserve"> SUM($J100:AI100) / $F101</f>
        <v>0.96864985256339786</v>
      </c>
      <c r="AJ102" s="61">
        <f ca="1" xml:space="preserve"> SUM($J100:AJ100) / $F101</f>
        <v>0.97695081855319532</v>
      </c>
      <c r="AK102" s="61">
        <f ca="1" xml:space="preserve"> SUM($J100:AK100) / $F101</f>
        <v>0.98367460100493131</v>
      </c>
      <c r="AL102" s="61">
        <f ca="1" xml:space="preserve"> SUM($J100:AL100) / $F101</f>
        <v>0.98912086479083738</v>
      </c>
      <c r="AM102" s="61">
        <f ca="1" xml:space="preserve"> SUM($J100:AM100) / $F101</f>
        <v>0.99353233845742128</v>
      </c>
      <c r="AN102" s="61">
        <f ca="1" xml:space="preserve"> SUM($J100:AN100) / $F101</f>
        <v>0.99710563212735426</v>
      </c>
      <c r="AO102" s="61">
        <f ca="1" xml:space="preserve"> SUM($J100:AO100) / $F101</f>
        <v>1</v>
      </c>
      <c r="AP102" s="61">
        <f ca="1" xml:space="preserve"> SUM($J100:AP100) / $F101</f>
        <v>1</v>
      </c>
      <c r="AQ102" s="61">
        <f ca="1" xml:space="preserve"> SUM($J100:AQ100) / $F101</f>
        <v>1</v>
      </c>
      <c r="AR102" s="61">
        <f ca="1" xml:space="preserve"> SUM($J100:AR100) / $F101</f>
        <v>1</v>
      </c>
      <c r="AS102" s="61">
        <f ca="1" xml:space="preserve"> SUM($J100:AS100) / $F101</f>
        <v>1</v>
      </c>
      <c r="AT102" s="61">
        <f ca="1" xml:space="preserve"> SUM($J100:AT100) / $F101</f>
        <v>1</v>
      </c>
      <c r="AU102" s="61">
        <f ca="1" xml:space="preserve"> SUM($J100:AU100) / $F101</f>
        <v>1</v>
      </c>
      <c r="AV102" s="61">
        <f ca="1" xml:space="preserve"> SUM($J100:AV100) / $F101</f>
        <v>1</v>
      </c>
      <c r="AW102" s="61">
        <f ca="1" xml:space="preserve"> SUM($J100:AW100) / $F101</f>
        <v>1</v>
      </c>
      <c r="AX102" s="61">
        <f ca="1" xml:space="preserve"> SUM($J100:AX100) / $F101</f>
        <v>1</v>
      </c>
    </row>
    <row r="103" spans="1:50" ht="15" customHeight="1" x14ac:dyDescent="0.25">
      <c r="A103" s="106"/>
      <c r="B103" s="235"/>
      <c r="C103" s="604"/>
      <c r="D103" s="151"/>
      <c r="E103" s="89"/>
      <c r="F103" s="563"/>
      <c r="G103" s="89"/>
      <c r="H103" s="89"/>
      <c r="J103" s="89"/>
      <c r="K103" s="89"/>
      <c r="L103" s="89"/>
      <c r="M103" s="89"/>
      <c r="N103" s="89"/>
      <c r="O103" s="89"/>
      <c r="P103" s="89"/>
      <c r="Q103" s="89"/>
      <c r="R103" s="89"/>
      <c r="S103" s="89"/>
      <c r="T103" s="89"/>
      <c r="U103" s="89"/>
      <c r="V103" s="89"/>
      <c r="W103" s="89"/>
      <c r="X103" s="89"/>
      <c r="Y103" s="89"/>
      <c r="Z103" s="89"/>
      <c r="AA103" s="89"/>
      <c r="AB103" s="89"/>
      <c r="AC103" s="89"/>
      <c r="AD103" s="89"/>
      <c r="AE103" s="89"/>
      <c r="AF103" s="89"/>
      <c r="AG103" s="89"/>
      <c r="AH103" s="89"/>
      <c r="AI103" s="89"/>
      <c r="AJ103" s="89"/>
      <c r="AK103" s="89"/>
      <c r="AL103" s="89"/>
      <c r="AM103" s="89"/>
      <c r="AN103" s="89"/>
      <c r="AO103" s="89"/>
      <c r="AP103" s="89"/>
      <c r="AQ103" s="89"/>
      <c r="AR103" s="89"/>
      <c r="AS103" s="89"/>
      <c r="AT103" s="89"/>
      <c r="AU103" s="89"/>
      <c r="AV103" s="89"/>
      <c r="AW103" s="89"/>
      <c r="AX103" s="89"/>
    </row>
    <row r="104" spans="1:50" s="40" customFormat="1" ht="15" customHeight="1" x14ac:dyDescent="0.25">
      <c r="A104" s="290"/>
      <c r="B104" s="235"/>
      <c r="C104" s="613"/>
      <c r="D104" s="351"/>
      <c r="E104" s="140" t="str">
        <f xml:space="preserve"> ProjectCashflows!E$242</f>
        <v>Decommissioning costs, after ELT</v>
      </c>
      <c r="F104" s="540">
        <f xml:space="preserve"> ProjectCashflows!F$242</f>
        <v>0</v>
      </c>
      <c r="G104" s="140" t="str">
        <f xml:space="preserve"> ProjectCashflows!G$242</f>
        <v>US$ mn</v>
      </c>
      <c r="H104" s="140">
        <f xml:space="preserve"> ProjectCashflows!H$242</f>
        <v>0</v>
      </c>
      <c r="I104" s="140">
        <f ca="1" xml:space="preserve"> ProjectCashflows!I$242</f>
        <v>1359.7539711319146</v>
      </c>
      <c r="J104" s="140">
        <f xml:space="preserve"> ProjectCashflows!J$242</f>
        <v>0</v>
      </c>
      <c r="K104" s="140">
        <f ca="1" xml:space="preserve"> ProjectCashflows!K$242</f>
        <v>0</v>
      </c>
      <c r="L104" s="140">
        <f ca="1" xml:space="preserve"> ProjectCashflows!L$242</f>
        <v>0</v>
      </c>
      <c r="M104" s="140">
        <f ca="1" xml:space="preserve"> ProjectCashflows!M$242</f>
        <v>0</v>
      </c>
      <c r="N104" s="140">
        <f ca="1" xml:space="preserve"> ProjectCashflows!N$242</f>
        <v>0</v>
      </c>
      <c r="O104" s="140">
        <f ca="1" xml:space="preserve"> ProjectCashflows!O$242</f>
        <v>0</v>
      </c>
      <c r="P104" s="140">
        <f ca="1" xml:space="preserve"> ProjectCashflows!P$242</f>
        <v>0</v>
      </c>
      <c r="Q104" s="140">
        <f ca="1" xml:space="preserve"> ProjectCashflows!Q$242</f>
        <v>0</v>
      </c>
      <c r="R104" s="140">
        <f ca="1" xml:space="preserve"> ProjectCashflows!R$242</f>
        <v>0</v>
      </c>
      <c r="S104" s="140">
        <f ca="1" xml:space="preserve"> ProjectCashflows!S$242</f>
        <v>0</v>
      </c>
      <c r="T104" s="140">
        <f ca="1" xml:space="preserve"> ProjectCashflows!T$242</f>
        <v>0</v>
      </c>
      <c r="U104" s="140">
        <f ca="1" xml:space="preserve"> ProjectCashflows!U$242</f>
        <v>0</v>
      </c>
      <c r="V104" s="140">
        <f ca="1" xml:space="preserve"> ProjectCashflows!V$242</f>
        <v>0</v>
      </c>
      <c r="W104" s="140">
        <f ca="1" xml:space="preserve"> ProjectCashflows!W$242</f>
        <v>0</v>
      </c>
      <c r="X104" s="140">
        <f ca="1" xml:space="preserve"> ProjectCashflows!X$242</f>
        <v>0</v>
      </c>
      <c r="Y104" s="140">
        <f ca="1" xml:space="preserve"> ProjectCashflows!Y$242</f>
        <v>0</v>
      </c>
      <c r="Z104" s="140">
        <f ca="1" xml:space="preserve"> ProjectCashflows!Z$242</f>
        <v>0</v>
      </c>
      <c r="AA104" s="140">
        <f ca="1" xml:space="preserve"> ProjectCashflows!AA$242</f>
        <v>0</v>
      </c>
      <c r="AB104" s="140">
        <f ca="1" xml:space="preserve"> ProjectCashflows!AB$242</f>
        <v>0</v>
      </c>
      <c r="AC104" s="140">
        <f ca="1" xml:space="preserve"> ProjectCashflows!AC$242</f>
        <v>0</v>
      </c>
      <c r="AD104" s="140">
        <f ca="1" xml:space="preserve"> ProjectCashflows!AD$242</f>
        <v>0</v>
      </c>
      <c r="AE104" s="140">
        <f ca="1" xml:space="preserve"> ProjectCashflows!AE$242</f>
        <v>0</v>
      </c>
      <c r="AF104" s="140">
        <f ca="1" xml:space="preserve"> ProjectCashflows!AF$242</f>
        <v>0</v>
      </c>
      <c r="AG104" s="140">
        <f ca="1" xml:space="preserve"> ProjectCashflows!AG$242</f>
        <v>0</v>
      </c>
      <c r="AH104" s="140">
        <f ca="1" xml:space="preserve"> ProjectCashflows!AH$242</f>
        <v>0</v>
      </c>
      <c r="AI104" s="140">
        <f ca="1" xml:space="preserve"> ProjectCashflows!AI$242</f>
        <v>0</v>
      </c>
      <c r="AJ104" s="140">
        <f ca="1" xml:space="preserve"> ProjectCashflows!AJ$242</f>
        <v>0</v>
      </c>
      <c r="AK104" s="140">
        <f ca="1" xml:space="preserve"> ProjectCashflows!AK$242</f>
        <v>0</v>
      </c>
      <c r="AL104" s="140">
        <f ca="1" xml:space="preserve"> ProjectCashflows!AL$242</f>
        <v>426.72161916027648</v>
      </c>
      <c r="AM104" s="140">
        <f ca="1" xml:space="preserve"> ProjectCashflows!AM$242</f>
        <v>0</v>
      </c>
      <c r="AN104" s="140">
        <f ca="1" xml:space="preserve"> ProjectCashflows!AN$242</f>
        <v>0</v>
      </c>
      <c r="AO104" s="140">
        <f ca="1" xml:space="preserve"> ProjectCashflows!AO$242</f>
        <v>0</v>
      </c>
      <c r="AP104" s="140">
        <f ca="1" xml:space="preserve"> ProjectCashflows!AP$242</f>
        <v>461.89720394635549</v>
      </c>
      <c r="AQ104" s="140">
        <f ca="1" xml:space="preserve"> ProjectCashflows!AQ$242</f>
        <v>471.1351480252826</v>
      </c>
      <c r="AR104" s="140">
        <f ca="1" xml:space="preserve"> ProjectCashflows!AR$242</f>
        <v>0</v>
      </c>
      <c r="AS104" s="140">
        <f ca="1" xml:space="preserve"> ProjectCashflows!AS$242</f>
        <v>0</v>
      </c>
      <c r="AT104" s="140">
        <f ca="1" xml:space="preserve"> ProjectCashflows!AT$242</f>
        <v>0</v>
      </c>
      <c r="AU104" s="140">
        <f ca="1" xml:space="preserve"> ProjectCashflows!AU$242</f>
        <v>0</v>
      </c>
      <c r="AV104" s="140">
        <f ca="1" xml:space="preserve"> ProjectCashflows!AV$242</f>
        <v>0</v>
      </c>
      <c r="AW104" s="140">
        <f ca="1" xml:space="preserve"> ProjectCashflows!AW$242</f>
        <v>0</v>
      </c>
      <c r="AX104" s="140">
        <f ca="1" xml:space="preserve"> ProjectCashflows!AX$242</f>
        <v>0</v>
      </c>
    </row>
    <row r="105" spans="1:50" ht="15" customHeight="1" x14ac:dyDescent="0.25">
      <c r="A105" s="106"/>
      <c r="B105" s="235"/>
      <c r="C105" s="604"/>
      <c r="D105" s="151"/>
      <c r="E105" s="89" t="str">
        <f xml:space="preserve"> Translate!E$601 &amp; ": "  &amp; E104</f>
        <v>Total: Decommissioning costs, after ELT</v>
      </c>
      <c r="F105" s="162">
        <f ca="1" xml:space="preserve"> SUM(K104:AX104)</f>
        <v>1359.7539711319146</v>
      </c>
      <c r="G105" s="89" t="str">
        <f xml:space="preserve"> G104</f>
        <v>US$ mn</v>
      </c>
      <c r="H105" s="89"/>
      <c r="I105" s="151"/>
      <c r="J105" s="89"/>
      <c r="K105" s="89"/>
      <c r="L105" s="89"/>
      <c r="M105" s="89"/>
      <c r="N105" s="89"/>
      <c r="O105" s="89"/>
      <c r="P105" s="89"/>
      <c r="Q105" s="89"/>
      <c r="R105" s="89"/>
      <c r="S105" s="89"/>
      <c r="T105" s="89"/>
      <c r="U105" s="89"/>
      <c r="V105" s="89"/>
      <c r="W105" s="89"/>
      <c r="X105" s="89"/>
      <c r="Y105" s="89"/>
      <c r="Z105" s="89"/>
      <c r="AA105" s="89"/>
      <c r="AB105" s="89"/>
      <c r="AC105" s="89"/>
      <c r="AD105" s="89"/>
      <c r="AE105" s="89"/>
      <c r="AF105" s="89"/>
      <c r="AG105" s="89"/>
      <c r="AH105" s="89"/>
      <c r="AI105" s="89"/>
      <c r="AJ105" s="89"/>
      <c r="AK105" s="89"/>
      <c r="AL105" s="89"/>
      <c r="AM105" s="89"/>
      <c r="AN105" s="89"/>
      <c r="AO105" s="89"/>
      <c r="AP105" s="89"/>
      <c r="AQ105" s="89"/>
      <c r="AR105" s="89"/>
      <c r="AS105" s="89"/>
      <c r="AT105" s="89"/>
      <c r="AU105" s="89"/>
      <c r="AV105" s="89"/>
      <c r="AW105" s="89"/>
      <c r="AX105" s="89"/>
    </row>
    <row r="106" spans="1:50" ht="15" customHeight="1" x14ac:dyDescent="0.25">
      <c r="A106" s="106"/>
      <c r="B106" s="235"/>
      <c r="C106" s="604"/>
      <c r="D106" s="151"/>
      <c r="E106" s="89"/>
      <c r="F106" s="563"/>
      <c r="G106" s="89"/>
      <c r="H106" s="89"/>
      <c r="J106" s="89"/>
      <c r="K106" s="89"/>
      <c r="L106" s="89"/>
      <c r="M106" s="89"/>
      <c r="N106" s="89"/>
      <c r="O106" s="89"/>
      <c r="P106" s="89"/>
      <c r="Q106" s="89"/>
      <c r="R106" s="89"/>
      <c r="S106" s="89"/>
      <c r="T106" s="89"/>
      <c r="U106" s="89"/>
      <c r="V106" s="89"/>
      <c r="W106" s="89"/>
      <c r="X106" s="89"/>
      <c r="Y106" s="89"/>
      <c r="Z106" s="89"/>
      <c r="AA106" s="89"/>
      <c r="AB106" s="89"/>
      <c r="AC106" s="89"/>
      <c r="AD106" s="89"/>
      <c r="AE106" s="89"/>
      <c r="AF106" s="89"/>
      <c r="AG106" s="89"/>
      <c r="AH106" s="89"/>
      <c r="AI106" s="89"/>
      <c r="AJ106" s="89"/>
      <c r="AK106" s="89"/>
      <c r="AL106" s="89"/>
      <c r="AM106" s="89"/>
      <c r="AN106" s="89"/>
      <c r="AO106" s="89"/>
      <c r="AP106" s="89"/>
      <c r="AQ106" s="89"/>
      <c r="AR106" s="89"/>
      <c r="AS106" s="89"/>
      <c r="AT106" s="89"/>
      <c r="AU106" s="89"/>
      <c r="AV106" s="89"/>
      <c r="AW106" s="89"/>
      <c r="AX106" s="89"/>
    </row>
    <row r="107" spans="1:50" ht="15" customHeight="1" x14ac:dyDescent="0.25">
      <c r="A107" s="106"/>
      <c r="B107" s="235"/>
      <c r="C107" s="604"/>
      <c r="D107" s="151"/>
      <c r="E107" s="401" t="str">
        <f xml:space="preserve"> FiscalModel!E$38</f>
        <v>Commencement of decommissioning provision</v>
      </c>
      <c r="F107" s="564">
        <f xml:space="preserve"> FiscalModel!F$38</f>
        <v>0.5</v>
      </c>
      <c r="G107" s="401" t="str">
        <f xml:space="preserve"> FiscalModel!G$38</f>
        <v>% depletion</v>
      </c>
      <c r="H107" s="89"/>
      <c r="I107" s="15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row>
    <row r="108" spans="1:50" s="40" customFormat="1" ht="15" customHeight="1" x14ac:dyDescent="0.25">
      <c r="A108" s="353"/>
      <c r="B108" s="235"/>
      <c r="C108" s="613"/>
      <c r="D108" s="210"/>
      <c r="E108" s="222" t="str">
        <f xml:space="preserve"> ProjectCashflows!E$180</f>
        <v>Production years, after ELT</v>
      </c>
      <c r="F108" s="533">
        <f xml:space="preserve"> ProjectCashflows!F$180</f>
        <v>0</v>
      </c>
      <c r="G108" s="222" t="str">
        <f xml:space="preserve"> ProjectCashflows!G$180</f>
        <v>Year</v>
      </c>
      <c r="H108" s="222">
        <f xml:space="preserve"> ProjectCashflows!H$180</f>
        <v>0</v>
      </c>
      <c r="I108" s="222">
        <f xml:space="preserve"> ProjectCashflows!I$180</f>
        <v>0</v>
      </c>
      <c r="J108" s="222">
        <f xml:space="preserve"> ProjectCashflows!J$180</f>
        <v>0</v>
      </c>
      <c r="K108" s="222">
        <f ca="1" xml:space="preserve"> ProjectCashflows!K$180</f>
        <v>0</v>
      </c>
      <c r="L108" s="222">
        <f ca="1" xml:space="preserve"> ProjectCashflows!L$180</f>
        <v>0</v>
      </c>
      <c r="M108" s="222">
        <f ca="1" xml:space="preserve"> ProjectCashflows!M$180</f>
        <v>0</v>
      </c>
      <c r="N108" s="222">
        <f ca="1" xml:space="preserve"> ProjectCashflows!N$180</f>
        <v>0</v>
      </c>
      <c r="O108" s="222">
        <f ca="1" xml:space="preserve"> ProjectCashflows!O$180</f>
        <v>1</v>
      </c>
      <c r="P108" s="222">
        <f ca="1" xml:space="preserve"> ProjectCashflows!P$180</f>
        <v>1</v>
      </c>
      <c r="Q108" s="222">
        <f ca="1" xml:space="preserve"> ProjectCashflows!Q$180</f>
        <v>1</v>
      </c>
      <c r="R108" s="222">
        <f ca="1" xml:space="preserve"> ProjectCashflows!R$180</f>
        <v>1</v>
      </c>
      <c r="S108" s="222">
        <f ca="1" xml:space="preserve"> ProjectCashflows!S$180</f>
        <v>1</v>
      </c>
      <c r="T108" s="222">
        <f ca="1" xml:space="preserve"> ProjectCashflows!T$180</f>
        <v>1</v>
      </c>
      <c r="U108" s="222">
        <f ca="1" xml:space="preserve"> ProjectCashflows!U$180</f>
        <v>1</v>
      </c>
      <c r="V108" s="222">
        <f ca="1" xml:space="preserve"> ProjectCashflows!V$180</f>
        <v>1</v>
      </c>
      <c r="W108" s="222">
        <f ca="1" xml:space="preserve"> ProjectCashflows!W$180</f>
        <v>1</v>
      </c>
      <c r="X108" s="222">
        <f ca="1" xml:space="preserve"> ProjectCashflows!X$180</f>
        <v>1</v>
      </c>
      <c r="Y108" s="222">
        <f ca="1" xml:space="preserve"> ProjectCashflows!Y$180</f>
        <v>1</v>
      </c>
      <c r="Z108" s="222">
        <f ca="1" xml:space="preserve"> ProjectCashflows!Z$180</f>
        <v>1</v>
      </c>
      <c r="AA108" s="222">
        <f ca="1" xml:space="preserve"> ProjectCashflows!AA$180</f>
        <v>1</v>
      </c>
      <c r="AB108" s="222">
        <f ca="1" xml:space="preserve"> ProjectCashflows!AB$180</f>
        <v>1</v>
      </c>
      <c r="AC108" s="222">
        <f ca="1" xml:space="preserve"> ProjectCashflows!AC$180</f>
        <v>1</v>
      </c>
      <c r="AD108" s="222">
        <f ca="1" xml:space="preserve"> ProjectCashflows!AD$180</f>
        <v>1</v>
      </c>
      <c r="AE108" s="222">
        <f ca="1" xml:space="preserve"> ProjectCashflows!AE$180</f>
        <v>1</v>
      </c>
      <c r="AF108" s="222">
        <f ca="1" xml:space="preserve"> ProjectCashflows!AF$180</f>
        <v>1</v>
      </c>
      <c r="AG108" s="222">
        <f ca="1" xml:space="preserve"> ProjectCashflows!AG$180</f>
        <v>1</v>
      </c>
      <c r="AH108" s="222">
        <f ca="1" xml:space="preserve"> ProjectCashflows!AH$180</f>
        <v>1</v>
      </c>
      <c r="AI108" s="222">
        <f ca="1" xml:space="preserve"> ProjectCashflows!AI$180</f>
        <v>1</v>
      </c>
      <c r="AJ108" s="222">
        <f ca="1" xml:space="preserve"> ProjectCashflows!AJ$180</f>
        <v>1</v>
      </c>
      <c r="AK108" s="222">
        <f ca="1" xml:space="preserve"> ProjectCashflows!AK$180</f>
        <v>1</v>
      </c>
      <c r="AL108" s="222">
        <f ca="1" xml:space="preserve"> ProjectCashflows!AL$180</f>
        <v>1</v>
      </c>
      <c r="AM108" s="222">
        <f ca="1" xml:space="preserve"> ProjectCashflows!AM$180</f>
        <v>1</v>
      </c>
      <c r="AN108" s="222">
        <f ca="1" xml:space="preserve"> ProjectCashflows!AN$180</f>
        <v>1</v>
      </c>
      <c r="AO108" s="222">
        <f ca="1" xml:space="preserve"> ProjectCashflows!AO$180</f>
        <v>1</v>
      </c>
      <c r="AP108" s="222">
        <f ca="1" xml:space="preserve"> ProjectCashflows!AP$180</f>
        <v>0</v>
      </c>
      <c r="AQ108" s="222">
        <f ca="1" xml:space="preserve"> ProjectCashflows!AQ$180</f>
        <v>0</v>
      </c>
      <c r="AR108" s="222">
        <f ca="1" xml:space="preserve"> ProjectCashflows!AR$180</f>
        <v>0</v>
      </c>
      <c r="AS108" s="222">
        <f ca="1" xml:space="preserve"> ProjectCashflows!AS$180</f>
        <v>0</v>
      </c>
      <c r="AT108" s="222">
        <f ca="1" xml:space="preserve"> ProjectCashflows!AT$180</f>
        <v>0</v>
      </c>
      <c r="AU108" s="222">
        <f ca="1" xml:space="preserve"> ProjectCashflows!AU$180</f>
        <v>0</v>
      </c>
      <c r="AV108" s="222">
        <f ca="1" xml:space="preserve"> ProjectCashflows!AV$180</f>
        <v>0</v>
      </c>
      <c r="AW108" s="222">
        <f ca="1" xml:space="preserve"> ProjectCashflows!AW$180</f>
        <v>0</v>
      </c>
      <c r="AX108" s="222">
        <f ca="1" xml:space="preserve"> ProjectCashflows!AX$180</f>
        <v>0</v>
      </c>
    </row>
    <row r="109" spans="1:50" s="422" customFormat="1" ht="15" customHeight="1" x14ac:dyDescent="0.25">
      <c r="A109" s="421"/>
      <c r="B109" s="102"/>
      <c r="C109" s="614"/>
      <c r="D109" s="535"/>
      <c r="E109" s="415" t="str">
        <f>Translate!E223</f>
        <v>Decommissioning period</v>
      </c>
      <c r="F109" s="535"/>
      <c r="G109" s="415" t="str">
        <f>Translate!$E$405</f>
        <v>Flag</v>
      </c>
      <c r="H109" s="415"/>
      <c r="I109" s="415">
        <f ca="1" xml:space="preserve"> SUM(K109:AX109)</f>
        <v>19</v>
      </c>
      <c r="J109" s="421"/>
      <c r="K109" s="415">
        <f ca="1" xml:space="preserve"> AND( K102 &gt;= $F107, K108 = 1) * 1 * (SUM(L104:$AX104) &gt; 0)</f>
        <v>0</v>
      </c>
      <c r="L109" s="415">
        <f ca="1" xml:space="preserve"> AND( L102 &gt;= $F107, L108 = 1) * 1 * (SUM(M104:$AX104) &gt; 0)</f>
        <v>0</v>
      </c>
      <c r="M109" s="415">
        <f ca="1" xml:space="preserve"> AND( M102 &gt;= $F107, M108 = 1) * 1 * (SUM(N104:$AX104) &gt; 0)</f>
        <v>0</v>
      </c>
      <c r="N109" s="415">
        <f ca="1" xml:space="preserve"> AND( N102 &gt;= $F107, N108 = 1) * 1 * (SUM(O104:$AX104) &gt; 0)</f>
        <v>0</v>
      </c>
      <c r="O109" s="415">
        <f ca="1" xml:space="preserve"> AND( O102 &gt;= $F107, O108 = 1) * 1 * (SUM(P104:$AX104) &gt; 0)</f>
        <v>0</v>
      </c>
      <c r="P109" s="415">
        <f ca="1" xml:space="preserve"> AND( P102 &gt;= $F107, P108 = 1) * 1 * (SUM(Q104:$AX104) &gt; 0)</f>
        <v>0</v>
      </c>
      <c r="Q109" s="415">
        <f ca="1" xml:space="preserve"> AND( Q102 &gt;= $F107, Q108 = 1) * 1 * (SUM(R104:$AX104) &gt; 0)</f>
        <v>0</v>
      </c>
      <c r="R109" s="415">
        <f ca="1" xml:space="preserve"> AND( R102 &gt;= $F107, R108 = 1) * 1 * (SUM(S104:$AX104) &gt; 0)</f>
        <v>0</v>
      </c>
      <c r="S109" s="415">
        <f ca="1" xml:space="preserve"> AND( S102 &gt;= $F107, S108 = 1) * 1 * (SUM(T104:$AX104) &gt; 0)</f>
        <v>0</v>
      </c>
      <c r="T109" s="415">
        <f ca="1" xml:space="preserve"> AND( T102 &gt;= $F107, T108 = 1) * 1 * (SUM(U104:$AX104) &gt; 0)</f>
        <v>0</v>
      </c>
      <c r="U109" s="415">
        <f ca="1" xml:space="preserve"> AND( U102 &gt;= $F107, U108 = 1) * 1 * (SUM(V104:$AX104) &gt; 0)</f>
        <v>0</v>
      </c>
      <c r="V109" s="415">
        <f ca="1" xml:space="preserve"> AND( V102 &gt;= $F107, V108 = 1) * 1 * (SUM(W104:$AX104) &gt; 0)</f>
        <v>0</v>
      </c>
      <c r="W109" s="415">
        <f ca="1" xml:space="preserve"> AND( W102 &gt;= $F107, W108 = 1) * 1 * (SUM(X104:$AX104) &gt; 0)</f>
        <v>1</v>
      </c>
      <c r="X109" s="415">
        <f ca="1" xml:space="preserve"> AND( X102 &gt;= $F107, X108 = 1) * 1 * (SUM(Y104:$AX104) &gt; 0)</f>
        <v>1</v>
      </c>
      <c r="Y109" s="415">
        <f ca="1" xml:space="preserve"> AND( Y102 &gt;= $F107, Y108 = 1) * 1 * (SUM(Z104:$AX104) &gt; 0)</f>
        <v>1</v>
      </c>
      <c r="Z109" s="415">
        <f ca="1" xml:space="preserve"> AND( Z102 &gt;= $F107, Z108 = 1) * 1 * (SUM(AA104:$AX104) &gt; 0)</f>
        <v>1</v>
      </c>
      <c r="AA109" s="415">
        <f ca="1" xml:space="preserve"> AND( AA102 &gt;= $F107, AA108 = 1) * 1 * (SUM(AB104:$AX104) &gt; 0)</f>
        <v>1</v>
      </c>
      <c r="AB109" s="415">
        <f ca="1" xml:space="preserve"> AND( AB102 &gt;= $F107, AB108 = 1) * 1 * (SUM(AC104:$AX104) &gt; 0)</f>
        <v>1</v>
      </c>
      <c r="AC109" s="415">
        <f ca="1" xml:space="preserve"> AND( AC102 &gt;= $F107, AC108 = 1) * 1 * (SUM(AD104:$AX104) &gt; 0)</f>
        <v>1</v>
      </c>
      <c r="AD109" s="415">
        <f ca="1" xml:space="preserve"> AND( AD102 &gt;= $F107, AD108 = 1) * 1 * (SUM(AE104:$AX104) &gt; 0)</f>
        <v>1</v>
      </c>
      <c r="AE109" s="415">
        <f ca="1" xml:space="preserve"> AND( AE102 &gt;= $F107, AE108 = 1) * 1 * (SUM(AF104:$AX104) &gt; 0)</f>
        <v>1</v>
      </c>
      <c r="AF109" s="415">
        <f ca="1" xml:space="preserve"> AND( AF102 &gt;= $F107, AF108 = 1) * 1 * (SUM(AG104:$AX104) &gt; 0)</f>
        <v>1</v>
      </c>
      <c r="AG109" s="415">
        <f ca="1" xml:space="preserve"> AND( AG102 &gt;= $F107, AG108 = 1) * 1 * (SUM(AH104:$AX104) &gt; 0)</f>
        <v>1</v>
      </c>
      <c r="AH109" s="415">
        <f ca="1" xml:space="preserve"> AND( AH102 &gt;= $F107, AH108 = 1) * 1 * (SUM(AI104:$AX104) &gt; 0)</f>
        <v>1</v>
      </c>
      <c r="AI109" s="415">
        <f ca="1" xml:space="preserve"> AND( AI102 &gt;= $F107, AI108 = 1) * 1 * (SUM(AJ104:$AX104) &gt; 0)</f>
        <v>1</v>
      </c>
      <c r="AJ109" s="415">
        <f ca="1" xml:space="preserve"> AND( AJ102 &gt;= $F107, AJ108 = 1) * 1 * (SUM(AK104:$AX104) &gt; 0)</f>
        <v>1</v>
      </c>
      <c r="AK109" s="415">
        <f ca="1" xml:space="preserve"> AND( AK102 &gt;= $F107, AK108 = 1) * 1 * (SUM(AL104:$AX104) &gt; 0)</f>
        <v>1</v>
      </c>
      <c r="AL109" s="415">
        <f ca="1" xml:space="preserve"> AND( AL102 &gt;= $F107, AL108 = 1) * 1 * (SUM(AM104:$AX104) &gt; 0)</f>
        <v>1</v>
      </c>
      <c r="AM109" s="415">
        <f ca="1" xml:space="preserve"> AND( AM102 &gt;= $F107, AM108 = 1) * 1 * (SUM(AN104:$AX104) &gt; 0)</f>
        <v>1</v>
      </c>
      <c r="AN109" s="415">
        <f ca="1" xml:space="preserve"> AND( AN102 &gt;= $F107, AN108 = 1) * 1 * (SUM(AO104:$AX104) &gt; 0)</f>
        <v>1</v>
      </c>
      <c r="AO109" s="415">
        <f ca="1" xml:space="preserve"> AND( AO102 &gt;= $F107, AO108 = 1) * 1 * (SUM(AP104:$AX104) &gt; 0)</f>
        <v>1</v>
      </c>
      <c r="AP109" s="415">
        <f ca="1" xml:space="preserve"> AND( AP102 &gt;= $F107, AP108 = 1) * 1 * (SUM(AQ104:$AX104) &gt; 0)</f>
        <v>0</v>
      </c>
      <c r="AQ109" s="415">
        <f ca="1" xml:space="preserve"> AND( AQ102 &gt;= $F107, AQ108 = 1) * 1 * (SUM(AR104:$AX104) &gt; 0)</f>
        <v>0</v>
      </c>
      <c r="AR109" s="415">
        <f ca="1" xml:space="preserve"> AND( AR102 &gt;= $F107, AR108 = 1) * 1 * (SUM(AS104:$AX104) &gt; 0)</f>
        <v>0</v>
      </c>
      <c r="AS109" s="415">
        <f ca="1" xml:space="preserve"> AND( AS102 &gt;= $F107, AS108 = 1) * 1 * (SUM(AT104:$AX104) &gt; 0)</f>
        <v>0</v>
      </c>
      <c r="AT109" s="415">
        <f ca="1" xml:space="preserve"> AND( AT102 &gt;= $F107, AT108 = 1) * 1 * (SUM(AU104:$AX104) &gt; 0)</f>
        <v>0</v>
      </c>
      <c r="AU109" s="415">
        <f ca="1" xml:space="preserve"> AND( AU102 &gt;= $F107, AU108 = 1) * 1 * (SUM(AV104:$AX104) &gt; 0)</f>
        <v>0</v>
      </c>
      <c r="AV109" s="415">
        <f ca="1" xml:space="preserve"> AND( AV102 &gt;= $F107, AV108 = 1) * 1 * (SUM(AW104:$AX104) &gt; 0)</f>
        <v>0</v>
      </c>
      <c r="AW109" s="415">
        <f ca="1" xml:space="preserve"> AND( AW102 &gt;= $F107, AW108 = 1) * 1 * (SUM(AX104:$AX104) &gt; 0)</f>
        <v>0</v>
      </c>
      <c r="AX109" s="415">
        <f ca="1" xml:space="preserve"> AND( AX102 &gt;= $F107, AX108 = 1) * 1 * (SUM($AX104:AX104) &gt; 0)</f>
        <v>0</v>
      </c>
    </row>
    <row r="110" spans="1:50" ht="15" customHeight="1" x14ac:dyDescent="0.25">
      <c r="A110" s="109"/>
      <c r="B110" s="235"/>
      <c r="C110" s="604"/>
      <c r="D110" s="162"/>
      <c r="E110" s="89"/>
      <c r="F110" s="162"/>
      <c r="G110" s="89"/>
      <c r="H110" s="89"/>
      <c r="I110" s="89"/>
      <c r="J110" s="109"/>
      <c r="K110" s="89"/>
      <c r="L110" s="89"/>
      <c r="M110" s="89"/>
      <c r="N110" s="89"/>
      <c r="O110" s="89"/>
      <c r="P110" s="89"/>
      <c r="Q110" s="89"/>
      <c r="R110" s="89"/>
      <c r="S110" s="89"/>
      <c r="T110" s="89"/>
      <c r="U110" s="89"/>
      <c r="V110" s="89"/>
      <c r="W110" s="89"/>
      <c r="X110" s="89"/>
      <c r="Y110" s="89"/>
      <c r="Z110" s="89"/>
      <c r="AA110" s="89"/>
      <c r="AB110" s="89"/>
      <c r="AC110" s="89"/>
      <c r="AD110" s="89"/>
      <c r="AE110" s="89"/>
      <c r="AF110" s="89"/>
      <c r="AG110" s="89"/>
      <c r="AH110" s="89"/>
      <c r="AI110" s="89"/>
      <c r="AJ110" s="89"/>
      <c r="AK110" s="89"/>
      <c r="AL110" s="89"/>
      <c r="AM110" s="89"/>
      <c r="AN110" s="89"/>
      <c r="AO110" s="89"/>
      <c r="AP110" s="89"/>
      <c r="AQ110" s="89"/>
      <c r="AR110" s="89"/>
      <c r="AS110" s="89"/>
      <c r="AT110" s="89"/>
      <c r="AU110" s="89"/>
      <c r="AV110" s="89"/>
      <c r="AW110" s="89"/>
      <c r="AX110" s="89"/>
    </row>
    <row r="111" spans="1:50" ht="15" customHeight="1" x14ac:dyDescent="0.25">
      <c r="A111" s="109"/>
      <c r="B111" s="235"/>
      <c r="C111" s="604"/>
      <c r="D111" s="162"/>
      <c r="E111" s="89" t="str">
        <f xml:space="preserve"> E109 &amp; ": " &amp; Translate!E$811</f>
        <v>Decommissioning period: cumulative</v>
      </c>
      <c r="F111" s="162"/>
      <c r="G111" s="89" t="str">
        <f xml:space="preserve"> Translate!E$608</f>
        <v>Year</v>
      </c>
      <c r="H111" s="89"/>
      <c r="I111" s="89"/>
      <c r="J111" s="109"/>
      <c r="K111" s="109">
        <f t="shared" ref="K111:AX111" ca="1" si="3" xml:space="preserve"> J111 + K109</f>
        <v>0</v>
      </c>
      <c r="L111" s="109">
        <f t="shared" ca="1" si="3"/>
        <v>0</v>
      </c>
      <c r="M111" s="109">
        <f t="shared" ca="1" si="3"/>
        <v>0</v>
      </c>
      <c r="N111" s="109">
        <f t="shared" ca="1" si="3"/>
        <v>0</v>
      </c>
      <c r="O111" s="109">
        <f t="shared" ca="1" si="3"/>
        <v>0</v>
      </c>
      <c r="P111" s="109">
        <f t="shared" ca="1" si="3"/>
        <v>0</v>
      </c>
      <c r="Q111" s="109">
        <f t="shared" ca="1" si="3"/>
        <v>0</v>
      </c>
      <c r="R111" s="109">
        <f t="shared" ca="1" si="3"/>
        <v>0</v>
      </c>
      <c r="S111" s="109">
        <f t="shared" ca="1" si="3"/>
        <v>0</v>
      </c>
      <c r="T111" s="109">
        <f t="shared" ca="1" si="3"/>
        <v>0</v>
      </c>
      <c r="U111" s="109">
        <f t="shared" ca="1" si="3"/>
        <v>0</v>
      </c>
      <c r="V111" s="109">
        <f t="shared" ca="1" si="3"/>
        <v>0</v>
      </c>
      <c r="W111" s="109">
        <f t="shared" ca="1" si="3"/>
        <v>1</v>
      </c>
      <c r="X111" s="109">
        <f t="shared" ca="1" si="3"/>
        <v>2</v>
      </c>
      <c r="Y111" s="109">
        <f t="shared" ca="1" si="3"/>
        <v>3</v>
      </c>
      <c r="Z111" s="109">
        <f t="shared" ca="1" si="3"/>
        <v>4</v>
      </c>
      <c r="AA111" s="109">
        <f t="shared" ca="1" si="3"/>
        <v>5</v>
      </c>
      <c r="AB111" s="109">
        <f t="shared" ca="1" si="3"/>
        <v>6</v>
      </c>
      <c r="AC111" s="109">
        <f t="shared" ca="1" si="3"/>
        <v>7</v>
      </c>
      <c r="AD111" s="109">
        <f t="shared" ca="1" si="3"/>
        <v>8</v>
      </c>
      <c r="AE111" s="109">
        <f t="shared" ca="1" si="3"/>
        <v>9</v>
      </c>
      <c r="AF111" s="109">
        <f t="shared" ca="1" si="3"/>
        <v>10</v>
      </c>
      <c r="AG111" s="109">
        <f t="shared" ca="1" si="3"/>
        <v>11</v>
      </c>
      <c r="AH111" s="109">
        <f t="shared" ca="1" si="3"/>
        <v>12</v>
      </c>
      <c r="AI111" s="109">
        <f t="shared" ca="1" si="3"/>
        <v>13</v>
      </c>
      <c r="AJ111" s="109">
        <f t="shared" ca="1" si="3"/>
        <v>14</v>
      </c>
      <c r="AK111" s="109">
        <f t="shared" ca="1" si="3"/>
        <v>15</v>
      </c>
      <c r="AL111" s="109">
        <f t="shared" ca="1" si="3"/>
        <v>16</v>
      </c>
      <c r="AM111" s="109">
        <f t="shared" ca="1" si="3"/>
        <v>17</v>
      </c>
      <c r="AN111" s="109">
        <f t="shared" ca="1" si="3"/>
        <v>18</v>
      </c>
      <c r="AO111" s="109">
        <f t="shared" ca="1" si="3"/>
        <v>19</v>
      </c>
      <c r="AP111" s="109">
        <f t="shared" ca="1" si="3"/>
        <v>19</v>
      </c>
      <c r="AQ111" s="109">
        <f t="shared" ca="1" si="3"/>
        <v>19</v>
      </c>
      <c r="AR111" s="109">
        <f t="shared" ca="1" si="3"/>
        <v>19</v>
      </c>
      <c r="AS111" s="109">
        <f t="shared" ca="1" si="3"/>
        <v>19</v>
      </c>
      <c r="AT111" s="109">
        <f t="shared" ca="1" si="3"/>
        <v>19</v>
      </c>
      <c r="AU111" s="109">
        <f t="shared" ca="1" si="3"/>
        <v>19</v>
      </c>
      <c r="AV111" s="109">
        <f t="shared" ca="1" si="3"/>
        <v>19</v>
      </c>
      <c r="AW111" s="109">
        <f t="shared" ca="1" si="3"/>
        <v>19</v>
      </c>
      <c r="AX111" s="109">
        <f t="shared" ca="1" si="3"/>
        <v>19</v>
      </c>
    </row>
    <row r="112" spans="1:50" ht="15" customHeight="1" x14ac:dyDescent="0.25">
      <c r="A112" s="109"/>
      <c r="B112" s="235"/>
      <c r="C112" s="604"/>
      <c r="D112" s="162"/>
      <c r="E112" s="89" t="str">
        <f xml:space="preserve"> Translate!E$224</f>
        <v>Number of decommissioning periods</v>
      </c>
      <c r="F112" s="162">
        <f ca="1" xml:space="preserve"> SUM(K109:AX109)</f>
        <v>19</v>
      </c>
      <c r="G112" s="89" t="str">
        <f xml:space="preserve"> Translate!E$608</f>
        <v>Year</v>
      </c>
      <c r="H112" s="89"/>
      <c r="I112" s="89"/>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row>
    <row r="113" spans="1:50" ht="15" customHeight="1" x14ac:dyDescent="0.25">
      <c r="A113" s="109"/>
      <c r="B113" s="235"/>
      <c r="C113" s="604"/>
      <c r="D113" s="162"/>
      <c r="E113" s="89"/>
      <c r="F113" s="162"/>
      <c r="G113" s="89"/>
      <c r="H113" s="89"/>
      <c r="I113" s="89"/>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row>
    <row r="114" spans="1:50" ht="15" customHeight="1" x14ac:dyDescent="0.25">
      <c r="A114" s="109"/>
      <c r="B114" s="102" t="str">
        <f>Translate!$E$411</f>
        <v>Decommissioning provision required</v>
      </c>
      <c r="C114" s="604"/>
      <c r="D114" s="162"/>
      <c r="E114" s="89"/>
      <c r="F114" s="162"/>
      <c r="G114" s="89"/>
      <c r="H114" s="89"/>
      <c r="I114" s="89"/>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row>
    <row r="115" spans="1:50" ht="15" customHeight="1" x14ac:dyDescent="0.25">
      <c r="A115" s="106"/>
      <c r="B115" s="235"/>
      <c r="C115" s="604"/>
      <c r="D115" s="151"/>
      <c r="E115" s="139" t="str">
        <f xml:space="preserve"> Inputs!E$47</f>
        <v>LIBOR: nominal</v>
      </c>
      <c r="F115" s="565">
        <f xml:space="preserve"> Inputs!F$47</f>
        <v>2.0000000000000018E-2</v>
      </c>
      <c r="G115" s="139" t="str">
        <f xml:space="preserve"> Inputs!G$47</f>
        <v>%</v>
      </c>
      <c r="H115" s="89"/>
      <c r="I115" s="15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row>
    <row r="116" spans="1:50" ht="15" customHeight="1" x14ac:dyDescent="0.25">
      <c r="A116" s="106"/>
      <c r="B116" s="235"/>
      <c r="C116" s="604"/>
      <c r="D116" s="151"/>
      <c r="E116" s="73" t="str">
        <f xml:space="preserve"> Translate!E$225</f>
        <v>Decommissioning provision required (annuity basis)</v>
      </c>
      <c r="F116" s="566"/>
      <c r="G116" s="73" t="str">
        <f xml:space="preserve"> Translate!E$603</f>
        <v>US$ mn</v>
      </c>
      <c r="H116" s="89"/>
      <c r="I116" s="151"/>
      <c r="J116" s="109"/>
      <c r="K116" s="109">
        <f t="shared" ref="K116:AX116" ca="1" si="4" xml:space="preserve"> IF( K104 &gt; 0, PMT($F115, K111, 0, K104, 0) * -1, 0)</f>
        <v>0</v>
      </c>
      <c r="L116" s="109">
        <f t="shared" ca="1" si="4"/>
        <v>0</v>
      </c>
      <c r="M116" s="109">
        <f t="shared" ca="1" si="4"/>
        <v>0</v>
      </c>
      <c r="N116" s="109">
        <f t="shared" ca="1" si="4"/>
        <v>0</v>
      </c>
      <c r="O116" s="109">
        <f t="shared" ca="1" si="4"/>
        <v>0</v>
      </c>
      <c r="P116" s="109">
        <f t="shared" ca="1" si="4"/>
        <v>0</v>
      </c>
      <c r="Q116" s="109">
        <f t="shared" ca="1" si="4"/>
        <v>0</v>
      </c>
      <c r="R116" s="109">
        <f t="shared" ca="1" si="4"/>
        <v>0</v>
      </c>
      <c r="S116" s="109">
        <f t="shared" ca="1" si="4"/>
        <v>0</v>
      </c>
      <c r="T116" s="109">
        <f t="shared" ca="1" si="4"/>
        <v>0</v>
      </c>
      <c r="U116" s="109">
        <f t="shared" ca="1" si="4"/>
        <v>0</v>
      </c>
      <c r="V116" s="109">
        <f t="shared" ca="1" si="4"/>
        <v>0</v>
      </c>
      <c r="W116" s="109">
        <f t="shared" ca="1" si="4"/>
        <v>0</v>
      </c>
      <c r="X116" s="109">
        <f t="shared" ca="1" si="4"/>
        <v>0</v>
      </c>
      <c r="Y116" s="109">
        <f t="shared" ca="1" si="4"/>
        <v>0</v>
      </c>
      <c r="Z116" s="109">
        <f t="shared" ca="1" si="4"/>
        <v>0</v>
      </c>
      <c r="AA116" s="109">
        <f t="shared" ca="1" si="4"/>
        <v>0</v>
      </c>
      <c r="AB116" s="109">
        <f t="shared" ca="1" si="4"/>
        <v>0</v>
      </c>
      <c r="AC116" s="109">
        <f t="shared" ca="1" si="4"/>
        <v>0</v>
      </c>
      <c r="AD116" s="109">
        <f t="shared" ca="1" si="4"/>
        <v>0</v>
      </c>
      <c r="AE116" s="109">
        <f t="shared" ca="1" si="4"/>
        <v>0</v>
      </c>
      <c r="AF116" s="109">
        <f t="shared" ca="1" si="4"/>
        <v>0</v>
      </c>
      <c r="AG116" s="109">
        <f t="shared" ca="1" si="4"/>
        <v>0</v>
      </c>
      <c r="AH116" s="109">
        <f t="shared" ca="1" si="4"/>
        <v>0</v>
      </c>
      <c r="AI116" s="109">
        <f t="shared" ca="1" si="4"/>
        <v>0</v>
      </c>
      <c r="AJ116" s="109">
        <f t="shared" ca="1" si="4"/>
        <v>0</v>
      </c>
      <c r="AK116" s="109">
        <f t="shared" ca="1" si="4"/>
        <v>0</v>
      </c>
      <c r="AL116" s="109">
        <f t="shared" ca="1" si="4"/>
        <v>22.893668578657223</v>
      </c>
      <c r="AM116" s="109">
        <f t="shared" ca="1" si="4"/>
        <v>0</v>
      </c>
      <c r="AN116" s="109">
        <f t="shared" ca="1" si="4"/>
        <v>0</v>
      </c>
      <c r="AO116" s="109">
        <f t="shared" ca="1" si="4"/>
        <v>0</v>
      </c>
      <c r="AP116" s="109">
        <f t="shared" ca="1" si="4"/>
        <v>20.222675438974626</v>
      </c>
      <c r="AQ116" s="109">
        <f t="shared" ca="1" si="4"/>
        <v>20.62712894775412</v>
      </c>
      <c r="AR116" s="109">
        <f t="shared" ca="1" si="4"/>
        <v>0</v>
      </c>
      <c r="AS116" s="109">
        <f t="shared" ca="1" si="4"/>
        <v>0</v>
      </c>
      <c r="AT116" s="109">
        <f t="shared" ca="1" si="4"/>
        <v>0</v>
      </c>
      <c r="AU116" s="109">
        <f t="shared" ca="1" si="4"/>
        <v>0</v>
      </c>
      <c r="AV116" s="109">
        <f t="shared" ca="1" si="4"/>
        <v>0</v>
      </c>
      <c r="AW116" s="109">
        <f t="shared" ca="1" si="4"/>
        <v>0</v>
      </c>
      <c r="AX116" s="109">
        <f t="shared" ca="1" si="4"/>
        <v>0</v>
      </c>
    </row>
    <row r="117" spans="1:50" ht="15" customHeight="1" x14ac:dyDescent="0.25">
      <c r="B117" s="675"/>
      <c r="C117" s="615"/>
      <c r="D117" s="147"/>
      <c r="E117" s="532" t="str">
        <f xml:space="preserve"> FiscalModel!E$37</f>
        <v>Decommissioning fund</v>
      </c>
      <c r="F117" s="404" t="str">
        <f xml:space="preserve"> $F37</f>
        <v>yes</v>
      </c>
      <c r="G117" s="532" t="str">
        <f xml:space="preserve"> FiscalModel!G$37</f>
        <v>Switch</v>
      </c>
      <c r="H117" s="48"/>
      <c r="I117" s="48"/>
    </row>
    <row r="118" spans="1:50" ht="15" customHeight="1" x14ac:dyDescent="0.25">
      <c r="B118" s="675"/>
      <c r="C118" s="615"/>
      <c r="D118" s="147"/>
      <c r="E118" s="222" t="str">
        <f>Inputs!E$87</f>
        <v>Label: yes</v>
      </c>
      <c r="F118" s="533" t="str">
        <f>Inputs!F$87</f>
        <v>yes</v>
      </c>
      <c r="G118" s="222" t="str">
        <f>Inputs!G$87</f>
        <v>Label</v>
      </c>
      <c r="H118" s="48"/>
      <c r="I118" s="48"/>
    </row>
    <row r="119" spans="1:50" ht="15" customHeight="1" x14ac:dyDescent="0.25">
      <c r="B119" s="675"/>
      <c r="C119" s="615"/>
      <c r="D119" s="48"/>
      <c r="E119" s="222" t="str">
        <f>Inputs!E$88</f>
        <v>Label: no</v>
      </c>
      <c r="F119" s="533" t="str">
        <f>Inputs!F$88</f>
        <v>no</v>
      </c>
      <c r="G119" s="222" t="str">
        <f>Inputs!G$88</f>
        <v>Label</v>
      </c>
      <c r="H119" s="48"/>
      <c r="I119" s="48"/>
    </row>
    <row r="120" spans="1:50" s="422" customFormat="1" ht="15" customHeight="1" x14ac:dyDescent="0.25">
      <c r="A120" s="421"/>
      <c r="B120" s="102"/>
      <c r="C120" s="614"/>
      <c r="D120" s="535"/>
      <c r="E120" s="73" t="str">
        <f xml:space="preserve"> Translate!E$226</f>
        <v>Decommissioning provision for future costs (end of period)</v>
      </c>
      <c r="F120" s="567"/>
      <c r="G120" s="73" t="str">
        <f xml:space="preserve"> Translate!E$603</f>
        <v>US$ mn</v>
      </c>
      <c r="H120" s="415"/>
      <c r="I120" s="535">
        <f ca="1" xml:space="preserve"> SUM(K120:AX120)</f>
        <v>1142.4449806063619</v>
      </c>
      <c r="J120" s="421"/>
      <c r="K120" s="421">
        <f ca="1" xml:space="preserve"> SUM(K116:$AX116) * K109 * ($F117 = $F118)</f>
        <v>0</v>
      </c>
      <c r="L120" s="421">
        <f ca="1" xml:space="preserve"> SUM(L116:$AX116) * L109 * ($F117 = $F118)</f>
        <v>0</v>
      </c>
      <c r="M120" s="421">
        <f ca="1" xml:space="preserve"> SUM(M116:$AX116) * M109 * ($F117 = $F118)</f>
        <v>0</v>
      </c>
      <c r="N120" s="421">
        <f ca="1" xml:space="preserve"> SUM(N116:$AX116) * N109 * ($F117 = $F118)</f>
        <v>0</v>
      </c>
      <c r="O120" s="421">
        <f ca="1" xml:space="preserve"> SUM(O116:$AX116) * O109 * ($F117 = $F118)</f>
        <v>0</v>
      </c>
      <c r="P120" s="421">
        <f ca="1" xml:space="preserve"> SUM(P116:$AX116) * P109 * ($F117 = $F118)</f>
        <v>0</v>
      </c>
      <c r="Q120" s="421">
        <f ca="1" xml:space="preserve"> SUM(Q116:$AX116) * Q109 * ($F117 = $F118)</f>
        <v>0</v>
      </c>
      <c r="R120" s="421">
        <f ca="1" xml:space="preserve"> SUM(R116:$AX116) * R109 * ($F117 = $F118)</f>
        <v>0</v>
      </c>
      <c r="S120" s="421">
        <f ca="1" xml:space="preserve"> SUM(S116:$AX116) * S109 * ($F117 = $F118)</f>
        <v>0</v>
      </c>
      <c r="T120" s="421">
        <f ca="1" xml:space="preserve"> SUM(T116:$AX116) * T109 * ($F117 = $F118)</f>
        <v>0</v>
      </c>
      <c r="U120" s="421">
        <f ca="1" xml:space="preserve"> SUM(U116:$AX116) * U109 * ($F117 = $F118)</f>
        <v>0</v>
      </c>
      <c r="V120" s="421">
        <f ca="1" xml:space="preserve"> SUM(V116:$AX116) * V109 * ($F117 = $F118)</f>
        <v>0</v>
      </c>
      <c r="W120" s="421">
        <f ca="1" xml:space="preserve"> SUM(W116:$AX116) * W109 * ($F117 = $F118)</f>
        <v>63.743472965385962</v>
      </c>
      <c r="X120" s="421">
        <f ca="1" xml:space="preserve"> SUM(X116:$AX116) * X109 * ($F117 = $F118)</f>
        <v>63.743472965385962</v>
      </c>
      <c r="Y120" s="421">
        <f ca="1" xml:space="preserve"> SUM(Y116:$AX116) * Y109 * ($F117 = $F118)</f>
        <v>63.743472965385962</v>
      </c>
      <c r="Z120" s="421">
        <f ca="1" xml:space="preserve"> SUM(Z116:$AX116) * Z109 * ($F117 = $F118)</f>
        <v>63.743472965385962</v>
      </c>
      <c r="AA120" s="421">
        <f ca="1" xml:space="preserve"> SUM(AA116:$AX116) * AA109 * ($F117 = $F118)</f>
        <v>63.743472965385962</v>
      </c>
      <c r="AB120" s="421">
        <f ca="1" xml:space="preserve"> SUM(AB116:$AX116) * AB109 * ($F117 = $F118)</f>
        <v>63.743472965385962</v>
      </c>
      <c r="AC120" s="421">
        <f ca="1" xml:space="preserve"> SUM(AC116:$AX116) * AC109 * ($F117 = $F118)</f>
        <v>63.743472965385962</v>
      </c>
      <c r="AD120" s="421">
        <f ca="1" xml:space="preserve"> SUM(AD116:$AX116) * AD109 * ($F117 = $F118)</f>
        <v>63.743472965385962</v>
      </c>
      <c r="AE120" s="421">
        <f ca="1" xml:space="preserve"> SUM(AE116:$AX116) * AE109 * ($F117 = $F118)</f>
        <v>63.743472965385962</v>
      </c>
      <c r="AF120" s="421">
        <f ca="1" xml:space="preserve"> SUM(AF116:$AX116) * AF109 * ($F117 = $F118)</f>
        <v>63.743472965385962</v>
      </c>
      <c r="AG120" s="421">
        <f ca="1" xml:space="preserve"> SUM(AG116:$AX116) * AG109 * ($F117 = $F118)</f>
        <v>63.743472965385962</v>
      </c>
      <c r="AH120" s="421">
        <f ca="1" xml:space="preserve"> SUM(AH116:$AX116) * AH109 * ($F117 = $F118)</f>
        <v>63.743472965385962</v>
      </c>
      <c r="AI120" s="421">
        <f ca="1" xml:space="preserve"> SUM(AI116:$AX116) * AI109 * ($F117 = $F118)</f>
        <v>63.743472965385962</v>
      </c>
      <c r="AJ120" s="421">
        <f ca="1" xml:space="preserve"> SUM(AJ116:$AX116) * AJ109 * ($F117 = $F118)</f>
        <v>63.743472965385962</v>
      </c>
      <c r="AK120" s="421">
        <f ca="1" xml:space="preserve"> SUM(AK116:$AX116) * AK109 * ($F117 = $F118)</f>
        <v>63.743472965385962</v>
      </c>
      <c r="AL120" s="421">
        <f ca="1" xml:space="preserve"> SUM(AL116:$AX116) * AL109 * ($F117 = $F118)</f>
        <v>63.743472965385962</v>
      </c>
      <c r="AM120" s="421">
        <f ca="1" xml:space="preserve"> SUM(AM116:$AX116) * AM109 * ($F117 = $F118)</f>
        <v>40.849804386728749</v>
      </c>
      <c r="AN120" s="421">
        <f ca="1" xml:space="preserve"> SUM(AN116:$AX116) * AN109 * ($F117 = $F118)</f>
        <v>40.849804386728749</v>
      </c>
      <c r="AO120" s="421">
        <f ca="1" xml:space="preserve"> SUM(AO116:$AX116) * AO109 * ($F117 = $F118)</f>
        <v>40.849804386728749</v>
      </c>
      <c r="AP120" s="421">
        <f ca="1" xml:space="preserve"> SUM(AP116:$AX116) * AP109 * ($F117 = $F118)</f>
        <v>0</v>
      </c>
      <c r="AQ120" s="421">
        <f ca="1" xml:space="preserve"> SUM(AQ116:$AX116) * AQ109 * ($F117 = $F118)</f>
        <v>0</v>
      </c>
      <c r="AR120" s="421">
        <f ca="1" xml:space="preserve"> SUM(AR116:$AX116) * AR109 * ($F117 = $F118)</f>
        <v>0</v>
      </c>
      <c r="AS120" s="421">
        <f ca="1" xml:space="preserve"> SUM(AS116:$AX116) * AS109 * ($F117 = $F118)</f>
        <v>0</v>
      </c>
      <c r="AT120" s="421">
        <f ca="1" xml:space="preserve"> SUM(AT116:$AX116) * AT109 * ($F117 = $F118)</f>
        <v>0</v>
      </c>
      <c r="AU120" s="421">
        <f ca="1" xml:space="preserve"> SUM(AU116:$AX116) * AU109 * ($F117 = $F118)</f>
        <v>0</v>
      </c>
      <c r="AV120" s="421">
        <f ca="1" xml:space="preserve"> SUM(AV116:$AX116) * AV109 * ($F117 = $F118)</f>
        <v>0</v>
      </c>
      <c r="AW120" s="421">
        <f ca="1" xml:space="preserve"> SUM(AW116:$AX116) * AW109 * ($F117 = $F118)</f>
        <v>0</v>
      </c>
      <c r="AX120" s="421">
        <f ca="1" xml:space="preserve"> SUM(AX116:$AX116) * AX109 * ($F117 = $F118)</f>
        <v>0</v>
      </c>
    </row>
    <row r="121" spans="1:50" ht="15" customHeight="1" x14ac:dyDescent="0.25">
      <c r="A121" s="106"/>
      <c r="B121" s="235"/>
      <c r="C121" s="604"/>
      <c r="D121" s="151"/>
      <c r="E121" s="847"/>
      <c r="F121" s="566"/>
      <c r="G121" s="847"/>
      <c r="H121" s="89"/>
      <c r="I121" s="15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row>
    <row r="122" spans="1:50" ht="15" customHeight="1" x14ac:dyDescent="0.25">
      <c r="A122" s="106"/>
      <c r="B122" s="102" t="str">
        <f>Translate!$E$412</f>
        <v>Decommissioning fund transactions</v>
      </c>
      <c r="C122" s="604"/>
      <c r="D122" s="151"/>
      <c r="E122" s="847"/>
      <c r="F122" s="566"/>
      <c r="G122" s="847"/>
      <c r="H122" s="89"/>
      <c r="I122" s="15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row>
    <row r="123" spans="1:50" ht="15" customHeight="1" x14ac:dyDescent="0.25">
      <c r="A123" s="106"/>
      <c r="B123" s="235"/>
      <c r="C123" s="604" t="str">
        <f>Translate!$E$482</f>
        <v>Withdrawals</v>
      </c>
      <c r="D123" s="151"/>
      <c r="E123" s="847"/>
      <c r="F123" s="566"/>
      <c r="G123" s="847"/>
      <c r="H123" s="89"/>
      <c r="I123" s="15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row>
    <row r="124" spans="1:50" ht="15" customHeight="1" x14ac:dyDescent="0.25">
      <c r="A124" s="106"/>
      <c r="B124" s="235"/>
      <c r="C124" s="604"/>
      <c r="D124" s="151"/>
      <c r="E124" s="154" t="str">
        <f xml:space="preserve"> E$133</f>
        <v>Decommissioning fund opening balance: BEG</v>
      </c>
      <c r="F124" s="568">
        <f t="shared" ref="F124:AX124" si="5" xml:space="preserve"> F$133</f>
        <v>0</v>
      </c>
      <c r="G124" s="154" t="str">
        <f t="shared" si="5"/>
        <v>US$ mn</v>
      </c>
      <c r="H124" s="154">
        <f t="shared" si="5"/>
        <v>0</v>
      </c>
      <c r="I124" s="154">
        <f t="shared" si="5"/>
        <v>0</v>
      </c>
      <c r="J124" s="154">
        <f t="shared" si="5"/>
        <v>0</v>
      </c>
      <c r="K124" s="154">
        <f t="shared" si="5"/>
        <v>0</v>
      </c>
      <c r="L124" s="154">
        <f t="shared" ca="1" si="5"/>
        <v>0</v>
      </c>
      <c r="M124" s="154">
        <f t="shared" ca="1" si="5"/>
        <v>0</v>
      </c>
      <c r="N124" s="154">
        <f t="shared" ca="1" si="5"/>
        <v>0</v>
      </c>
      <c r="O124" s="154">
        <f t="shared" ca="1" si="5"/>
        <v>0</v>
      </c>
      <c r="P124" s="154">
        <f t="shared" ca="1" si="5"/>
        <v>0</v>
      </c>
      <c r="Q124" s="154">
        <f t="shared" ca="1" si="5"/>
        <v>0</v>
      </c>
      <c r="R124" s="154">
        <f t="shared" ca="1" si="5"/>
        <v>0</v>
      </c>
      <c r="S124" s="154">
        <f t="shared" ca="1" si="5"/>
        <v>0</v>
      </c>
      <c r="T124" s="154">
        <f t="shared" ca="1" si="5"/>
        <v>0</v>
      </c>
      <c r="U124" s="154">
        <f t="shared" ca="1" si="5"/>
        <v>0</v>
      </c>
      <c r="V124" s="154">
        <f t="shared" ca="1" si="5"/>
        <v>0</v>
      </c>
      <c r="W124" s="154">
        <f t="shared" ca="1" si="5"/>
        <v>0</v>
      </c>
      <c r="X124" s="154">
        <f t="shared" ca="1" si="5"/>
        <v>63.743472965385962</v>
      </c>
      <c r="Y124" s="154">
        <f t="shared" ca="1" si="5"/>
        <v>128.76181539007965</v>
      </c>
      <c r="Z124" s="154">
        <f t="shared" ca="1" si="5"/>
        <v>195.0805246632672</v>
      </c>
      <c r="AA124" s="154">
        <f t="shared" ca="1" si="5"/>
        <v>262.72560812191853</v>
      </c>
      <c r="AB124" s="154">
        <f t="shared" ca="1" si="5"/>
        <v>331.72359324974286</v>
      </c>
      <c r="AC124" s="154">
        <f t="shared" ca="1" si="5"/>
        <v>402.10153808012365</v>
      </c>
      <c r="AD124" s="154">
        <f t="shared" ca="1" si="5"/>
        <v>473.88704180711204</v>
      </c>
      <c r="AE124" s="154">
        <f t="shared" ca="1" si="5"/>
        <v>547.10825560864021</v>
      </c>
      <c r="AF124" s="154">
        <f t="shared" ca="1" si="5"/>
        <v>621.793893686199</v>
      </c>
      <c r="AG124" s="154">
        <f t="shared" ca="1" si="5"/>
        <v>697.97324452530893</v>
      </c>
      <c r="AH124" s="154">
        <f t="shared" ca="1" si="5"/>
        <v>775.6761823812011</v>
      </c>
      <c r="AI124" s="154">
        <f t="shared" ca="1" si="5"/>
        <v>854.93317899421118</v>
      </c>
      <c r="AJ124" s="154">
        <f t="shared" ca="1" si="5"/>
        <v>935.77531553948143</v>
      </c>
      <c r="AK124" s="154">
        <f t="shared" ca="1" si="5"/>
        <v>1018.2342948156571</v>
      </c>
      <c r="AL124" s="154">
        <f t="shared" ca="1" si="5"/>
        <v>1102.3424536773562</v>
      </c>
      <c r="AM124" s="154">
        <f t="shared" ca="1" si="5"/>
        <v>761.41115655601266</v>
      </c>
      <c r="AN124" s="154">
        <f t="shared" ca="1" si="5"/>
        <v>817.48918407386168</v>
      </c>
      <c r="AO124" s="154">
        <f t="shared" ca="1" si="5"/>
        <v>874.68877214206759</v>
      </c>
      <c r="AP124" s="154">
        <f t="shared" ca="1" si="5"/>
        <v>933.03235197163781</v>
      </c>
      <c r="AQ124" s="154">
        <f t="shared" ca="1" si="5"/>
        <v>471.13514802528232</v>
      </c>
      <c r="AR124" s="154">
        <f t="shared" ca="1" si="5"/>
        <v>0</v>
      </c>
      <c r="AS124" s="154">
        <f t="shared" ca="1" si="5"/>
        <v>0</v>
      </c>
      <c r="AT124" s="154">
        <f t="shared" ca="1" si="5"/>
        <v>0</v>
      </c>
      <c r="AU124" s="154">
        <f t="shared" ca="1" si="5"/>
        <v>0</v>
      </c>
      <c r="AV124" s="154">
        <f t="shared" ca="1" si="5"/>
        <v>0</v>
      </c>
      <c r="AW124" s="154">
        <f t="shared" ca="1" si="5"/>
        <v>0</v>
      </c>
      <c r="AX124" s="154">
        <f t="shared" ca="1" si="5"/>
        <v>0</v>
      </c>
    </row>
    <row r="125" spans="1:50" ht="15" customHeight="1" x14ac:dyDescent="0.25">
      <c r="A125" s="106"/>
      <c r="B125" s="235"/>
      <c r="C125" s="604"/>
      <c r="D125" s="151"/>
      <c r="E125" s="847" t="str">
        <f xml:space="preserve"> Translate!E$227</f>
        <v>Withdrawals to meet decommissioning costs (end of period)</v>
      </c>
      <c r="F125" s="566"/>
      <c r="G125" s="847" t="str">
        <f xml:space="preserve"> G124</f>
        <v>US$ mn</v>
      </c>
      <c r="H125" s="89"/>
      <c r="I125" s="151">
        <f ca="1" xml:space="preserve"> SUM(K125:AX125)</f>
        <v>1359.7539711319141</v>
      </c>
      <c r="J125" s="109"/>
      <c r="K125" s="109">
        <f t="shared" ref="K125:AX125" ca="1" si="6" xml:space="preserve"> MIN(K124, K104)</f>
        <v>0</v>
      </c>
      <c r="L125" s="109">
        <f t="shared" ca="1" si="6"/>
        <v>0</v>
      </c>
      <c r="M125" s="109">
        <f t="shared" ca="1" si="6"/>
        <v>0</v>
      </c>
      <c r="N125" s="109">
        <f t="shared" ca="1" si="6"/>
        <v>0</v>
      </c>
      <c r="O125" s="109">
        <f t="shared" ca="1" si="6"/>
        <v>0</v>
      </c>
      <c r="P125" s="109">
        <f t="shared" ca="1" si="6"/>
        <v>0</v>
      </c>
      <c r="Q125" s="109">
        <f t="shared" ca="1" si="6"/>
        <v>0</v>
      </c>
      <c r="R125" s="109">
        <f t="shared" ca="1" si="6"/>
        <v>0</v>
      </c>
      <c r="S125" s="109">
        <f t="shared" ca="1" si="6"/>
        <v>0</v>
      </c>
      <c r="T125" s="109">
        <f t="shared" ca="1" si="6"/>
        <v>0</v>
      </c>
      <c r="U125" s="109">
        <f t="shared" ca="1" si="6"/>
        <v>0</v>
      </c>
      <c r="V125" s="109">
        <f t="shared" ca="1" si="6"/>
        <v>0</v>
      </c>
      <c r="W125" s="109">
        <f t="shared" ca="1" si="6"/>
        <v>0</v>
      </c>
      <c r="X125" s="109">
        <f t="shared" ca="1" si="6"/>
        <v>0</v>
      </c>
      <c r="Y125" s="109">
        <f t="shared" ca="1" si="6"/>
        <v>0</v>
      </c>
      <c r="Z125" s="109">
        <f t="shared" ca="1" si="6"/>
        <v>0</v>
      </c>
      <c r="AA125" s="109">
        <f t="shared" ca="1" si="6"/>
        <v>0</v>
      </c>
      <c r="AB125" s="109">
        <f t="shared" ca="1" si="6"/>
        <v>0</v>
      </c>
      <c r="AC125" s="109">
        <f t="shared" ca="1" si="6"/>
        <v>0</v>
      </c>
      <c r="AD125" s="109">
        <f t="shared" ca="1" si="6"/>
        <v>0</v>
      </c>
      <c r="AE125" s="109">
        <f t="shared" ca="1" si="6"/>
        <v>0</v>
      </c>
      <c r="AF125" s="109">
        <f t="shared" ca="1" si="6"/>
        <v>0</v>
      </c>
      <c r="AG125" s="109">
        <f t="shared" ca="1" si="6"/>
        <v>0</v>
      </c>
      <c r="AH125" s="109">
        <f t="shared" ca="1" si="6"/>
        <v>0</v>
      </c>
      <c r="AI125" s="109">
        <f t="shared" ca="1" si="6"/>
        <v>0</v>
      </c>
      <c r="AJ125" s="109">
        <f t="shared" ca="1" si="6"/>
        <v>0</v>
      </c>
      <c r="AK125" s="109">
        <f t="shared" ca="1" si="6"/>
        <v>0</v>
      </c>
      <c r="AL125" s="109">
        <f t="shared" ca="1" si="6"/>
        <v>426.72161916027648</v>
      </c>
      <c r="AM125" s="109">
        <f t="shared" ca="1" si="6"/>
        <v>0</v>
      </c>
      <c r="AN125" s="109">
        <f t="shared" ca="1" si="6"/>
        <v>0</v>
      </c>
      <c r="AO125" s="109">
        <f t="shared" ca="1" si="6"/>
        <v>0</v>
      </c>
      <c r="AP125" s="109">
        <f t="shared" ca="1" si="6"/>
        <v>461.89720394635549</v>
      </c>
      <c r="AQ125" s="109">
        <f t="shared" ca="1" si="6"/>
        <v>471.13514802528232</v>
      </c>
      <c r="AR125" s="109">
        <f t="shared" ca="1" si="6"/>
        <v>0</v>
      </c>
      <c r="AS125" s="109">
        <f t="shared" ca="1" si="6"/>
        <v>0</v>
      </c>
      <c r="AT125" s="109">
        <f t="shared" ca="1" si="6"/>
        <v>0</v>
      </c>
      <c r="AU125" s="109">
        <f t="shared" ca="1" si="6"/>
        <v>0</v>
      </c>
      <c r="AV125" s="109">
        <f t="shared" ca="1" si="6"/>
        <v>0</v>
      </c>
      <c r="AW125" s="109">
        <f t="shared" ca="1" si="6"/>
        <v>0</v>
      </c>
      <c r="AX125" s="109">
        <f t="shared" ca="1" si="6"/>
        <v>0</v>
      </c>
    </row>
    <row r="126" spans="1:50" ht="15" customHeight="1" x14ac:dyDescent="0.25">
      <c r="A126" s="106"/>
      <c r="B126" s="235"/>
      <c r="C126" s="604"/>
      <c r="D126" s="151"/>
      <c r="E126" s="847"/>
      <c r="F126" s="566"/>
      <c r="G126" s="847"/>
      <c r="H126" s="89"/>
      <c r="I126" s="15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row>
    <row r="127" spans="1:50" ht="15" customHeight="1" x14ac:dyDescent="0.25">
      <c r="A127" s="106"/>
      <c r="B127" s="235"/>
      <c r="C127" s="604" t="str">
        <f>Translate!$E$483</f>
        <v>Interest earned on fund</v>
      </c>
      <c r="D127" s="151"/>
      <c r="E127" s="847"/>
      <c r="F127" s="566"/>
      <c r="G127" s="847"/>
      <c r="H127" s="89"/>
      <c r="I127" s="15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row>
    <row r="128" spans="1:50" ht="15" customHeight="1" x14ac:dyDescent="0.25">
      <c r="A128" s="106"/>
      <c r="B128" s="235"/>
      <c r="C128" s="604"/>
      <c r="D128" s="151"/>
      <c r="E128" s="154" t="str">
        <f xml:space="preserve"> E$133</f>
        <v>Decommissioning fund opening balance: BEG</v>
      </c>
      <c r="F128" s="568">
        <f t="shared" ref="F128:AX128" si="7" xml:space="preserve"> F$133</f>
        <v>0</v>
      </c>
      <c r="G128" s="154" t="str">
        <f t="shared" si="7"/>
        <v>US$ mn</v>
      </c>
      <c r="H128" s="154">
        <f t="shared" si="7"/>
        <v>0</v>
      </c>
      <c r="I128" s="154">
        <f t="shared" si="7"/>
        <v>0</v>
      </c>
      <c r="J128" s="154">
        <f t="shared" si="7"/>
        <v>0</v>
      </c>
      <c r="K128" s="154">
        <f t="shared" si="7"/>
        <v>0</v>
      </c>
      <c r="L128" s="154">
        <f t="shared" ca="1" si="7"/>
        <v>0</v>
      </c>
      <c r="M128" s="154">
        <f t="shared" ca="1" si="7"/>
        <v>0</v>
      </c>
      <c r="N128" s="154">
        <f t="shared" ca="1" si="7"/>
        <v>0</v>
      </c>
      <c r="O128" s="154">
        <f t="shared" ca="1" si="7"/>
        <v>0</v>
      </c>
      <c r="P128" s="154">
        <f t="shared" ca="1" si="7"/>
        <v>0</v>
      </c>
      <c r="Q128" s="154">
        <f t="shared" ca="1" si="7"/>
        <v>0</v>
      </c>
      <c r="R128" s="154">
        <f t="shared" ca="1" si="7"/>
        <v>0</v>
      </c>
      <c r="S128" s="154">
        <f t="shared" ca="1" si="7"/>
        <v>0</v>
      </c>
      <c r="T128" s="154">
        <f t="shared" ca="1" si="7"/>
        <v>0</v>
      </c>
      <c r="U128" s="154">
        <f t="shared" ca="1" si="7"/>
        <v>0</v>
      </c>
      <c r="V128" s="154">
        <f t="shared" ca="1" si="7"/>
        <v>0</v>
      </c>
      <c r="W128" s="154">
        <f t="shared" ca="1" si="7"/>
        <v>0</v>
      </c>
      <c r="X128" s="154">
        <f t="shared" ca="1" si="7"/>
        <v>63.743472965385962</v>
      </c>
      <c r="Y128" s="154">
        <f t="shared" ca="1" si="7"/>
        <v>128.76181539007965</v>
      </c>
      <c r="Z128" s="154">
        <f t="shared" ca="1" si="7"/>
        <v>195.0805246632672</v>
      </c>
      <c r="AA128" s="154">
        <f t="shared" ca="1" si="7"/>
        <v>262.72560812191853</v>
      </c>
      <c r="AB128" s="154">
        <f t="shared" ca="1" si="7"/>
        <v>331.72359324974286</v>
      </c>
      <c r="AC128" s="154">
        <f t="shared" ca="1" si="7"/>
        <v>402.10153808012365</v>
      </c>
      <c r="AD128" s="154">
        <f t="shared" ca="1" si="7"/>
        <v>473.88704180711204</v>
      </c>
      <c r="AE128" s="154">
        <f t="shared" ca="1" si="7"/>
        <v>547.10825560864021</v>
      </c>
      <c r="AF128" s="154">
        <f t="shared" ca="1" si="7"/>
        <v>621.793893686199</v>
      </c>
      <c r="AG128" s="154">
        <f t="shared" ca="1" si="7"/>
        <v>697.97324452530893</v>
      </c>
      <c r="AH128" s="154">
        <f t="shared" ca="1" si="7"/>
        <v>775.6761823812011</v>
      </c>
      <c r="AI128" s="154">
        <f t="shared" ca="1" si="7"/>
        <v>854.93317899421118</v>
      </c>
      <c r="AJ128" s="154">
        <f t="shared" ca="1" si="7"/>
        <v>935.77531553948143</v>
      </c>
      <c r="AK128" s="154">
        <f t="shared" ca="1" si="7"/>
        <v>1018.2342948156571</v>
      </c>
      <c r="AL128" s="154">
        <f t="shared" ca="1" si="7"/>
        <v>1102.3424536773562</v>
      </c>
      <c r="AM128" s="154">
        <f t="shared" ca="1" si="7"/>
        <v>761.41115655601266</v>
      </c>
      <c r="AN128" s="154">
        <f t="shared" ca="1" si="7"/>
        <v>817.48918407386168</v>
      </c>
      <c r="AO128" s="154">
        <f t="shared" ca="1" si="7"/>
        <v>874.68877214206759</v>
      </c>
      <c r="AP128" s="154">
        <f t="shared" ca="1" si="7"/>
        <v>933.03235197163781</v>
      </c>
      <c r="AQ128" s="154">
        <f t="shared" ca="1" si="7"/>
        <v>471.13514802528232</v>
      </c>
      <c r="AR128" s="154">
        <f t="shared" ca="1" si="7"/>
        <v>0</v>
      </c>
      <c r="AS128" s="154">
        <f t="shared" ca="1" si="7"/>
        <v>0</v>
      </c>
      <c r="AT128" s="154">
        <f t="shared" ca="1" si="7"/>
        <v>0</v>
      </c>
      <c r="AU128" s="154">
        <f t="shared" ca="1" si="7"/>
        <v>0</v>
      </c>
      <c r="AV128" s="154">
        <f t="shared" ca="1" si="7"/>
        <v>0</v>
      </c>
      <c r="AW128" s="154">
        <f t="shared" ca="1" si="7"/>
        <v>0</v>
      </c>
      <c r="AX128" s="154">
        <f t="shared" ca="1" si="7"/>
        <v>0</v>
      </c>
    </row>
    <row r="129" spans="1:50" ht="15" customHeight="1" x14ac:dyDescent="0.25">
      <c r="A129" s="106"/>
      <c r="B129" s="235"/>
      <c r="C129" s="604"/>
      <c r="D129" s="151"/>
      <c r="E129" s="139" t="str">
        <f xml:space="preserve"> Inputs!E$47</f>
        <v>LIBOR: nominal</v>
      </c>
      <c r="F129" s="565">
        <f xml:space="preserve"> Inputs!F$47</f>
        <v>2.0000000000000018E-2</v>
      </c>
      <c r="G129" s="139" t="str">
        <f xml:space="preserve"> Inputs!G$47</f>
        <v>%</v>
      </c>
      <c r="H129" s="89"/>
      <c r="I129" s="15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row>
    <row r="130" spans="1:50" ht="15" customHeight="1" x14ac:dyDescent="0.25">
      <c r="A130" s="106"/>
      <c r="B130" s="235"/>
      <c r="C130" s="604"/>
      <c r="D130" s="151"/>
      <c r="E130" s="45" t="str">
        <f xml:space="preserve"> E$109</f>
        <v>Decommissioning period</v>
      </c>
      <c r="F130" s="46">
        <f t="shared" ref="F130:AX130" si="8" xml:space="preserve"> F$109</f>
        <v>0</v>
      </c>
      <c r="G130" s="45" t="str">
        <f t="shared" si="8"/>
        <v>Flag</v>
      </c>
      <c r="H130" s="45">
        <f t="shared" si="8"/>
        <v>0</v>
      </c>
      <c r="I130" s="45">
        <f t="shared" ca="1" si="8"/>
        <v>19</v>
      </c>
      <c r="J130" s="45">
        <f t="shared" si="8"/>
        <v>0</v>
      </c>
      <c r="K130" s="45">
        <f t="shared" ca="1" si="8"/>
        <v>0</v>
      </c>
      <c r="L130" s="45">
        <f t="shared" ca="1" si="8"/>
        <v>0</v>
      </c>
      <c r="M130" s="45">
        <f t="shared" ca="1" si="8"/>
        <v>0</v>
      </c>
      <c r="N130" s="45">
        <f t="shared" ca="1" si="8"/>
        <v>0</v>
      </c>
      <c r="O130" s="45">
        <f t="shared" ca="1" si="8"/>
        <v>0</v>
      </c>
      <c r="P130" s="45">
        <f t="shared" ca="1" si="8"/>
        <v>0</v>
      </c>
      <c r="Q130" s="45">
        <f t="shared" ca="1" si="8"/>
        <v>0</v>
      </c>
      <c r="R130" s="45">
        <f t="shared" ca="1" si="8"/>
        <v>0</v>
      </c>
      <c r="S130" s="45">
        <f t="shared" ca="1" si="8"/>
        <v>0</v>
      </c>
      <c r="T130" s="45">
        <f t="shared" ca="1" si="8"/>
        <v>0</v>
      </c>
      <c r="U130" s="45">
        <f t="shared" ca="1" si="8"/>
        <v>0</v>
      </c>
      <c r="V130" s="45">
        <f t="shared" ca="1" si="8"/>
        <v>0</v>
      </c>
      <c r="W130" s="45">
        <f t="shared" ca="1" si="8"/>
        <v>1</v>
      </c>
      <c r="X130" s="45">
        <f t="shared" ca="1" si="8"/>
        <v>1</v>
      </c>
      <c r="Y130" s="45">
        <f t="shared" ca="1" si="8"/>
        <v>1</v>
      </c>
      <c r="Z130" s="45">
        <f t="shared" ca="1" si="8"/>
        <v>1</v>
      </c>
      <c r="AA130" s="45">
        <f t="shared" ca="1" si="8"/>
        <v>1</v>
      </c>
      <c r="AB130" s="45">
        <f t="shared" ca="1" si="8"/>
        <v>1</v>
      </c>
      <c r="AC130" s="45">
        <f t="shared" ca="1" si="8"/>
        <v>1</v>
      </c>
      <c r="AD130" s="45">
        <f t="shared" ca="1" si="8"/>
        <v>1</v>
      </c>
      <c r="AE130" s="45">
        <f t="shared" ca="1" si="8"/>
        <v>1</v>
      </c>
      <c r="AF130" s="45">
        <f t="shared" ca="1" si="8"/>
        <v>1</v>
      </c>
      <c r="AG130" s="45">
        <f t="shared" ca="1" si="8"/>
        <v>1</v>
      </c>
      <c r="AH130" s="45">
        <f t="shared" ca="1" si="8"/>
        <v>1</v>
      </c>
      <c r="AI130" s="45">
        <f t="shared" ca="1" si="8"/>
        <v>1</v>
      </c>
      <c r="AJ130" s="45">
        <f t="shared" ca="1" si="8"/>
        <v>1</v>
      </c>
      <c r="AK130" s="45">
        <f t="shared" ca="1" si="8"/>
        <v>1</v>
      </c>
      <c r="AL130" s="45">
        <f t="shared" ca="1" si="8"/>
        <v>1</v>
      </c>
      <c r="AM130" s="45">
        <f t="shared" ca="1" si="8"/>
        <v>1</v>
      </c>
      <c r="AN130" s="45">
        <f t="shared" ca="1" si="8"/>
        <v>1</v>
      </c>
      <c r="AO130" s="45">
        <f t="shared" ca="1" si="8"/>
        <v>1</v>
      </c>
      <c r="AP130" s="45">
        <f t="shared" ca="1" si="8"/>
        <v>0</v>
      </c>
      <c r="AQ130" s="45">
        <f t="shared" ca="1" si="8"/>
        <v>0</v>
      </c>
      <c r="AR130" s="45">
        <f t="shared" ca="1" si="8"/>
        <v>0</v>
      </c>
      <c r="AS130" s="45">
        <f t="shared" ca="1" si="8"/>
        <v>0</v>
      </c>
      <c r="AT130" s="45">
        <f t="shared" ca="1" si="8"/>
        <v>0</v>
      </c>
      <c r="AU130" s="45">
        <f t="shared" ca="1" si="8"/>
        <v>0</v>
      </c>
      <c r="AV130" s="45">
        <f t="shared" ca="1" si="8"/>
        <v>0</v>
      </c>
      <c r="AW130" s="45">
        <f t="shared" ca="1" si="8"/>
        <v>0</v>
      </c>
      <c r="AX130" s="45">
        <f t="shared" ca="1" si="8"/>
        <v>0</v>
      </c>
    </row>
    <row r="131" spans="1:50" ht="15" customHeight="1" x14ac:dyDescent="0.25">
      <c r="A131" s="106"/>
      <c r="B131" s="235"/>
      <c r="C131" s="604"/>
      <c r="D131" s="151"/>
      <c r="E131" s="73" t="str">
        <f xml:space="preserve"> Translate!E$228</f>
        <v>Interest</v>
      </c>
      <c r="F131" s="46"/>
      <c r="G131" s="73" t="str">
        <f xml:space="preserve"> Translate!E$603</f>
        <v>US$ mn</v>
      </c>
      <c r="H131" s="45"/>
      <c r="I131" s="45">
        <f ca="1" xml:space="preserve"> SUM(K131:AX131)</f>
        <v>217.30899052555276</v>
      </c>
      <c r="J131" s="45"/>
      <c r="K131" s="45">
        <f ca="1" xml:space="preserve"> K128 * $F129 * K130</f>
        <v>0</v>
      </c>
      <c r="L131" s="45">
        <f t="shared" ref="L131:AX131" ca="1" si="9" xml:space="preserve"> L128 * $F129 * L130</f>
        <v>0</v>
      </c>
      <c r="M131" s="45">
        <f t="shared" ca="1" si="9"/>
        <v>0</v>
      </c>
      <c r="N131" s="45">
        <f t="shared" ca="1" si="9"/>
        <v>0</v>
      </c>
      <c r="O131" s="45">
        <f t="shared" ca="1" si="9"/>
        <v>0</v>
      </c>
      <c r="P131" s="45">
        <f t="shared" ca="1" si="9"/>
        <v>0</v>
      </c>
      <c r="Q131" s="45">
        <f t="shared" ca="1" si="9"/>
        <v>0</v>
      </c>
      <c r="R131" s="45">
        <f t="shared" ca="1" si="9"/>
        <v>0</v>
      </c>
      <c r="S131" s="45">
        <f t="shared" ca="1" si="9"/>
        <v>0</v>
      </c>
      <c r="T131" s="45">
        <f t="shared" ca="1" si="9"/>
        <v>0</v>
      </c>
      <c r="U131" s="45">
        <f t="shared" ca="1" si="9"/>
        <v>0</v>
      </c>
      <c r="V131" s="45">
        <f t="shared" ca="1" si="9"/>
        <v>0</v>
      </c>
      <c r="W131" s="45">
        <f t="shared" ca="1" si="9"/>
        <v>0</v>
      </c>
      <c r="X131" s="45">
        <f t="shared" ca="1" si="9"/>
        <v>1.2748694593077203</v>
      </c>
      <c r="Y131" s="45">
        <f t="shared" ca="1" si="9"/>
        <v>2.5752363078015952</v>
      </c>
      <c r="Z131" s="45">
        <f t="shared" ca="1" si="9"/>
        <v>3.9016104932653475</v>
      </c>
      <c r="AA131" s="45">
        <f t="shared" ca="1" si="9"/>
        <v>5.2545121624383748</v>
      </c>
      <c r="AB131" s="45">
        <f t="shared" ca="1" si="9"/>
        <v>6.6344718649948629</v>
      </c>
      <c r="AC131" s="45">
        <f t="shared" ca="1" si="9"/>
        <v>8.0420307616024793</v>
      </c>
      <c r="AD131" s="45">
        <f t="shared" ca="1" si="9"/>
        <v>9.4777408361422495</v>
      </c>
      <c r="AE131" s="45">
        <f t="shared" ca="1" si="9"/>
        <v>10.942165112172814</v>
      </c>
      <c r="AF131" s="45">
        <f t="shared" ca="1" si="9"/>
        <v>12.435877873723991</v>
      </c>
      <c r="AG131" s="45">
        <f t="shared" ca="1" si="9"/>
        <v>13.95946489050619</v>
      </c>
      <c r="AH131" s="45">
        <f t="shared" ca="1" si="9"/>
        <v>15.513523647624035</v>
      </c>
      <c r="AI131" s="45">
        <f t="shared" ca="1" si="9"/>
        <v>17.098663579884239</v>
      </c>
      <c r="AJ131" s="45">
        <f t="shared" ca="1" si="9"/>
        <v>18.715506310789646</v>
      </c>
      <c r="AK131" s="45">
        <f t="shared" ca="1" si="9"/>
        <v>20.364685896313159</v>
      </c>
      <c r="AL131" s="45">
        <f t="shared" ca="1" si="9"/>
        <v>22.046849073547143</v>
      </c>
      <c r="AM131" s="45">
        <f t="shared" ca="1" si="9"/>
        <v>15.228223131120266</v>
      </c>
      <c r="AN131" s="45">
        <f t="shared" ca="1" si="9"/>
        <v>16.349783681477248</v>
      </c>
      <c r="AO131" s="45">
        <f t="shared" ca="1" si="9"/>
        <v>17.493775442841368</v>
      </c>
      <c r="AP131" s="45">
        <f t="shared" ca="1" si="9"/>
        <v>0</v>
      </c>
      <c r="AQ131" s="45">
        <f t="shared" ca="1" si="9"/>
        <v>0</v>
      </c>
      <c r="AR131" s="45">
        <f t="shared" ca="1" si="9"/>
        <v>0</v>
      </c>
      <c r="AS131" s="45">
        <f t="shared" ca="1" si="9"/>
        <v>0</v>
      </c>
      <c r="AT131" s="45">
        <f t="shared" ca="1" si="9"/>
        <v>0</v>
      </c>
      <c r="AU131" s="45">
        <f t="shared" ca="1" si="9"/>
        <v>0</v>
      </c>
      <c r="AV131" s="45">
        <f t="shared" ca="1" si="9"/>
        <v>0</v>
      </c>
      <c r="AW131" s="45">
        <f t="shared" ca="1" si="9"/>
        <v>0</v>
      </c>
      <c r="AX131" s="45">
        <f t="shared" ca="1" si="9"/>
        <v>0</v>
      </c>
    </row>
    <row r="132" spans="1:50" ht="15" customHeight="1" x14ac:dyDescent="0.25">
      <c r="A132" s="106"/>
      <c r="B132" s="235"/>
      <c r="C132" s="604"/>
      <c r="D132" s="151"/>
      <c r="E132" s="847"/>
      <c r="F132" s="566"/>
      <c r="G132" s="847"/>
      <c r="H132" s="89"/>
      <c r="I132" s="15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row>
    <row r="133" spans="1:50" ht="15" customHeight="1" x14ac:dyDescent="0.25">
      <c r="A133" s="223"/>
      <c r="B133" s="671"/>
      <c r="C133" s="616"/>
      <c r="D133" s="224" t="str">
        <f>Translate!E529</f>
        <v>add</v>
      </c>
      <c r="E133" s="936" t="str">
        <f xml:space="preserve"> Translate!E$229</f>
        <v>Decommissioning fund opening balance: BEG</v>
      </c>
      <c r="F133" s="224"/>
      <c r="G133" s="936" t="str">
        <f xml:space="preserve"> Translate!E$603</f>
        <v>US$ mn</v>
      </c>
      <c r="H133" s="223"/>
      <c r="I133" s="223"/>
      <c r="J133" s="225"/>
      <c r="K133" s="225">
        <f t="shared" ref="K133:AX133" si="10" xml:space="preserve"> J137</f>
        <v>0</v>
      </c>
      <c r="L133" s="225">
        <f t="shared" ca="1" si="10"/>
        <v>0</v>
      </c>
      <c r="M133" s="225">
        <f t="shared" ca="1" si="10"/>
        <v>0</v>
      </c>
      <c r="N133" s="225">
        <f t="shared" ca="1" si="10"/>
        <v>0</v>
      </c>
      <c r="O133" s="225">
        <f t="shared" ca="1" si="10"/>
        <v>0</v>
      </c>
      <c r="P133" s="225">
        <f t="shared" ca="1" si="10"/>
        <v>0</v>
      </c>
      <c r="Q133" s="225">
        <f t="shared" ca="1" si="10"/>
        <v>0</v>
      </c>
      <c r="R133" s="225">
        <f t="shared" ca="1" si="10"/>
        <v>0</v>
      </c>
      <c r="S133" s="225">
        <f t="shared" ca="1" si="10"/>
        <v>0</v>
      </c>
      <c r="T133" s="225">
        <f t="shared" ca="1" si="10"/>
        <v>0</v>
      </c>
      <c r="U133" s="225">
        <f t="shared" ca="1" si="10"/>
        <v>0</v>
      </c>
      <c r="V133" s="225">
        <f t="shared" ca="1" si="10"/>
        <v>0</v>
      </c>
      <c r="W133" s="225">
        <f t="shared" ca="1" si="10"/>
        <v>0</v>
      </c>
      <c r="X133" s="225">
        <f t="shared" ca="1" si="10"/>
        <v>63.743472965385962</v>
      </c>
      <c r="Y133" s="225">
        <f t="shared" ca="1" si="10"/>
        <v>128.76181539007965</v>
      </c>
      <c r="Z133" s="225">
        <f t="shared" ca="1" si="10"/>
        <v>195.0805246632672</v>
      </c>
      <c r="AA133" s="225">
        <f t="shared" ca="1" si="10"/>
        <v>262.72560812191853</v>
      </c>
      <c r="AB133" s="225">
        <f t="shared" ca="1" si="10"/>
        <v>331.72359324974286</v>
      </c>
      <c r="AC133" s="225">
        <f t="shared" ca="1" si="10"/>
        <v>402.10153808012365</v>
      </c>
      <c r="AD133" s="225">
        <f t="shared" ca="1" si="10"/>
        <v>473.88704180711204</v>
      </c>
      <c r="AE133" s="225">
        <f t="shared" ca="1" si="10"/>
        <v>547.10825560864021</v>
      </c>
      <c r="AF133" s="225">
        <f t="shared" ca="1" si="10"/>
        <v>621.793893686199</v>
      </c>
      <c r="AG133" s="225">
        <f t="shared" ca="1" si="10"/>
        <v>697.97324452530893</v>
      </c>
      <c r="AH133" s="225">
        <f t="shared" ca="1" si="10"/>
        <v>775.6761823812011</v>
      </c>
      <c r="AI133" s="225">
        <f t="shared" ca="1" si="10"/>
        <v>854.93317899421118</v>
      </c>
      <c r="AJ133" s="225">
        <f t="shared" ca="1" si="10"/>
        <v>935.77531553948143</v>
      </c>
      <c r="AK133" s="225">
        <f t="shared" ca="1" si="10"/>
        <v>1018.2342948156571</v>
      </c>
      <c r="AL133" s="225">
        <f t="shared" ca="1" si="10"/>
        <v>1102.3424536773562</v>
      </c>
      <c r="AM133" s="225">
        <f t="shared" ca="1" si="10"/>
        <v>761.41115655601266</v>
      </c>
      <c r="AN133" s="225">
        <f t="shared" ca="1" si="10"/>
        <v>817.48918407386168</v>
      </c>
      <c r="AO133" s="225">
        <f t="shared" ca="1" si="10"/>
        <v>874.68877214206759</v>
      </c>
      <c r="AP133" s="225">
        <f t="shared" ca="1" si="10"/>
        <v>933.03235197163781</v>
      </c>
      <c r="AQ133" s="225">
        <f t="shared" ca="1" si="10"/>
        <v>471.13514802528232</v>
      </c>
      <c r="AR133" s="225">
        <f t="shared" ca="1" si="10"/>
        <v>0</v>
      </c>
      <c r="AS133" s="225">
        <f t="shared" ca="1" si="10"/>
        <v>0</v>
      </c>
      <c r="AT133" s="225">
        <f t="shared" ca="1" si="10"/>
        <v>0</v>
      </c>
      <c r="AU133" s="225">
        <f t="shared" ca="1" si="10"/>
        <v>0</v>
      </c>
      <c r="AV133" s="225">
        <f t="shared" ca="1" si="10"/>
        <v>0</v>
      </c>
      <c r="AW133" s="225">
        <f t="shared" ca="1" si="10"/>
        <v>0</v>
      </c>
      <c r="AX133" s="225">
        <f t="shared" ca="1" si="10"/>
        <v>0</v>
      </c>
    </row>
    <row r="134" spans="1:50" ht="15" customHeight="1" x14ac:dyDescent="0.25">
      <c r="A134" s="227"/>
      <c r="B134" s="672"/>
      <c r="C134" s="617"/>
      <c r="D134" s="64" t="str">
        <f>Translate!E529</f>
        <v>add</v>
      </c>
      <c r="E134" s="55" t="str">
        <f xml:space="preserve"> E$131</f>
        <v>Interest</v>
      </c>
      <c r="F134" s="64">
        <f t="shared" ref="F134:AX134" si="11" xml:space="preserve"> F$131</f>
        <v>0</v>
      </c>
      <c r="G134" s="55" t="str">
        <f t="shared" si="11"/>
        <v>US$ mn</v>
      </c>
      <c r="H134" s="55">
        <f t="shared" si="11"/>
        <v>0</v>
      </c>
      <c r="I134" s="55">
        <f t="shared" ca="1" si="11"/>
        <v>217.30899052555276</v>
      </c>
      <c r="J134" s="55">
        <f t="shared" si="11"/>
        <v>0</v>
      </c>
      <c r="K134" s="55">
        <f t="shared" ca="1" si="11"/>
        <v>0</v>
      </c>
      <c r="L134" s="55">
        <f t="shared" ca="1" si="11"/>
        <v>0</v>
      </c>
      <c r="M134" s="55">
        <f t="shared" ca="1" si="11"/>
        <v>0</v>
      </c>
      <c r="N134" s="55">
        <f t="shared" ca="1" si="11"/>
        <v>0</v>
      </c>
      <c r="O134" s="55">
        <f t="shared" ca="1" si="11"/>
        <v>0</v>
      </c>
      <c r="P134" s="55">
        <f t="shared" ca="1" si="11"/>
        <v>0</v>
      </c>
      <c r="Q134" s="55">
        <f t="shared" ca="1" si="11"/>
        <v>0</v>
      </c>
      <c r="R134" s="55">
        <f t="shared" ca="1" si="11"/>
        <v>0</v>
      </c>
      <c r="S134" s="55">
        <f t="shared" ca="1" si="11"/>
        <v>0</v>
      </c>
      <c r="T134" s="55">
        <f t="shared" ca="1" si="11"/>
        <v>0</v>
      </c>
      <c r="U134" s="55">
        <f t="shared" ca="1" si="11"/>
        <v>0</v>
      </c>
      <c r="V134" s="55">
        <f t="shared" ca="1" si="11"/>
        <v>0</v>
      </c>
      <c r="W134" s="55">
        <f t="shared" ca="1" si="11"/>
        <v>0</v>
      </c>
      <c r="X134" s="55">
        <f t="shared" ca="1" si="11"/>
        <v>1.2748694593077203</v>
      </c>
      <c r="Y134" s="55">
        <f t="shared" ca="1" si="11"/>
        <v>2.5752363078015952</v>
      </c>
      <c r="Z134" s="55">
        <f t="shared" ca="1" si="11"/>
        <v>3.9016104932653475</v>
      </c>
      <c r="AA134" s="55">
        <f t="shared" ca="1" si="11"/>
        <v>5.2545121624383748</v>
      </c>
      <c r="AB134" s="55">
        <f t="shared" ca="1" si="11"/>
        <v>6.6344718649948629</v>
      </c>
      <c r="AC134" s="55">
        <f t="shared" ca="1" si="11"/>
        <v>8.0420307616024793</v>
      </c>
      <c r="AD134" s="55">
        <f t="shared" ca="1" si="11"/>
        <v>9.4777408361422495</v>
      </c>
      <c r="AE134" s="55">
        <f t="shared" ca="1" si="11"/>
        <v>10.942165112172814</v>
      </c>
      <c r="AF134" s="55">
        <f t="shared" ca="1" si="11"/>
        <v>12.435877873723991</v>
      </c>
      <c r="AG134" s="55">
        <f t="shared" ca="1" si="11"/>
        <v>13.95946489050619</v>
      </c>
      <c r="AH134" s="55">
        <f t="shared" ca="1" si="11"/>
        <v>15.513523647624035</v>
      </c>
      <c r="AI134" s="55">
        <f t="shared" ca="1" si="11"/>
        <v>17.098663579884239</v>
      </c>
      <c r="AJ134" s="55">
        <f t="shared" ca="1" si="11"/>
        <v>18.715506310789646</v>
      </c>
      <c r="AK134" s="55">
        <f t="shared" ca="1" si="11"/>
        <v>20.364685896313159</v>
      </c>
      <c r="AL134" s="55">
        <f t="shared" ca="1" si="11"/>
        <v>22.046849073547143</v>
      </c>
      <c r="AM134" s="55">
        <f t="shared" ca="1" si="11"/>
        <v>15.228223131120266</v>
      </c>
      <c r="AN134" s="55">
        <f t="shared" ca="1" si="11"/>
        <v>16.349783681477248</v>
      </c>
      <c r="AO134" s="55">
        <f t="shared" ca="1" si="11"/>
        <v>17.493775442841368</v>
      </c>
      <c r="AP134" s="55">
        <f t="shared" ca="1" si="11"/>
        <v>0</v>
      </c>
      <c r="AQ134" s="55">
        <f t="shared" ca="1" si="11"/>
        <v>0</v>
      </c>
      <c r="AR134" s="55">
        <f t="shared" ca="1" si="11"/>
        <v>0</v>
      </c>
      <c r="AS134" s="55">
        <f t="shared" ca="1" si="11"/>
        <v>0</v>
      </c>
      <c r="AT134" s="55">
        <f t="shared" ca="1" si="11"/>
        <v>0</v>
      </c>
      <c r="AU134" s="55">
        <f t="shared" ca="1" si="11"/>
        <v>0</v>
      </c>
      <c r="AV134" s="55">
        <f t="shared" ca="1" si="11"/>
        <v>0</v>
      </c>
      <c r="AW134" s="55">
        <f t="shared" ca="1" si="11"/>
        <v>0</v>
      </c>
      <c r="AX134" s="55">
        <f t="shared" ca="1" si="11"/>
        <v>0</v>
      </c>
    </row>
    <row r="135" spans="1:50" ht="15" customHeight="1" x14ac:dyDescent="0.25">
      <c r="A135" s="55"/>
      <c r="B135" s="672"/>
      <c r="C135" s="618"/>
      <c r="D135" s="64" t="str">
        <f>Translate!E530</f>
        <v>less</v>
      </c>
      <c r="E135" s="55" t="str">
        <f xml:space="preserve"> E$125</f>
        <v>Withdrawals to meet decommissioning costs (end of period)</v>
      </c>
      <c r="F135" s="64">
        <f t="shared" ref="F135:AX135" si="12" xml:space="preserve"> F$125</f>
        <v>0</v>
      </c>
      <c r="G135" s="55" t="str">
        <f t="shared" si="12"/>
        <v>US$ mn</v>
      </c>
      <c r="H135" s="55">
        <f t="shared" si="12"/>
        <v>0</v>
      </c>
      <c r="I135" s="55">
        <f t="shared" ca="1" si="12"/>
        <v>1359.7539711319141</v>
      </c>
      <c r="J135" s="55">
        <f t="shared" si="12"/>
        <v>0</v>
      </c>
      <c r="K135" s="55">
        <f t="shared" ca="1" si="12"/>
        <v>0</v>
      </c>
      <c r="L135" s="55">
        <f t="shared" ca="1" si="12"/>
        <v>0</v>
      </c>
      <c r="M135" s="55">
        <f t="shared" ca="1" si="12"/>
        <v>0</v>
      </c>
      <c r="N135" s="55">
        <f t="shared" ca="1" si="12"/>
        <v>0</v>
      </c>
      <c r="O135" s="55">
        <f t="shared" ca="1" si="12"/>
        <v>0</v>
      </c>
      <c r="P135" s="55">
        <f t="shared" ca="1" si="12"/>
        <v>0</v>
      </c>
      <c r="Q135" s="55">
        <f t="shared" ca="1" si="12"/>
        <v>0</v>
      </c>
      <c r="R135" s="55">
        <f t="shared" ca="1" si="12"/>
        <v>0</v>
      </c>
      <c r="S135" s="55">
        <f t="shared" ca="1" si="12"/>
        <v>0</v>
      </c>
      <c r="T135" s="55">
        <f t="shared" ca="1" si="12"/>
        <v>0</v>
      </c>
      <c r="U135" s="55">
        <f t="shared" ca="1" si="12"/>
        <v>0</v>
      </c>
      <c r="V135" s="55">
        <f t="shared" ca="1" si="12"/>
        <v>0</v>
      </c>
      <c r="W135" s="55">
        <f t="shared" ca="1" si="12"/>
        <v>0</v>
      </c>
      <c r="X135" s="55">
        <f t="shared" ca="1" si="12"/>
        <v>0</v>
      </c>
      <c r="Y135" s="55">
        <f t="shared" ca="1" si="12"/>
        <v>0</v>
      </c>
      <c r="Z135" s="55">
        <f t="shared" ca="1" si="12"/>
        <v>0</v>
      </c>
      <c r="AA135" s="55">
        <f t="shared" ca="1" si="12"/>
        <v>0</v>
      </c>
      <c r="AB135" s="55">
        <f t="shared" ca="1" si="12"/>
        <v>0</v>
      </c>
      <c r="AC135" s="55">
        <f t="shared" ca="1" si="12"/>
        <v>0</v>
      </c>
      <c r="AD135" s="55">
        <f t="shared" ca="1" si="12"/>
        <v>0</v>
      </c>
      <c r="AE135" s="55">
        <f t="shared" ca="1" si="12"/>
        <v>0</v>
      </c>
      <c r="AF135" s="55">
        <f t="shared" ca="1" si="12"/>
        <v>0</v>
      </c>
      <c r="AG135" s="55">
        <f t="shared" ca="1" si="12"/>
        <v>0</v>
      </c>
      <c r="AH135" s="55">
        <f t="shared" ca="1" si="12"/>
        <v>0</v>
      </c>
      <c r="AI135" s="55">
        <f t="shared" ca="1" si="12"/>
        <v>0</v>
      </c>
      <c r="AJ135" s="55">
        <f t="shared" ca="1" si="12"/>
        <v>0</v>
      </c>
      <c r="AK135" s="55">
        <f t="shared" ca="1" si="12"/>
        <v>0</v>
      </c>
      <c r="AL135" s="55">
        <f t="shared" ca="1" si="12"/>
        <v>426.72161916027648</v>
      </c>
      <c r="AM135" s="55">
        <f t="shared" ca="1" si="12"/>
        <v>0</v>
      </c>
      <c r="AN135" s="55">
        <f t="shared" ca="1" si="12"/>
        <v>0</v>
      </c>
      <c r="AO135" s="55">
        <f t="shared" ca="1" si="12"/>
        <v>0</v>
      </c>
      <c r="AP135" s="55">
        <f t="shared" ca="1" si="12"/>
        <v>461.89720394635549</v>
      </c>
      <c r="AQ135" s="55">
        <f t="shared" ca="1" si="12"/>
        <v>471.13514802528232</v>
      </c>
      <c r="AR135" s="55">
        <f t="shared" ca="1" si="12"/>
        <v>0</v>
      </c>
      <c r="AS135" s="55">
        <f t="shared" ca="1" si="12"/>
        <v>0</v>
      </c>
      <c r="AT135" s="55">
        <f t="shared" ca="1" si="12"/>
        <v>0</v>
      </c>
      <c r="AU135" s="55">
        <f t="shared" ca="1" si="12"/>
        <v>0</v>
      </c>
      <c r="AV135" s="55">
        <f t="shared" ca="1" si="12"/>
        <v>0</v>
      </c>
      <c r="AW135" s="55">
        <f t="shared" ca="1" si="12"/>
        <v>0</v>
      </c>
      <c r="AX135" s="55">
        <f t="shared" ca="1" si="12"/>
        <v>0</v>
      </c>
    </row>
    <row r="136" spans="1:50" ht="15" customHeight="1" x14ac:dyDescent="0.25">
      <c r="A136" s="55"/>
      <c r="B136" s="672"/>
      <c r="C136" s="618"/>
      <c r="D136" s="64" t="str">
        <f>Translate!E529</f>
        <v>add</v>
      </c>
      <c r="E136" s="55" t="str">
        <f t="shared" ref="E136:AX136" si="13" xml:space="preserve"> E$120</f>
        <v>Decommissioning provision for future costs (end of period)</v>
      </c>
      <c r="F136" s="64">
        <f t="shared" si="13"/>
        <v>0</v>
      </c>
      <c r="G136" s="55" t="str">
        <f t="shared" si="13"/>
        <v>US$ mn</v>
      </c>
      <c r="H136" s="55">
        <f t="shared" si="13"/>
        <v>0</v>
      </c>
      <c r="I136" s="55">
        <f t="shared" ca="1" si="13"/>
        <v>1142.4449806063619</v>
      </c>
      <c r="J136" s="55">
        <f t="shared" si="13"/>
        <v>0</v>
      </c>
      <c r="K136" s="55">
        <f t="shared" ca="1" si="13"/>
        <v>0</v>
      </c>
      <c r="L136" s="55">
        <f t="shared" ca="1" si="13"/>
        <v>0</v>
      </c>
      <c r="M136" s="55">
        <f t="shared" ca="1" si="13"/>
        <v>0</v>
      </c>
      <c r="N136" s="55">
        <f t="shared" ca="1" si="13"/>
        <v>0</v>
      </c>
      <c r="O136" s="55">
        <f t="shared" ca="1" si="13"/>
        <v>0</v>
      </c>
      <c r="P136" s="55">
        <f t="shared" ca="1" si="13"/>
        <v>0</v>
      </c>
      <c r="Q136" s="55">
        <f t="shared" ca="1" si="13"/>
        <v>0</v>
      </c>
      <c r="R136" s="55">
        <f t="shared" ca="1" si="13"/>
        <v>0</v>
      </c>
      <c r="S136" s="55">
        <f t="shared" ca="1" si="13"/>
        <v>0</v>
      </c>
      <c r="T136" s="55">
        <f t="shared" ca="1" si="13"/>
        <v>0</v>
      </c>
      <c r="U136" s="55">
        <f t="shared" ca="1" si="13"/>
        <v>0</v>
      </c>
      <c r="V136" s="55">
        <f t="shared" ca="1" si="13"/>
        <v>0</v>
      </c>
      <c r="W136" s="55">
        <f t="shared" ca="1" si="13"/>
        <v>63.743472965385962</v>
      </c>
      <c r="X136" s="55">
        <f t="shared" ca="1" si="13"/>
        <v>63.743472965385962</v>
      </c>
      <c r="Y136" s="55">
        <f t="shared" ca="1" si="13"/>
        <v>63.743472965385962</v>
      </c>
      <c r="Z136" s="55">
        <f t="shared" ca="1" si="13"/>
        <v>63.743472965385962</v>
      </c>
      <c r="AA136" s="55">
        <f t="shared" ca="1" si="13"/>
        <v>63.743472965385962</v>
      </c>
      <c r="AB136" s="55">
        <f t="shared" ca="1" si="13"/>
        <v>63.743472965385962</v>
      </c>
      <c r="AC136" s="55">
        <f t="shared" ca="1" si="13"/>
        <v>63.743472965385962</v>
      </c>
      <c r="AD136" s="55">
        <f t="shared" ca="1" si="13"/>
        <v>63.743472965385962</v>
      </c>
      <c r="AE136" s="55">
        <f t="shared" ca="1" si="13"/>
        <v>63.743472965385962</v>
      </c>
      <c r="AF136" s="55">
        <f t="shared" ca="1" si="13"/>
        <v>63.743472965385962</v>
      </c>
      <c r="AG136" s="55">
        <f t="shared" ca="1" si="13"/>
        <v>63.743472965385962</v>
      </c>
      <c r="AH136" s="55">
        <f t="shared" ca="1" si="13"/>
        <v>63.743472965385962</v>
      </c>
      <c r="AI136" s="55">
        <f t="shared" ca="1" si="13"/>
        <v>63.743472965385962</v>
      </c>
      <c r="AJ136" s="55">
        <f t="shared" ca="1" si="13"/>
        <v>63.743472965385962</v>
      </c>
      <c r="AK136" s="55">
        <f t="shared" ca="1" si="13"/>
        <v>63.743472965385962</v>
      </c>
      <c r="AL136" s="55">
        <f t="shared" ca="1" si="13"/>
        <v>63.743472965385962</v>
      </c>
      <c r="AM136" s="55">
        <f t="shared" ca="1" si="13"/>
        <v>40.849804386728749</v>
      </c>
      <c r="AN136" s="55">
        <f t="shared" ca="1" si="13"/>
        <v>40.849804386728749</v>
      </c>
      <c r="AO136" s="55">
        <f t="shared" ca="1" si="13"/>
        <v>40.849804386728749</v>
      </c>
      <c r="AP136" s="55">
        <f t="shared" ca="1" si="13"/>
        <v>0</v>
      </c>
      <c r="AQ136" s="55">
        <f t="shared" ca="1" si="13"/>
        <v>0</v>
      </c>
      <c r="AR136" s="55">
        <f t="shared" ca="1" si="13"/>
        <v>0</v>
      </c>
      <c r="AS136" s="55">
        <f t="shared" ca="1" si="13"/>
        <v>0</v>
      </c>
      <c r="AT136" s="55">
        <f t="shared" ca="1" si="13"/>
        <v>0</v>
      </c>
      <c r="AU136" s="55">
        <f t="shared" ca="1" si="13"/>
        <v>0</v>
      </c>
      <c r="AV136" s="55">
        <f t="shared" ca="1" si="13"/>
        <v>0</v>
      </c>
      <c r="AW136" s="55">
        <f t="shared" ca="1" si="13"/>
        <v>0</v>
      </c>
      <c r="AX136" s="55">
        <f t="shared" ca="1" si="13"/>
        <v>0</v>
      </c>
    </row>
    <row r="137" spans="1:50" ht="15" customHeight="1" x14ac:dyDescent="0.25">
      <c r="A137" s="228"/>
      <c r="B137" s="673"/>
      <c r="C137" s="619"/>
      <c r="D137" s="229"/>
      <c r="E137" s="938" t="str">
        <f xml:space="preserve"> Translate!E$230</f>
        <v>Decommissioning fund closing balance: END</v>
      </c>
      <c r="F137" s="229"/>
      <c r="G137" s="938" t="str">
        <f xml:space="preserve"> Translate!E$603</f>
        <v>US$ mn</v>
      </c>
      <c r="H137" s="228"/>
      <c r="I137" s="228"/>
      <c r="J137" s="230"/>
      <c r="K137" s="231">
        <f t="shared" ref="K137:AX137" ca="1" si="14" xml:space="preserve"> K133 + K134 + K136 - K135</f>
        <v>0</v>
      </c>
      <c r="L137" s="231">
        <f t="shared" ca="1" si="14"/>
        <v>0</v>
      </c>
      <c r="M137" s="231">
        <f t="shared" ca="1" si="14"/>
        <v>0</v>
      </c>
      <c r="N137" s="231">
        <f t="shared" ca="1" si="14"/>
        <v>0</v>
      </c>
      <c r="O137" s="231">
        <f t="shared" ca="1" si="14"/>
        <v>0</v>
      </c>
      <c r="P137" s="231">
        <f t="shared" ca="1" si="14"/>
        <v>0</v>
      </c>
      <c r="Q137" s="231">
        <f t="shared" ca="1" si="14"/>
        <v>0</v>
      </c>
      <c r="R137" s="231">
        <f t="shared" ca="1" si="14"/>
        <v>0</v>
      </c>
      <c r="S137" s="231">
        <f t="shared" ca="1" si="14"/>
        <v>0</v>
      </c>
      <c r="T137" s="231">
        <f t="shared" ca="1" si="14"/>
        <v>0</v>
      </c>
      <c r="U137" s="231">
        <f t="shared" ca="1" si="14"/>
        <v>0</v>
      </c>
      <c r="V137" s="231">
        <f t="shared" ca="1" si="14"/>
        <v>0</v>
      </c>
      <c r="W137" s="231">
        <f t="shared" ca="1" si="14"/>
        <v>63.743472965385962</v>
      </c>
      <c r="X137" s="231">
        <f t="shared" ca="1" si="14"/>
        <v>128.76181539007965</v>
      </c>
      <c r="Y137" s="231">
        <f t="shared" ca="1" si="14"/>
        <v>195.0805246632672</v>
      </c>
      <c r="Z137" s="231">
        <f t="shared" ca="1" si="14"/>
        <v>262.72560812191853</v>
      </c>
      <c r="AA137" s="231">
        <f t="shared" ca="1" si="14"/>
        <v>331.72359324974286</v>
      </c>
      <c r="AB137" s="231">
        <f t="shared" ca="1" si="14"/>
        <v>402.10153808012365</v>
      </c>
      <c r="AC137" s="231">
        <f t="shared" ca="1" si="14"/>
        <v>473.88704180711204</v>
      </c>
      <c r="AD137" s="231">
        <f t="shared" ca="1" si="14"/>
        <v>547.10825560864021</v>
      </c>
      <c r="AE137" s="231">
        <f t="shared" ca="1" si="14"/>
        <v>621.793893686199</v>
      </c>
      <c r="AF137" s="231">
        <f t="shared" ca="1" si="14"/>
        <v>697.97324452530893</v>
      </c>
      <c r="AG137" s="231">
        <f t="shared" ca="1" si="14"/>
        <v>775.6761823812011</v>
      </c>
      <c r="AH137" s="231">
        <f t="shared" ca="1" si="14"/>
        <v>854.93317899421118</v>
      </c>
      <c r="AI137" s="231">
        <f t="shared" ca="1" si="14"/>
        <v>935.77531553948143</v>
      </c>
      <c r="AJ137" s="231">
        <f t="shared" ca="1" si="14"/>
        <v>1018.2342948156571</v>
      </c>
      <c r="AK137" s="231">
        <f t="shared" ca="1" si="14"/>
        <v>1102.3424536773562</v>
      </c>
      <c r="AL137" s="231">
        <f t="shared" ca="1" si="14"/>
        <v>761.41115655601266</v>
      </c>
      <c r="AM137" s="231">
        <f t="shared" ca="1" si="14"/>
        <v>817.48918407386168</v>
      </c>
      <c r="AN137" s="231">
        <f t="shared" ca="1" si="14"/>
        <v>874.68877214206759</v>
      </c>
      <c r="AO137" s="231">
        <f t="shared" ca="1" si="14"/>
        <v>933.03235197163781</v>
      </c>
      <c r="AP137" s="231">
        <f t="shared" ca="1" si="14"/>
        <v>471.13514802528232</v>
      </c>
      <c r="AQ137" s="231">
        <f t="shared" ca="1" si="14"/>
        <v>0</v>
      </c>
      <c r="AR137" s="231">
        <f t="shared" ca="1" si="14"/>
        <v>0</v>
      </c>
      <c r="AS137" s="231">
        <f t="shared" ca="1" si="14"/>
        <v>0</v>
      </c>
      <c r="AT137" s="231">
        <f t="shared" ca="1" si="14"/>
        <v>0</v>
      </c>
      <c r="AU137" s="231">
        <f t="shared" ca="1" si="14"/>
        <v>0</v>
      </c>
      <c r="AV137" s="231">
        <f t="shared" ca="1" si="14"/>
        <v>0</v>
      </c>
      <c r="AW137" s="231">
        <f t="shared" ca="1" si="14"/>
        <v>0</v>
      </c>
      <c r="AX137" s="231">
        <f t="shared" ca="1" si="14"/>
        <v>0</v>
      </c>
    </row>
    <row r="139" spans="1:50" ht="15" customHeight="1" x14ac:dyDescent="0.25">
      <c r="E139" s="3" t="str">
        <f xml:space="preserve"> Translate!E$601 &amp; ": "  &amp; E134</f>
        <v>Total: Interest</v>
      </c>
      <c r="F139" s="44">
        <f ca="1" xml:space="preserve"> SUM(K134:AX134)</f>
        <v>217.30899052555276</v>
      </c>
      <c r="G139" s="3" t="str">
        <f>G134</f>
        <v>US$ mn</v>
      </c>
    </row>
    <row r="140" spans="1:50" ht="15" customHeight="1" x14ac:dyDescent="0.25">
      <c r="E140" s="3" t="str">
        <f xml:space="preserve"> Translate!E$601 &amp; ": "  &amp; E135</f>
        <v>Total: Withdrawals to meet decommissioning costs (end of period)</v>
      </c>
      <c r="F140" s="44">
        <f ca="1" xml:space="preserve"> SUM(K135:AX135)</f>
        <v>1359.7539711319141</v>
      </c>
      <c r="G140" s="3" t="str">
        <f>G135</f>
        <v>US$ mn</v>
      </c>
    </row>
    <row r="141" spans="1:50" ht="15" customHeight="1" x14ac:dyDescent="0.25">
      <c r="E141" s="3" t="str">
        <f xml:space="preserve"> Translate!E$601 &amp; ": "  &amp; E136</f>
        <v>Total: Decommissioning provision for future costs (end of period)</v>
      </c>
      <c r="F141" s="44">
        <f ca="1" xml:space="preserve"> SUM(K136:AX136)</f>
        <v>1142.4449806063619</v>
      </c>
      <c r="G141" s="3" t="str">
        <f>G136</f>
        <v>US$ mn</v>
      </c>
    </row>
    <row r="142" spans="1:50" ht="15" customHeight="1" x14ac:dyDescent="0.25">
      <c r="E142" s="3" t="str">
        <f xml:space="preserve"> Translate!E$755 &amp; " " &amp; Translate!E$231</f>
        <v>Check:  Decommissioning cashflows</v>
      </c>
      <c r="F142" s="157">
        <f ca="1">IF( ABS( F139 - F140 + F141) &gt; CHK_TOL, 1, 0)</f>
        <v>0</v>
      </c>
      <c r="G142" s="3" t="str">
        <f xml:space="preserve"> Translate!E$604</f>
        <v>Check</v>
      </c>
    </row>
    <row r="143" spans="1:50" ht="15" customHeight="1" x14ac:dyDescent="0.25">
      <c r="A143" s="106"/>
      <c r="B143" s="235"/>
      <c r="C143" s="604"/>
      <c r="D143" s="151"/>
      <c r="E143" s="89"/>
      <c r="F143" s="563"/>
      <c r="G143" s="89"/>
      <c r="H143" s="109"/>
      <c r="I143" s="124"/>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row>
    <row r="144" spans="1:50" ht="15" customHeight="1" x14ac:dyDescent="0.25">
      <c r="A144" s="106"/>
      <c r="B144" s="102" t="str">
        <f>Translate!$E$233</f>
        <v>Net decommissioning cashflows</v>
      </c>
      <c r="C144" s="604"/>
      <c r="D144" s="151"/>
      <c r="E144" s="89"/>
      <c r="F144" s="563"/>
      <c r="G144" s="89"/>
      <c r="H144" s="109"/>
      <c r="I144" s="124"/>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row>
    <row r="145" spans="1:50" ht="15" customHeight="1" x14ac:dyDescent="0.25">
      <c r="A145" s="106"/>
      <c r="B145" s="235"/>
      <c r="C145" s="604"/>
      <c r="D145" s="151" t="str">
        <f>Translate!E529</f>
        <v>add</v>
      </c>
      <c r="E145" s="140" t="str">
        <f xml:space="preserve"> ProjectCashflows!E$242</f>
        <v>Decommissioning costs, after ELT</v>
      </c>
      <c r="F145" s="540">
        <f xml:space="preserve"> ProjectCashflows!F$242</f>
        <v>0</v>
      </c>
      <c r="G145" s="140" t="str">
        <f xml:space="preserve"> ProjectCashflows!G$242</f>
        <v>US$ mn</v>
      </c>
      <c r="H145" s="140">
        <f xml:space="preserve"> ProjectCashflows!H$242</f>
        <v>0</v>
      </c>
      <c r="I145" s="140">
        <f ca="1" xml:space="preserve"> ProjectCashflows!I$242</f>
        <v>1359.7539711319146</v>
      </c>
      <c r="J145" s="140">
        <f xml:space="preserve"> ProjectCashflows!J$242</f>
        <v>0</v>
      </c>
      <c r="K145" s="140">
        <f ca="1" xml:space="preserve"> ProjectCashflows!K$242</f>
        <v>0</v>
      </c>
      <c r="L145" s="140">
        <f ca="1" xml:space="preserve"> ProjectCashflows!L$242</f>
        <v>0</v>
      </c>
      <c r="M145" s="140">
        <f ca="1" xml:space="preserve"> ProjectCashflows!M$242</f>
        <v>0</v>
      </c>
      <c r="N145" s="140">
        <f ca="1" xml:space="preserve"> ProjectCashflows!N$242</f>
        <v>0</v>
      </c>
      <c r="O145" s="140">
        <f ca="1" xml:space="preserve"> ProjectCashflows!O$242</f>
        <v>0</v>
      </c>
      <c r="P145" s="140">
        <f ca="1" xml:space="preserve"> ProjectCashflows!P$242</f>
        <v>0</v>
      </c>
      <c r="Q145" s="140">
        <f ca="1" xml:space="preserve"> ProjectCashflows!Q$242</f>
        <v>0</v>
      </c>
      <c r="R145" s="140">
        <f ca="1" xml:space="preserve"> ProjectCashflows!R$242</f>
        <v>0</v>
      </c>
      <c r="S145" s="140">
        <f ca="1" xml:space="preserve"> ProjectCashflows!S$242</f>
        <v>0</v>
      </c>
      <c r="T145" s="140">
        <f ca="1" xml:space="preserve"> ProjectCashflows!T$242</f>
        <v>0</v>
      </c>
      <c r="U145" s="140">
        <f ca="1" xml:space="preserve"> ProjectCashflows!U$242</f>
        <v>0</v>
      </c>
      <c r="V145" s="140">
        <f ca="1" xml:space="preserve"> ProjectCashflows!V$242</f>
        <v>0</v>
      </c>
      <c r="W145" s="140">
        <f ca="1" xml:space="preserve"> ProjectCashflows!W$242</f>
        <v>0</v>
      </c>
      <c r="X145" s="140">
        <f ca="1" xml:space="preserve"> ProjectCashflows!X$242</f>
        <v>0</v>
      </c>
      <c r="Y145" s="140">
        <f ca="1" xml:space="preserve"> ProjectCashflows!Y$242</f>
        <v>0</v>
      </c>
      <c r="Z145" s="140">
        <f ca="1" xml:space="preserve"> ProjectCashflows!Z$242</f>
        <v>0</v>
      </c>
      <c r="AA145" s="140">
        <f ca="1" xml:space="preserve"> ProjectCashflows!AA$242</f>
        <v>0</v>
      </c>
      <c r="AB145" s="140">
        <f ca="1" xml:space="preserve"> ProjectCashflows!AB$242</f>
        <v>0</v>
      </c>
      <c r="AC145" s="140">
        <f ca="1" xml:space="preserve"> ProjectCashflows!AC$242</f>
        <v>0</v>
      </c>
      <c r="AD145" s="140">
        <f ca="1" xml:space="preserve"> ProjectCashflows!AD$242</f>
        <v>0</v>
      </c>
      <c r="AE145" s="140">
        <f ca="1" xml:space="preserve"> ProjectCashflows!AE$242</f>
        <v>0</v>
      </c>
      <c r="AF145" s="140">
        <f ca="1" xml:space="preserve"> ProjectCashflows!AF$242</f>
        <v>0</v>
      </c>
      <c r="AG145" s="140">
        <f ca="1" xml:space="preserve"> ProjectCashflows!AG$242</f>
        <v>0</v>
      </c>
      <c r="AH145" s="140">
        <f ca="1" xml:space="preserve"> ProjectCashflows!AH$242</f>
        <v>0</v>
      </c>
      <c r="AI145" s="140">
        <f ca="1" xml:space="preserve"> ProjectCashflows!AI$242</f>
        <v>0</v>
      </c>
      <c r="AJ145" s="140">
        <f ca="1" xml:space="preserve"> ProjectCashflows!AJ$242</f>
        <v>0</v>
      </c>
      <c r="AK145" s="140">
        <f ca="1" xml:space="preserve"> ProjectCashflows!AK$242</f>
        <v>0</v>
      </c>
      <c r="AL145" s="140">
        <f ca="1" xml:space="preserve"> ProjectCashflows!AL$242</f>
        <v>426.72161916027648</v>
      </c>
      <c r="AM145" s="140">
        <f ca="1" xml:space="preserve"> ProjectCashflows!AM$242</f>
        <v>0</v>
      </c>
      <c r="AN145" s="140">
        <f ca="1" xml:space="preserve"> ProjectCashflows!AN$242</f>
        <v>0</v>
      </c>
      <c r="AO145" s="140">
        <f ca="1" xml:space="preserve"> ProjectCashflows!AO$242</f>
        <v>0</v>
      </c>
      <c r="AP145" s="140">
        <f ca="1" xml:space="preserve"> ProjectCashflows!AP$242</f>
        <v>461.89720394635549</v>
      </c>
      <c r="AQ145" s="140">
        <f ca="1" xml:space="preserve"> ProjectCashflows!AQ$242</f>
        <v>471.1351480252826</v>
      </c>
      <c r="AR145" s="140">
        <f ca="1" xml:space="preserve"> ProjectCashflows!AR$242</f>
        <v>0</v>
      </c>
      <c r="AS145" s="140">
        <f ca="1" xml:space="preserve"> ProjectCashflows!AS$242</f>
        <v>0</v>
      </c>
      <c r="AT145" s="140">
        <f ca="1" xml:space="preserve"> ProjectCashflows!AT$242</f>
        <v>0</v>
      </c>
      <c r="AU145" s="140">
        <f ca="1" xml:space="preserve"> ProjectCashflows!AU$242</f>
        <v>0</v>
      </c>
      <c r="AV145" s="140">
        <f ca="1" xml:space="preserve"> ProjectCashflows!AV$242</f>
        <v>0</v>
      </c>
      <c r="AW145" s="140">
        <f ca="1" xml:space="preserve"> ProjectCashflows!AW$242</f>
        <v>0</v>
      </c>
      <c r="AX145" s="140">
        <f ca="1" xml:space="preserve"> ProjectCashflows!AX$242</f>
        <v>0</v>
      </c>
    </row>
    <row r="146" spans="1:50" ht="15" customHeight="1" x14ac:dyDescent="0.25">
      <c r="A146" s="106"/>
      <c r="B146" s="235"/>
      <c r="C146" s="604"/>
      <c r="D146" s="151" t="str">
        <f>Translate!E530</f>
        <v>less</v>
      </c>
      <c r="E146" s="48" t="str">
        <f xml:space="preserve"> E$135</f>
        <v>Withdrawals to meet decommissioning costs (end of period)</v>
      </c>
      <c r="F146" s="147">
        <f t="shared" ref="F146:AX146" si="15" xml:space="preserve"> F$135</f>
        <v>0</v>
      </c>
      <c r="G146" s="48" t="str">
        <f t="shared" si="15"/>
        <v>US$ mn</v>
      </c>
      <c r="H146" s="48">
        <f t="shared" si="15"/>
        <v>0</v>
      </c>
      <c r="I146" s="48">
        <f t="shared" ca="1" si="15"/>
        <v>1359.7539711319141</v>
      </c>
      <c r="J146" s="48">
        <f t="shared" si="15"/>
        <v>0</v>
      </c>
      <c r="K146" s="48">
        <f t="shared" ca="1" si="15"/>
        <v>0</v>
      </c>
      <c r="L146" s="48">
        <f t="shared" ca="1" si="15"/>
        <v>0</v>
      </c>
      <c r="M146" s="48">
        <f t="shared" ca="1" si="15"/>
        <v>0</v>
      </c>
      <c r="N146" s="48">
        <f t="shared" ca="1" si="15"/>
        <v>0</v>
      </c>
      <c r="O146" s="48">
        <f t="shared" ca="1" si="15"/>
        <v>0</v>
      </c>
      <c r="P146" s="48">
        <f t="shared" ca="1" si="15"/>
        <v>0</v>
      </c>
      <c r="Q146" s="48">
        <f t="shared" ca="1" si="15"/>
        <v>0</v>
      </c>
      <c r="R146" s="48">
        <f t="shared" ca="1" si="15"/>
        <v>0</v>
      </c>
      <c r="S146" s="48">
        <f t="shared" ca="1" si="15"/>
        <v>0</v>
      </c>
      <c r="T146" s="48">
        <f t="shared" ca="1" si="15"/>
        <v>0</v>
      </c>
      <c r="U146" s="48">
        <f t="shared" ca="1" si="15"/>
        <v>0</v>
      </c>
      <c r="V146" s="48">
        <f t="shared" ca="1" si="15"/>
        <v>0</v>
      </c>
      <c r="W146" s="48">
        <f t="shared" ca="1" si="15"/>
        <v>0</v>
      </c>
      <c r="X146" s="48">
        <f t="shared" ca="1" si="15"/>
        <v>0</v>
      </c>
      <c r="Y146" s="48">
        <f t="shared" ca="1" si="15"/>
        <v>0</v>
      </c>
      <c r="Z146" s="48">
        <f t="shared" ca="1" si="15"/>
        <v>0</v>
      </c>
      <c r="AA146" s="48">
        <f t="shared" ca="1" si="15"/>
        <v>0</v>
      </c>
      <c r="AB146" s="48">
        <f t="shared" ca="1" si="15"/>
        <v>0</v>
      </c>
      <c r="AC146" s="48">
        <f t="shared" ca="1" si="15"/>
        <v>0</v>
      </c>
      <c r="AD146" s="48">
        <f t="shared" ca="1" si="15"/>
        <v>0</v>
      </c>
      <c r="AE146" s="48">
        <f t="shared" ca="1" si="15"/>
        <v>0</v>
      </c>
      <c r="AF146" s="48">
        <f t="shared" ca="1" si="15"/>
        <v>0</v>
      </c>
      <c r="AG146" s="48">
        <f t="shared" ca="1" si="15"/>
        <v>0</v>
      </c>
      <c r="AH146" s="48">
        <f t="shared" ca="1" si="15"/>
        <v>0</v>
      </c>
      <c r="AI146" s="48">
        <f t="shared" ca="1" si="15"/>
        <v>0</v>
      </c>
      <c r="AJ146" s="48">
        <f t="shared" ca="1" si="15"/>
        <v>0</v>
      </c>
      <c r="AK146" s="48">
        <f t="shared" ca="1" si="15"/>
        <v>0</v>
      </c>
      <c r="AL146" s="48">
        <f t="shared" ca="1" si="15"/>
        <v>426.72161916027648</v>
      </c>
      <c r="AM146" s="48">
        <f t="shared" ca="1" si="15"/>
        <v>0</v>
      </c>
      <c r="AN146" s="48">
        <f t="shared" ca="1" si="15"/>
        <v>0</v>
      </c>
      <c r="AO146" s="48">
        <f t="shared" ca="1" si="15"/>
        <v>0</v>
      </c>
      <c r="AP146" s="48">
        <f t="shared" ca="1" si="15"/>
        <v>461.89720394635549</v>
      </c>
      <c r="AQ146" s="48">
        <f t="shared" ca="1" si="15"/>
        <v>471.13514802528232</v>
      </c>
      <c r="AR146" s="48">
        <f t="shared" ca="1" si="15"/>
        <v>0</v>
      </c>
      <c r="AS146" s="48">
        <f t="shared" ca="1" si="15"/>
        <v>0</v>
      </c>
      <c r="AT146" s="48">
        <f t="shared" ca="1" si="15"/>
        <v>0</v>
      </c>
      <c r="AU146" s="48">
        <f t="shared" ca="1" si="15"/>
        <v>0</v>
      </c>
      <c r="AV146" s="48">
        <f t="shared" ca="1" si="15"/>
        <v>0</v>
      </c>
      <c r="AW146" s="48">
        <f t="shared" ca="1" si="15"/>
        <v>0</v>
      </c>
      <c r="AX146" s="48">
        <f t="shared" ca="1" si="15"/>
        <v>0</v>
      </c>
    </row>
    <row r="147" spans="1:50" ht="15" customHeight="1" x14ac:dyDescent="0.25">
      <c r="A147" s="106"/>
      <c r="B147" s="235"/>
      <c r="C147" s="604"/>
      <c r="D147" s="151" t="str">
        <f>Translate!E529</f>
        <v>add</v>
      </c>
      <c r="E147" s="48" t="str">
        <f xml:space="preserve"> E$136</f>
        <v>Decommissioning provision for future costs (end of period)</v>
      </c>
      <c r="F147" s="147">
        <f t="shared" ref="F147:AX147" si="16" xml:space="preserve"> F$136</f>
        <v>0</v>
      </c>
      <c r="G147" s="48" t="str">
        <f t="shared" si="16"/>
        <v>US$ mn</v>
      </c>
      <c r="H147" s="48">
        <f t="shared" si="16"/>
        <v>0</v>
      </c>
      <c r="I147" s="48">
        <f t="shared" ca="1" si="16"/>
        <v>1142.4449806063619</v>
      </c>
      <c r="J147" s="48">
        <f t="shared" si="16"/>
        <v>0</v>
      </c>
      <c r="K147" s="48">
        <f t="shared" ca="1" si="16"/>
        <v>0</v>
      </c>
      <c r="L147" s="48">
        <f t="shared" ca="1" si="16"/>
        <v>0</v>
      </c>
      <c r="M147" s="48">
        <f t="shared" ca="1" si="16"/>
        <v>0</v>
      </c>
      <c r="N147" s="48">
        <f t="shared" ca="1" si="16"/>
        <v>0</v>
      </c>
      <c r="O147" s="48">
        <f t="shared" ca="1" si="16"/>
        <v>0</v>
      </c>
      <c r="P147" s="48">
        <f t="shared" ca="1" si="16"/>
        <v>0</v>
      </c>
      <c r="Q147" s="48">
        <f t="shared" ca="1" si="16"/>
        <v>0</v>
      </c>
      <c r="R147" s="48">
        <f t="shared" ca="1" si="16"/>
        <v>0</v>
      </c>
      <c r="S147" s="48">
        <f t="shared" ca="1" si="16"/>
        <v>0</v>
      </c>
      <c r="T147" s="48">
        <f t="shared" ca="1" si="16"/>
        <v>0</v>
      </c>
      <c r="U147" s="48">
        <f t="shared" ca="1" si="16"/>
        <v>0</v>
      </c>
      <c r="V147" s="48">
        <f t="shared" ca="1" si="16"/>
        <v>0</v>
      </c>
      <c r="W147" s="48">
        <f t="shared" ca="1" si="16"/>
        <v>63.743472965385962</v>
      </c>
      <c r="X147" s="48">
        <f t="shared" ca="1" si="16"/>
        <v>63.743472965385962</v>
      </c>
      <c r="Y147" s="48">
        <f t="shared" ca="1" si="16"/>
        <v>63.743472965385962</v>
      </c>
      <c r="Z147" s="48">
        <f t="shared" ca="1" si="16"/>
        <v>63.743472965385962</v>
      </c>
      <c r="AA147" s="48">
        <f t="shared" ca="1" si="16"/>
        <v>63.743472965385962</v>
      </c>
      <c r="AB147" s="48">
        <f t="shared" ca="1" si="16"/>
        <v>63.743472965385962</v>
      </c>
      <c r="AC147" s="48">
        <f t="shared" ca="1" si="16"/>
        <v>63.743472965385962</v>
      </c>
      <c r="AD147" s="48">
        <f t="shared" ca="1" si="16"/>
        <v>63.743472965385962</v>
      </c>
      <c r="AE147" s="48">
        <f t="shared" ca="1" si="16"/>
        <v>63.743472965385962</v>
      </c>
      <c r="AF147" s="48">
        <f t="shared" ca="1" si="16"/>
        <v>63.743472965385962</v>
      </c>
      <c r="AG147" s="48">
        <f t="shared" ca="1" si="16"/>
        <v>63.743472965385962</v>
      </c>
      <c r="AH147" s="48">
        <f t="shared" ca="1" si="16"/>
        <v>63.743472965385962</v>
      </c>
      <c r="AI147" s="48">
        <f t="shared" ca="1" si="16"/>
        <v>63.743472965385962</v>
      </c>
      <c r="AJ147" s="48">
        <f t="shared" ca="1" si="16"/>
        <v>63.743472965385962</v>
      </c>
      <c r="AK147" s="48">
        <f t="shared" ca="1" si="16"/>
        <v>63.743472965385962</v>
      </c>
      <c r="AL147" s="48">
        <f t="shared" ca="1" si="16"/>
        <v>63.743472965385962</v>
      </c>
      <c r="AM147" s="48">
        <f t="shared" ca="1" si="16"/>
        <v>40.849804386728749</v>
      </c>
      <c r="AN147" s="48">
        <f t="shared" ca="1" si="16"/>
        <v>40.849804386728749</v>
      </c>
      <c r="AO147" s="48">
        <f t="shared" ca="1" si="16"/>
        <v>40.849804386728749</v>
      </c>
      <c r="AP147" s="48">
        <f t="shared" ca="1" si="16"/>
        <v>0</v>
      </c>
      <c r="AQ147" s="48">
        <f t="shared" ca="1" si="16"/>
        <v>0</v>
      </c>
      <c r="AR147" s="48">
        <f t="shared" ca="1" si="16"/>
        <v>0</v>
      </c>
      <c r="AS147" s="48">
        <f t="shared" ca="1" si="16"/>
        <v>0</v>
      </c>
      <c r="AT147" s="48">
        <f t="shared" ca="1" si="16"/>
        <v>0</v>
      </c>
      <c r="AU147" s="48">
        <f t="shared" ca="1" si="16"/>
        <v>0</v>
      </c>
      <c r="AV147" s="48">
        <f t="shared" ca="1" si="16"/>
        <v>0</v>
      </c>
      <c r="AW147" s="48">
        <f t="shared" ca="1" si="16"/>
        <v>0</v>
      </c>
      <c r="AX147" s="48">
        <f t="shared" ca="1" si="16"/>
        <v>0</v>
      </c>
    </row>
    <row r="148" spans="1:50" s="485" customFormat="1" ht="15" customHeight="1" x14ac:dyDescent="0.25">
      <c r="A148" s="493"/>
      <c r="B148" s="674"/>
      <c r="C148" s="621"/>
      <c r="D148" s="481"/>
      <c r="E148" s="937" t="str">
        <f xml:space="preserve"> Translate!E$232</f>
        <v>Net decommissioning cashflows including fund</v>
      </c>
      <c r="F148" s="569"/>
      <c r="G148" s="937" t="str">
        <f xml:space="preserve"> Translate!E$603</f>
        <v>US$ mn</v>
      </c>
      <c r="H148" s="494"/>
      <c r="I148" s="495">
        <f ca="1" xml:space="preserve"> SUM(K148:AX148)</f>
        <v>1142.4449806063617</v>
      </c>
      <c r="J148" s="494"/>
      <c r="K148" s="494">
        <f ca="1" xml:space="preserve"> K145 + K147 - K146</f>
        <v>0</v>
      </c>
      <c r="L148" s="494">
        <f t="shared" ref="L148:AX148" ca="1" si="17" xml:space="preserve"> L145 + L147 - L146</f>
        <v>0</v>
      </c>
      <c r="M148" s="494">
        <f t="shared" ca="1" si="17"/>
        <v>0</v>
      </c>
      <c r="N148" s="494">
        <f t="shared" ca="1" si="17"/>
        <v>0</v>
      </c>
      <c r="O148" s="494">
        <f t="shared" ca="1" si="17"/>
        <v>0</v>
      </c>
      <c r="P148" s="494">
        <f t="shared" ca="1" si="17"/>
        <v>0</v>
      </c>
      <c r="Q148" s="494">
        <f t="shared" ca="1" si="17"/>
        <v>0</v>
      </c>
      <c r="R148" s="494">
        <f t="shared" ca="1" si="17"/>
        <v>0</v>
      </c>
      <c r="S148" s="494">
        <f t="shared" ca="1" si="17"/>
        <v>0</v>
      </c>
      <c r="T148" s="494">
        <f t="shared" ca="1" si="17"/>
        <v>0</v>
      </c>
      <c r="U148" s="494">
        <f t="shared" ca="1" si="17"/>
        <v>0</v>
      </c>
      <c r="V148" s="494">
        <f t="shared" ca="1" si="17"/>
        <v>0</v>
      </c>
      <c r="W148" s="494">
        <f t="shared" ca="1" si="17"/>
        <v>63.743472965385962</v>
      </c>
      <c r="X148" s="494">
        <f t="shared" ca="1" si="17"/>
        <v>63.743472965385962</v>
      </c>
      <c r="Y148" s="494">
        <f t="shared" ca="1" si="17"/>
        <v>63.743472965385962</v>
      </c>
      <c r="Z148" s="494">
        <f t="shared" ca="1" si="17"/>
        <v>63.743472965385962</v>
      </c>
      <c r="AA148" s="494">
        <f t="shared" ca="1" si="17"/>
        <v>63.743472965385962</v>
      </c>
      <c r="AB148" s="494">
        <f t="shared" ca="1" si="17"/>
        <v>63.743472965385962</v>
      </c>
      <c r="AC148" s="494">
        <f t="shared" ca="1" si="17"/>
        <v>63.743472965385962</v>
      </c>
      <c r="AD148" s="494">
        <f t="shared" ca="1" si="17"/>
        <v>63.743472965385962</v>
      </c>
      <c r="AE148" s="494">
        <f t="shared" ca="1" si="17"/>
        <v>63.743472965385962</v>
      </c>
      <c r="AF148" s="494">
        <f t="shared" ca="1" si="17"/>
        <v>63.743472965385962</v>
      </c>
      <c r="AG148" s="494">
        <f t="shared" ca="1" si="17"/>
        <v>63.743472965385962</v>
      </c>
      <c r="AH148" s="494">
        <f t="shared" ca="1" si="17"/>
        <v>63.743472965385962</v>
      </c>
      <c r="AI148" s="494">
        <f t="shared" ca="1" si="17"/>
        <v>63.743472965385962</v>
      </c>
      <c r="AJ148" s="494">
        <f t="shared" ca="1" si="17"/>
        <v>63.743472965385962</v>
      </c>
      <c r="AK148" s="494">
        <f t="shared" ca="1" si="17"/>
        <v>63.743472965385962</v>
      </c>
      <c r="AL148" s="494">
        <f t="shared" ca="1" si="17"/>
        <v>63.743472965385934</v>
      </c>
      <c r="AM148" s="494">
        <f t="shared" ca="1" si="17"/>
        <v>40.849804386728749</v>
      </c>
      <c r="AN148" s="494">
        <f t="shared" ca="1" si="17"/>
        <v>40.849804386728749</v>
      </c>
      <c r="AO148" s="494">
        <f t="shared" ca="1" si="17"/>
        <v>40.849804386728749</v>
      </c>
      <c r="AP148" s="494">
        <f t="shared" ca="1" si="17"/>
        <v>0</v>
      </c>
      <c r="AQ148" s="494">
        <f t="shared" ca="1" si="17"/>
        <v>0</v>
      </c>
      <c r="AR148" s="494">
        <f t="shared" ca="1" si="17"/>
        <v>0</v>
      </c>
      <c r="AS148" s="494">
        <f t="shared" ca="1" si="17"/>
        <v>0</v>
      </c>
      <c r="AT148" s="494">
        <f t="shared" ca="1" si="17"/>
        <v>0</v>
      </c>
      <c r="AU148" s="494">
        <f t="shared" ca="1" si="17"/>
        <v>0</v>
      </c>
      <c r="AV148" s="494">
        <f t="shared" ca="1" si="17"/>
        <v>0</v>
      </c>
      <c r="AW148" s="494">
        <f t="shared" ca="1" si="17"/>
        <v>0</v>
      </c>
      <c r="AX148" s="494">
        <f t="shared" ca="1" si="17"/>
        <v>0</v>
      </c>
    </row>
    <row r="149" spans="1:50" ht="15" customHeight="1" x14ac:dyDescent="0.25">
      <c r="A149" s="106"/>
      <c r="B149" s="235"/>
      <c r="C149" s="604"/>
      <c r="D149" s="151"/>
      <c r="E149" s="89"/>
      <c r="F149" s="563"/>
      <c r="G149" s="89"/>
      <c r="H149" s="109"/>
      <c r="I149" s="124"/>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row>
    <row r="150" spans="1:50" ht="15" customHeight="1" x14ac:dyDescent="0.25">
      <c r="A150" s="106"/>
      <c r="B150" s="235"/>
      <c r="C150" s="604"/>
      <c r="D150" s="151" t="str">
        <f>Translate!E529</f>
        <v>add</v>
      </c>
      <c r="E150" s="48" t="str">
        <f xml:space="preserve"> E$135</f>
        <v>Withdrawals to meet decommissioning costs (end of period)</v>
      </c>
      <c r="F150" s="147">
        <f t="shared" ref="F150:AX150" si="18" xml:space="preserve"> F$135</f>
        <v>0</v>
      </c>
      <c r="G150" s="48" t="str">
        <f t="shared" si="18"/>
        <v>US$ mn</v>
      </c>
      <c r="H150" s="48">
        <f t="shared" si="18"/>
        <v>0</v>
      </c>
      <c r="I150" s="48">
        <f t="shared" ca="1" si="18"/>
        <v>1359.7539711319141</v>
      </c>
      <c r="J150" s="48">
        <f t="shared" si="18"/>
        <v>0</v>
      </c>
      <c r="K150" s="48">
        <f t="shared" ca="1" si="18"/>
        <v>0</v>
      </c>
      <c r="L150" s="48">
        <f t="shared" ca="1" si="18"/>
        <v>0</v>
      </c>
      <c r="M150" s="48">
        <f t="shared" ca="1" si="18"/>
        <v>0</v>
      </c>
      <c r="N150" s="48">
        <f t="shared" ca="1" si="18"/>
        <v>0</v>
      </c>
      <c r="O150" s="48">
        <f t="shared" ca="1" si="18"/>
        <v>0</v>
      </c>
      <c r="P150" s="48">
        <f t="shared" ca="1" si="18"/>
        <v>0</v>
      </c>
      <c r="Q150" s="48">
        <f t="shared" ca="1" si="18"/>
        <v>0</v>
      </c>
      <c r="R150" s="48">
        <f t="shared" ca="1" si="18"/>
        <v>0</v>
      </c>
      <c r="S150" s="48">
        <f t="shared" ca="1" si="18"/>
        <v>0</v>
      </c>
      <c r="T150" s="48">
        <f t="shared" ca="1" si="18"/>
        <v>0</v>
      </c>
      <c r="U150" s="48">
        <f t="shared" ca="1" si="18"/>
        <v>0</v>
      </c>
      <c r="V150" s="48">
        <f t="shared" ca="1" si="18"/>
        <v>0</v>
      </c>
      <c r="W150" s="48">
        <f t="shared" ca="1" si="18"/>
        <v>0</v>
      </c>
      <c r="X150" s="48">
        <f t="shared" ca="1" si="18"/>
        <v>0</v>
      </c>
      <c r="Y150" s="48">
        <f t="shared" ca="1" si="18"/>
        <v>0</v>
      </c>
      <c r="Z150" s="48">
        <f t="shared" ca="1" si="18"/>
        <v>0</v>
      </c>
      <c r="AA150" s="48">
        <f t="shared" ca="1" si="18"/>
        <v>0</v>
      </c>
      <c r="AB150" s="48">
        <f t="shared" ca="1" si="18"/>
        <v>0</v>
      </c>
      <c r="AC150" s="48">
        <f t="shared" ca="1" si="18"/>
        <v>0</v>
      </c>
      <c r="AD150" s="48">
        <f t="shared" ca="1" si="18"/>
        <v>0</v>
      </c>
      <c r="AE150" s="48">
        <f t="shared" ca="1" si="18"/>
        <v>0</v>
      </c>
      <c r="AF150" s="48">
        <f t="shared" ca="1" si="18"/>
        <v>0</v>
      </c>
      <c r="AG150" s="48">
        <f t="shared" ca="1" si="18"/>
        <v>0</v>
      </c>
      <c r="AH150" s="48">
        <f t="shared" ca="1" si="18"/>
        <v>0</v>
      </c>
      <c r="AI150" s="48">
        <f t="shared" ca="1" si="18"/>
        <v>0</v>
      </c>
      <c r="AJ150" s="48">
        <f t="shared" ca="1" si="18"/>
        <v>0</v>
      </c>
      <c r="AK150" s="48">
        <f t="shared" ca="1" si="18"/>
        <v>0</v>
      </c>
      <c r="AL150" s="48">
        <f t="shared" ca="1" si="18"/>
        <v>426.72161916027648</v>
      </c>
      <c r="AM150" s="48">
        <f t="shared" ca="1" si="18"/>
        <v>0</v>
      </c>
      <c r="AN150" s="48">
        <f t="shared" ca="1" si="18"/>
        <v>0</v>
      </c>
      <c r="AO150" s="48">
        <f t="shared" ca="1" si="18"/>
        <v>0</v>
      </c>
      <c r="AP150" s="48">
        <f t="shared" ca="1" si="18"/>
        <v>461.89720394635549</v>
      </c>
      <c r="AQ150" s="48">
        <f t="shared" ca="1" si="18"/>
        <v>471.13514802528232</v>
      </c>
      <c r="AR150" s="48">
        <f t="shared" ca="1" si="18"/>
        <v>0</v>
      </c>
      <c r="AS150" s="48">
        <f t="shared" ca="1" si="18"/>
        <v>0</v>
      </c>
      <c r="AT150" s="48">
        <f t="shared" ca="1" si="18"/>
        <v>0</v>
      </c>
      <c r="AU150" s="48">
        <f t="shared" ca="1" si="18"/>
        <v>0</v>
      </c>
      <c r="AV150" s="48">
        <f t="shared" ca="1" si="18"/>
        <v>0</v>
      </c>
      <c r="AW150" s="48">
        <f t="shared" ca="1" si="18"/>
        <v>0</v>
      </c>
      <c r="AX150" s="48">
        <f t="shared" ca="1" si="18"/>
        <v>0</v>
      </c>
    </row>
    <row r="151" spans="1:50" ht="15" customHeight="1" x14ac:dyDescent="0.25">
      <c r="A151" s="106"/>
      <c r="B151" s="235"/>
      <c r="C151" s="604"/>
      <c r="D151" s="151" t="str">
        <f>Translate!E530</f>
        <v>less</v>
      </c>
      <c r="E151" s="48" t="str">
        <f xml:space="preserve"> E$136</f>
        <v>Decommissioning provision for future costs (end of period)</v>
      </c>
      <c r="F151" s="147">
        <f t="shared" ref="F151:AX151" si="19" xml:space="preserve"> F$136</f>
        <v>0</v>
      </c>
      <c r="G151" s="48" t="str">
        <f t="shared" si="19"/>
        <v>US$ mn</v>
      </c>
      <c r="H151" s="48">
        <f t="shared" si="19"/>
        <v>0</v>
      </c>
      <c r="I151" s="48">
        <f t="shared" ca="1" si="19"/>
        <v>1142.4449806063619</v>
      </c>
      <c r="J151" s="48">
        <f t="shared" si="19"/>
        <v>0</v>
      </c>
      <c r="K151" s="48">
        <f t="shared" ca="1" si="19"/>
        <v>0</v>
      </c>
      <c r="L151" s="48">
        <f t="shared" ca="1" si="19"/>
        <v>0</v>
      </c>
      <c r="M151" s="48">
        <f t="shared" ca="1" si="19"/>
        <v>0</v>
      </c>
      <c r="N151" s="48">
        <f t="shared" ca="1" si="19"/>
        <v>0</v>
      </c>
      <c r="O151" s="48">
        <f t="shared" ca="1" si="19"/>
        <v>0</v>
      </c>
      <c r="P151" s="48">
        <f t="shared" ca="1" si="19"/>
        <v>0</v>
      </c>
      <c r="Q151" s="48">
        <f t="shared" ca="1" si="19"/>
        <v>0</v>
      </c>
      <c r="R151" s="48">
        <f t="shared" ca="1" si="19"/>
        <v>0</v>
      </c>
      <c r="S151" s="48">
        <f t="shared" ca="1" si="19"/>
        <v>0</v>
      </c>
      <c r="T151" s="48">
        <f t="shared" ca="1" si="19"/>
        <v>0</v>
      </c>
      <c r="U151" s="48">
        <f t="shared" ca="1" si="19"/>
        <v>0</v>
      </c>
      <c r="V151" s="48">
        <f t="shared" ca="1" si="19"/>
        <v>0</v>
      </c>
      <c r="W151" s="48">
        <f t="shared" ca="1" si="19"/>
        <v>63.743472965385962</v>
      </c>
      <c r="X151" s="48">
        <f t="shared" ca="1" si="19"/>
        <v>63.743472965385962</v>
      </c>
      <c r="Y151" s="48">
        <f t="shared" ca="1" si="19"/>
        <v>63.743472965385962</v>
      </c>
      <c r="Z151" s="48">
        <f t="shared" ca="1" si="19"/>
        <v>63.743472965385962</v>
      </c>
      <c r="AA151" s="48">
        <f t="shared" ca="1" si="19"/>
        <v>63.743472965385962</v>
      </c>
      <c r="AB151" s="48">
        <f t="shared" ca="1" si="19"/>
        <v>63.743472965385962</v>
      </c>
      <c r="AC151" s="48">
        <f t="shared" ca="1" si="19"/>
        <v>63.743472965385962</v>
      </c>
      <c r="AD151" s="48">
        <f t="shared" ca="1" si="19"/>
        <v>63.743472965385962</v>
      </c>
      <c r="AE151" s="48">
        <f t="shared" ca="1" si="19"/>
        <v>63.743472965385962</v>
      </c>
      <c r="AF151" s="48">
        <f t="shared" ca="1" si="19"/>
        <v>63.743472965385962</v>
      </c>
      <c r="AG151" s="48">
        <f t="shared" ca="1" si="19"/>
        <v>63.743472965385962</v>
      </c>
      <c r="AH151" s="48">
        <f t="shared" ca="1" si="19"/>
        <v>63.743472965385962</v>
      </c>
      <c r="AI151" s="48">
        <f t="shared" ca="1" si="19"/>
        <v>63.743472965385962</v>
      </c>
      <c r="AJ151" s="48">
        <f t="shared" ca="1" si="19"/>
        <v>63.743472965385962</v>
      </c>
      <c r="AK151" s="48">
        <f t="shared" ca="1" si="19"/>
        <v>63.743472965385962</v>
      </c>
      <c r="AL151" s="48">
        <f t="shared" ca="1" si="19"/>
        <v>63.743472965385962</v>
      </c>
      <c r="AM151" s="48">
        <f t="shared" ca="1" si="19"/>
        <v>40.849804386728749</v>
      </c>
      <c r="AN151" s="48">
        <f t="shared" ca="1" si="19"/>
        <v>40.849804386728749</v>
      </c>
      <c r="AO151" s="48">
        <f t="shared" ca="1" si="19"/>
        <v>40.849804386728749</v>
      </c>
      <c r="AP151" s="48">
        <f t="shared" ca="1" si="19"/>
        <v>0</v>
      </c>
      <c r="AQ151" s="48">
        <f t="shared" ca="1" si="19"/>
        <v>0</v>
      </c>
      <c r="AR151" s="48">
        <f t="shared" ca="1" si="19"/>
        <v>0</v>
      </c>
      <c r="AS151" s="48">
        <f t="shared" ca="1" si="19"/>
        <v>0</v>
      </c>
      <c r="AT151" s="48">
        <f t="shared" ca="1" si="19"/>
        <v>0</v>
      </c>
      <c r="AU151" s="48">
        <f t="shared" ca="1" si="19"/>
        <v>0</v>
      </c>
      <c r="AV151" s="48">
        <f t="shared" ca="1" si="19"/>
        <v>0</v>
      </c>
      <c r="AW151" s="48">
        <f t="shared" ca="1" si="19"/>
        <v>0</v>
      </c>
      <c r="AX151" s="48">
        <f t="shared" ca="1" si="19"/>
        <v>0</v>
      </c>
    </row>
    <row r="152" spans="1:50" s="485" customFormat="1" ht="15" customHeight="1" x14ac:dyDescent="0.25">
      <c r="A152" s="496"/>
      <c r="B152" s="674"/>
      <c r="C152" s="622"/>
      <c r="D152" s="498"/>
      <c r="E152" s="500" t="str">
        <f xml:space="preserve"> Translate!E$233</f>
        <v>Net decommissioning cashflows</v>
      </c>
      <c r="F152" s="570"/>
      <c r="G152" s="500" t="str">
        <f xml:space="preserve"> Translate!E$603</f>
        <v>US$ mn</v>
      </c>
      <c r="H152" s="496"/>
      <c r="I152" s="501">
        <f ca="1" xml:space="preserve"> SUM(K152:AX152)</f>
        <v>217.30899052555242</v>
      </c>
      <c r="J152" s="496"/>
      <c r="K152" s="496">
        <f t="shared" ref="K152:AX152" ca="1" si="20">K150 - K151</f>
        <v>0</v>
      </c>
      <c r="L152" s="496">
        <f t="shared" ca="1" si="20"/>
        <v>0</v>
      </c>
      <c r="M152" s="496">
        <f t="shared" ca="1" si="20"/>
        <v>0</v>
      </c>
      <c r="N152" s="496">
        <f t="shared" ca="1" si="20"/>
        <v>0</v>
      </c>
      <c r="O152" s="496">
        <f t="shared" ca="1" si="20"/>
        <v>0</v>
      </c>
      <c r="P152" s="496">
        <f t="shared" ca="1" si="20"/>
        <v>0</v>
      </c>
      <c r="Q152" s="496">
        <f t="shared" ca="1" si="20"/>
        <v>0</v>
      </c>
      <c r="R152" s="496">
        <f t="shared" ca="1" si="20"/>
        <v>0</v>
      </c>
      <c r="S152" s="496">
        <f t="shared" ca="1" si="20"/>
        <v>0</v>
      </c>
      <c r="T152" s="496">
        <f t="shared" ca="1" si="20"/>
        <v>0</v>
      </c>
      <c r="U152" s="496">
        <f t="shared" ca="1" si="20"/>
        <v>0</v>
      </c>
      <c r="V152" s="496">
        <f t="shared" ca="1" si="20"/>
        <v>0</v>
      </c>
      <c r="W152" s="496">
        <f t="shared" ca="1" si="20"/>
        <v>-63.743472965385962</v>
      </c>
      <c r="X152" s="496">
        <f t="shared" ca="1" si="20"/>
        <v>-63.743472965385962</v>
      </c>
      <c r="Y152" s="496">
        <f t="shared" ca="1" si="20"/>
        <v>-63.743472965385962</v>
      </c>
      <c r="Z152" s="496">
        <f t="shared" ca="1" si="20"/>
        <v>-63.743472965385962</v>
      </c>
      <c r="AA152" s="496">
        <f t="shared" ca="1" si="20"/>
        <v>-63.743472965385962</v>
      </c>
      <c r="AB152" s="496">
        <f t="shared" ca="1" si="20"/>
        <v>-63.743472965385962</v>
      </c>
      <c r="AC152" s="496">
        <f t="shared" ca="1" si="20"/>
        <v>-63.743472965385962</v>
      </c>
      <c r="AD152" s="496">
        <f t="shared" ca="1" si="20"/>
        <v>-63.743472965385962</v>
      </c>
      <c r="AE152" s="496">
        <f t="shared" ca="1" si="20"/>
        <v>-63.743472965385962</v>
      </c>
      <c r="AF152" s="496">
        <f t="shared" ca="1" si="20"/>
        <v>-63.743472965385962</v>
      </c>
      <c r="AG152" s="496">
        <f t="shared" ca="1" si="20"/>
        <v>-63.743472965385962</v>
      </c>
      <c r="AH152" s="496">
        <f t="shared" ca="1" si="20"/>
        <v>-63.743472965385962</v>
      </c>
      <c r="AI152" s="496">
        <f t="shared" ca="1" si="20"/>
        <v>-63.743472965385962</v>
      </c>
      <c r="AJ152" s="496">
        <f t="shared" ca="1" si="20"/>
        <v>-63.743472965385962</v>
      </c>
      <c r="AK152" s="496">
        <f t="shared" ca="1" si="20"/>
        <v>-63.743472965385962</v>
      </c>
      <c r="AL152" s="496">
        <f t="shared" ca="1" si="20"/>
        <v>362.97814619489054</v>
      </c>
      <c r="AM152" s="496">
        <f t="shared" ca="1" si="20"/>
        <v>-40.849804386728749</v>
      </c>
      <c r="AN152" s="496">
        <f t="shared" ca="1" si="20"/>
        <v>-40.849804386728749</v>
      </c>
      <c r="AO152" s="496">
        <f t="shared" ca="1" si="20"/>
        <v>-40.849804386728749</v>
      </c>
      <c r="AP152" s="496">
        <f t="shared" ca="1" si="20"/>
        <v>461.89720394635549</v>
      </c>
      <c r="AQ152" s="496">
        <f t="shared" ca="1" si="20"/>
        <v>471.13514802528232</v>
      </c>
      <c r="AR152" s="496">
        <f t="shared" ca="1" si="20"/>
        <v>0</v>
      </c>
      <c r="AS152" s="496">
        <f t="shared" ca="1" si="20"/>
        <v>0</v>
      </c>
      <c r="AT152" s="496">
        <f t="shared" ca="1" si="20"/>
        <v>0</v>
      </c>
      <c r="AU152" s="496">
        <f t="shared" ca="1" si="20"/>
        <v>0</v>
      </c>
      <c r="AV152" s="496">
        <f t="shared" ca="1" si="20"/>
        <v>0</v>
      </c>
      <c r="AW152" s="496">
        <f t="shared" ca="1" si="20"/>
        <v>0</v>
      </c>
      <c r="AX152" s="496">
        <f t="shared" ca="1" si="20"/>
        <v>0</v>
      </c>
    </row>
    <row r="153" spans="1:50" ht="15" customHeight="1" x14ac:dyDescent="0.25">
      <c r="A153" s="106"/>
      <c r="B153" s="235"/>
      <c r="C153" s="604"/>
      <c r="D153" s="151"/>
      <c r="E153" s="89"/>
      <c r="F153" s="563"/>
      <c r="G153" s="89"/>
      <c r="H153" s="109"/>
      <c r="I153" s="124"/>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row>
    <row r="154" spans="1:50" ht="15" customHeight="1" x14ac:dyDescent="0.25">
      <c r="A154" s="106"/>
      <c r="B154" s="235"/>
      <c r="C154" s="604"/>
      <c r="D154" s="151"/>
      <c r="E154" s="48" t="str">
        <f t="shared" ref="E154:AX154" si="21">E152</f>
        <v>Net decommissioning cashflows</v>
      </c>
      <c r="F154" s="147">
        <f t="shared" si="21"/>
        <v>0</v>
      </c>
      <c r="G154" s="48" t="str">
        <f t="shared" si="21"/>
        <v>US$ mn</v>
      </c>
      <c r="H154" s="48">
        <f t="shared" si="21"/>
        <v>0</v>
      </c>
      <c r="I154" s="48">
        <f t="shared" ca="1" si="21"/>
        <v>217.30899052555242</v>
      </c>
      <c r="J154" s="48">
        <f t="shared" si="21"/>
        <v>0</v>
      </c>
      <c r="K154" s="48">
        <f t="shared" ca="1" si="21"/>
        <v>0</v>
      </c>
      <c r="L154" s="48">
        <f t="shared" ca="1" si="21"/>
        <v>0</v>
      </c>
      <c r="M154" s="48">
        <f t="shared" ca="1" si="21"/>
        <v>0</v>
      </c>
      <c r="N154" s="48">
        <f t="shared" ca="1" si="21"/>
        <v>0</v>
      </c>
      <c r="O154" s="48">
        <f t="shared" ca="1" si="21"/>
        <v>0</v>
      </c>
      <c r="P154" s="48">
        <f t="shared" ca="1" si="21"/>
        <v>0</v>
      </c>
      <c r="Q154" s="48">
        <f t="shared" ca="1" si="21"/>
        <v>0</v>
      </c>
      <c r="R154" s="48">
        <f t="shared" ca="1" si="21"/>
        <v>0</v>
      </c>
      <c r="S154" s="48">
        <f t="shared" ca="1" si="21"/>
        <v>0</v>
      </c>
      <c r="T154" s="48">
        <f t="shared" ca="1" si="21"/>
        <v>0</v>
      </c>
      <c r="U154" s="48">
        <f t="shared" ca="1" si="21"/>
        <v>0</v>
      </c>
      <c r="V154" s="48">
        <f t="shared" ca="1" si="21"/>
        <v>0</v>
      </c>
      <c r="W154" s="48">
        <f t="shared" ca="1" si="21"/>
        <v>-63.743472965385962</v>
      </c>
      <c r="X154" s="48">
        <f t="shared" ca="1" si="21"/>
        <v>-63.743472965385962</v>
      </c>
      <c r="Y154" s="48">
        <f t="shared" ca="1" si="21"/>
        <v>-63.743472965385962</v>
      </c>
      <c r="Z154" s="48">
        <f t="shared" ca="1" si="21"/>
        <v>-63.743472965385962</v>
      </c>
      <c r="AA154" s="48">
        <f t="shared" ca="1" si="21"/>
        <v>-63.743472965385962</v>
      </c>
      <c r="AB154" s="48">
        <f t="shared" ca="1" si="21"/>
        <v>-63.743472965385962</v>
      </c>
      <c r="AC154" s="48">
        <f t="shared" ca="1" si="21"/>
        <v>-63.743472965385962</v>
      </c>
      <c r="AD154" s="48">
        <f t="shared" ca="1" si="21"/>
        <v>-63.743472965385962</v>
      </c>
      <c r="AE154" s="48">
        <f t="shared" ca="1" si="21"/>
        <v>-63.743472965385962</v>
      </c>
      <c r="AF154" s="48">
        <f t="shared" ca="1" si="21"/>
        <v>-63.743472965385962</v>
      </c>
      <c r="AG154" s="48">
        <f t="shared" ca="1" si="21"/>
        <v>-63.743472965385962</v>
      </c>
      <c r="AH154" s="48">
        <f t="shared" ca="1" si="21"/>
        <v>-63.743472965385962</v>
      </c>
      <c r="AI154" s="48">
        <f t="shared" ca="1" si="21"/>
        <v>-63.743472965385962</v>
      </c>
      <c r="AJ154" s="48">
        <f t="shared" ca="1" si="21"/>
        <v>-63.743472965385962</v>
      </c>
      <c r="AK154" s="48">
        <f t="shared" ca="1" si="21"/>
        <v>-63.743472965385962</v>
      </c>
      <c r="AL154" s="48">
        <f t="shared" ca="1" si="21"/>
        <v>362.97814619489054</v>
      </c>
      <c r="AM154" s="48">
        <f t="shared" ca="1" si="21"/>
        <v>-40.849804386728749</v>
      </c>
      <c r="AN154" s="48">
        <f t="shared" ca="1" si="21"/>
        <v>-40.849804386728749</v>
      </c>
      <c r="AO154" s="48">
        <f t="shared" ca="1" si="21"/>
        <v>-40.849804386728749</v>
      </c>
      <c r="AP154" s="48">
        <f t="shared" ca="1" si="21"/>
        <v>461.89720394635549</v>
      </c>
      <c r="AQ154" s="48">
        <f t="shared" ca="1" si="21"/>
        <v>471.13514802528232</v>
      </c>
      <c r="AR154" s="48">
        <f t="shared" ca="1" si="21"/>
        <v>0</v>
      </c>
      <c r="AS154" s="48">
        <f t="shared" ca="1" si="21"/>
        <v>0</v>
      </c>
      <c r="AT154" s="48">
        <f t="shared" ca="1" si="21"/>
        <v>0</v>
      </c>
      <c r="AU154" s="48">
        <f t="shared" ca="1" si="21"/>
        <v>0</v>
      </c>
      <c r="AV154" s="48">
        <f t="shared" ca="1" si="21"/>
        <v>0</v>
      </c>
      <c r="AW154" s="48">
        <f t="shared" ca="1" si="21"/>
        <v>0</v>
      </c>
      <c r="AX154" s="48">
        <f t="shared" ca="1" si="21"/>
        <v>0</v>
      </c>
    </row>
    <row r="155" spans="1:50" s="40" customFormat="1" ht="15" customHeight="1" x14ac:dyDescent="0.25">
      <c r="A155" s="290"/>
      <c r="B155" s="235"/>
      <c r="C155" s="613"/>
      <c r="D155" s="210"/>
      <c r="E155" s="222" t="str">
        <f xml:space="preserve"> ProjectCashflows!E$245</f>
        <v>Cashflow before decommissioning fund</v>
      </c>
      <c r="F155" s="533">
        <f xml:space="preserve"> ProjectCashflows!F$245</f>
        <v>0</v>
      </c>
      <c r="G155" s="222" t="str">
        <f xml:space="preserve"> ProjectCashflows!G$245</f>
        <v>US$ mn</v>
      </c>
      <c r="H155" s="222">
        <f xml:space="preserve"> ProjectCashflows!H$245</f>
        <v>0</v>
      </c>
      <c r="I155" s="222">
        <f ca="1" xml:space="preserve"> ProjectCashflows!I$245</f>
        <v>38774.104672459696</v>
      </c>
      <c r="J155" s="222">
        <f xml:space="preserve"> ProjectCashflows!J$245</f>
        <v>0</v>
      </c>
      <c r="K155" s="222">
        <f ca="1" xml:space="preserve"> ProjectCashflows!K$245</f>
        <v>-420</v>
      </c>
      <c r="L155" s="222">
        <f ca="1" xml:space="preserve"> ProjectCashflows!L$245</f>
        <v>-51</v>
      </c>
      <c r="M155" s="222">
        <f ca="1" xml:space="preserve"> ProjectCashflows!M$245</f>
        <v>-312.12</v>
      </c>
      <c r="N155" s="222">
        <f ca="1" xml:space="preserve"> ProjectCashflows!N$245</f>
        <v>-1273.4495999999999</v>
      </c>
      <c r="O155" s="222">
        <f ca="1" xml:space="preserve"> ProjectCashflows!O$245</f>
        <v>-1145.5830293901518</v>
      </c>
      <c r="P155" s="222">
        <f ca="1" xml:space="preserve"> ProjectCashflows!P$245</f>
        <v>-854.97257197800013</v>
      </c>
      <c r="Q155" s="222">
        <f ca="1" xml:space="preserve"> ProjectCashflows!Q$245</f>
        <v>1859.5756948096803</v>
      </c>
      <c r="R155" s="222">
        <f ca="1" xml:space="preserve"> ProjectCashflows!R$245</f>
        <v>2643.4128926779058</v>
      </c>
      <c r="S155" s="222">
        <f ca="1" xml:space="preserve"> ProjectCashflows!S$245</f>
        <v>2930.6130267319172</v>
      </c>
      <c r="T155" s="222">
        <f ca="1" xml:space="preserve"> ProjectCashflows!T$245</f>
        <v>2989.2252872665558</v>
      </c>
      <c r="U155" s="222">
        <f ca="1" xml:space="preserve"> ProjectCashflows!U$245</f>
        <v>3049.0097930118864</v>
      </c>
      <c r="V155" s="222">
        <f ca="1" xml:space="preserve"> ProjectCashflows!V$245</f>
        <v>3109.9899888721243</v>
      </c>
      <c r="W155" s="222">
        <f ca="1" xml:space="preserve"> ProjectCashflows!W$245</f>
        <v>3172.1897886495672</v>
      </c>
      <c r="X155" s="222">
        <f ca="1" xml:space="preserve"> ProjectCashflows!X$245</f>
        <v>3235.6335844225578</v>
      </c>
      <c r="Y155" s="222">
        <f ca="1" xml:space="preserve"> ProjectCashflows!Y$245</f>
        <v>3300.3462561110096</v>
      </c>
      <c r="Z155" s="222">
        <f ca="1" xml:space="preserve"> ProjectCashflows!Z$245</f>
        <v>3366.3531812332299</v>
      </c>
      <c r="AA155" s="222">
        <f ca="1" xml:space="preserve"> ProjectCashflows!AA$245</f>
        <v>2648.2580635116151</v>
      </c>
      <c r="AB155" s="222">
        <f ca="1" xml:space="preserve"> ProjectCashflows!AB$245</f>
        <v>2402.367773351657</v>
      </c>
      <c r="AC155" s="222">
        <f ca="1" xml:space="preserve"> ProjectCashflows!AC$245</f>
        <v>2071.387976946261</v>
      </c>
      <c r="AD155" s="222">
        <f ca="1" xml:space="preserve"> ProjectCashflows!AD$245</f>
        <v>1393.0675053556774</v>
      </c>
      <c r="AE155" s="222">
        <f ca="1" xml:space="preserve"> ProjectCashflows!AE$245</f>
        <v>1084.6791190642259</v>
      </c>
      <c r="AF155" s="222">
        <f ca="1" xml:space="preserve"> ProjectCashflows!AF$245</f>
        <v>1120.7836403365359</v>
      </c>
      <c r="AG155" s="222">
        <f ca="1" xml:space="preserve"> ProjectCashflows!AG$245</f>
        <v>910.39250876791743</v>
      </c>
      <c r="AH155" s="222">
        <f ca="1" xml:space="preserve"> ProjectCashflows!AH$245</f>
        <v>730.08970104537377</v>
      </c>
      <c r="AI155" s="222">
        <f ca="1" xml:space="preserve"> ProjectCashflows!AI$245</f>
        <v>582.21000489803623</v>
      </c>
      <c r="AJ155" s="222">
        <f ca="1" xml:space="preserve"> ProjectCashflows!AJ$245</f>
        <v>461.17057351373421</v>
      </c>
      <c r="AK155" s="222">
        <f ca="1" xml:space="preserve"> ProjectCashflows!AK$245</f>
        <v>362.36051586199994</v>
      </c>
      <c r="AL155" s="222">
        <f ca="1" xml:space="preserve"> ProjectCashflows!AL$245</f>
        <v>-144.74960301683154</v>
      </c>
      <c r="AM155" s="222">
        <f ca="1" xml:space="preserve"> ProjectCashflows!AM$245</f>
        <v>216.86080583060547</v>
      </c>
      <c r="AN155" s="222">
        <f ca="1" xml:space="preserve"> ProjectCashflows!AN$245</f>
        <v>155.55166339629073</v>
      </c>
      <c r="AO155" s="222">
        <f ca="1" xml:space="preserve"> ProjectCashflows!AO$245</f>
        <v>113.48248314995762</v>
      </c>
      <c r="AP155" s="222">
        <f ca="1" xml:space="preserve"> ProjectCashflows!AP$245</f>
        <v>-461.89720394635549</v>
      </c>
      <c r="AQ155" s="222">
        <f ca="1" xml:space="preserve"> ProjectCashflows!AQ$245</f>
        <v>-471.1351480252826</v>
      </c>
      <c r="AR155" s="222">
        <f ca="1" xml:space="preserve"> ProjectCashflows!AR$245</f>
        <v>0</v>
      </c>
      <c r="AS155" s="222">
        <f ca="1" xml:space="preserve"> ProjectCashflows!AS$245</f>
        <v>0</v>
      </c>
      <c r="AT155" s="222">
        <f ca="1" xml:space="preserve"> ProjectCashflows!AT$245</f>
        <v>0</v>
      </c>
      <c r="AU155" s="222">
        <f ca="1" xml:space="preserve"> ProjectCashflows!AU$245</f>
        <v>0</v>
      </c>
      <c r="AV155" s="222">
        <f ca="1" xml:space="preserve"> ProjectCashflows!AV$245</f>
        <v>0</v>
      </c>
      <c r="AW155" s="222">
        <f ca="1" xml:space="preserve"> ProjectCashflows!AW$245</f>
        <v>0</v>
      </c>
      <c r="AX155" s="222">
        <f ca="1" xml:space="preserve"> ProjectCashflows!AX$245</f>
        <v>0</v>
      </c>
    </row>
    <row r="156" spans="1:50" s="485" customFormat="1" ht="15" customHeight="1" x14ac:dyDescent="0.25">
      <c r="A156" s="493"/>
      <c r="B156" s="674"/>
      <c r="C156" s="621"/>
      <c r="D156" s="481"/>
      <c r="E156" s="483" t="str">
        <f xml:space="preserve"> Translate!E$234</f>
        <v>Cashflows before fiscal regime after decommissioning</v>
      </c>
      <c r="F156" s="569"/>
      <c r="G156" s="483" t="str">
        <f xml:space="preserve"> Translate!E$603</f>
        <v>US$ mn</v>
      </c>
      <c r="H156" s="494"/>
      <c r="I156" s="495">
        <f ca="1" xml:space="preserve"> SUM(K156:AX156)</f>
        <v>38991.413662985266</v>
      </c>
      <c r="J156" s="494"/>
      <c r="K156" s="494">
        <f ca="1" xml:space="preserve"> K155 + K154</f>
        <v>-420</v>
      </c>
      <c r="L156" s="494">
        <f t="shared" ref="L156:AX156" ca="1" si="22" xml:space="preserve"> L155 + L154</f>
        <v>-51</v>
      </c>
      <c r="M156" s="494">
        <f t="shared" ca="1" si="22"/>
        <v>-312.12</v>
      </c>
      <c r="N156" s="494">
        <f t="shared" ca="1" si="22"/>
        <v>-1273.4495999999999</v>
      </c>
      <c r="O156" s="494">
        <f t="shared" ca="1" si="22"/>
        <v>-1145.5830293901518</v>
      </c>
      <c r="P156" s="494">
        <f t="shared" ca="1" si="22"/>
        <v>-854.97257197800013</v>
      </c>
      <c r="Q156" s="494">
        <f t="shared" ca="1" si="22"/>
        <v>1859.5756948096803</v>
      </c>
      <c r="R156" s="494">
        <f t="shared" ca="1" si="22"/>
        <v>2643.4128926779058</v>
      </c>
      <c r="S156" s="494">
        <f t="shared" ca="1" si="22"/>
        <v>2930.6130267319172</v>
      </c>
      <c r="T156" s="494">
        <f t="shared" ca="1" si="22"/>
        <v>2989.2252872665558</v>
      </c>
      <c r="U156" s="494">
        <f t="shared" ca="1" si="22"/>
        <v>3049.0097930118864</v>
      </c>
      <c r="V156" s="494">
        <f t="shared" ca="1" si="22"/>
        <v>3109.9899888721243</v>
      </c>
      <c r="W156" s="494">
        <f t="shared" ca="1" si="22"/>
        <v>3108.4463156841812</v>
      </c>
      <c r="X156" s="494">
        <f t="shared" ca="1" si="22"/>
        <v>3171.8901114571718</v>
      </c>
      <c r="Y156" s="494">
        <f t="shared" ca="1" si="22"/>
        <v>3236.6027831456236</v>
      </c>
      <c r="Z156" s="494">
        <f t="shared" ca="1" si="22"/>
        <v>3302.6097082678439</v>
      </c>
      <c r="AA156" s="494">
        <f t="shared" ca="1" si="22"/>
        <v>2584.5145905462291</v>
      </c>
      <c r="AB156" s="494">
        <f t="shared" ca="1" si="22"/>
        <v>2338.624300386271</v>
      </c>
      <c r="AC156" s="494">
        <f t="shared" ca="1" si="22"/>
        <v>2007.644503980875</v>
      </c>
      <c r="AD156" s="494">
        <f t="shared" ca="1" si="22"/>
        <v>1329.3240323902914</v>
      </c>
      <c r="AE156" s="494">
        <f t="shared" ca="1" si="22"/>
        <v>1020.9356460988399</v>
      </c>
      <c r="AF156" s="494">
        <f t="shared" ca="1" si="22"/>
        <v>1057.0401673711499</v>
      </c>
      <c r="AG156" s="494">
        <f t="shared" ca="1" si="22"/>
        <v>846.64903580253144</v>
      </c>
      <c r="AH156" s="494">
        <f t="shared" ca="1" si="22"/>
        <v>666.34622807998778</v>
      </c>
      <c r="AI156" s="494">
        <f t="shared" ca="1" si="22"/>
        <v>518.46653193265024</v>
      </c>
      <c r="AJ156" s="494">
        <f t="shared" ca="1" si="22"/>
        <v>397.42710054834822</v>
      </c>
      <c r="AK156" s="494">
        <f t="shared" ca="1" si="22"/>
        <v>298.61704289661395</v>
      </c>
      <c r="AL156" s="494">
        <f t="shared" ca="1" si="22"/>
        <v>218.228543178059</v>
      </c>
      <c r="AM156" s="494">
        <f t="shared" ca="1" si="22"/>
        <v>176.01100144387672</v>
      </c>
      <c r="AN156" s="494">
        <f t="shared" ca="1" si="22"/>
        <v>114.70185900956199</v>
      </c>
      <c r="AO156" s="494">
        <f t="shared" ca="1" si="22"/>
        <v>72.632678763228867</v>
      </c>
      <c r="AP156" s="494">
        <f t="shared" ca="1" si="22"/>
        <v>0</v>
      </c>
      <c r="AQ156" s="494">
        <f t="shared" ca="1" si="22"/>
        <v>0</v>
      </c>
      <c r="AR156" s="494">
        <f t="shared" ca="1" si="22"/>
        <v>0</v>
      </c>
      <c r="AS156" s="494">
        <f t="shared" ca="1" si="22"/>
        <v>0</v>
      </c>
      <c r="AT156" s="494">
        <f t="shared" ca="1" si="22"/>
        <v>0</v>
      </c>
      <c r="AU156" s="494">
        <f t="shared" ca="1" si="22"/>
        <v>0</v>
      </c>
      <c r="AV156" s="494">
        <f t="shared" ca="1" si="22"/>
        <v>0</v>
      </c>
      <c r="AW156" s="494">
        <f t="shared" ca="1" si="22"/>
        <v>0</v>
      </c>
      <c r="AX156" s="494">
        <f t="shared" ca="1" si="22"/>
        <v>0</v>
      </c>
    </row>
    <row r="157" spans="1:50" ht="15" customHeight="1" x14ac:dyDescent="0.25">
      <c r="A157" s="86"/>
      <c r="B157" s="235"/>
      <c r="C157" s="604"/>
      <c r="D157" s="151"/>
      <c r="E157" s="89"/>
      <c r="F157" s="563"/>
      <c r="G157" s="89"/>
      <c r="H157" s="89"/>
      <c r="I157" s="151"/>
      <c r="J157" s="89"/>
      <c r="K157" s="89"/>
      <c r="L157" s="89"/>
      <c r="M157" s="89"/>
      <c r="N157" s="89"/>
      <c r="O157" s="89"/>
      <c r="P157" s="89"/>
      <c r="Q157" s="89"/>
      <c r="R157" s="89"/>
      <c r="S157" s="89"/>
      <c r="T157" s="89"/>
      <c r="U157" s="89"/>
      <c r="V157" s="89"/>
      <c r="W157" s="89"/>
      <c r="X157" s="89"/>
      <c r="Y157" s="89"/>
      <c r="Z157" s="89"/>
      <c r="AA157" s="89"/>
      <c r="AB157" s="89"/>
      <c r="AC157" s="89"/>
      <c r="AD157" s="89"/>
      <c r="AE157" s="89"/>
      <c r="AF157" s="89"/>
      <c r="AG157" s="89"/>
      <c r="AH157" s="89"/>
      <c r="AI157" s="89"/>
      <c r="AJ157" s="89"/>
      <c r="AK157" s="89"/>
      <c r="AL157" s="89"/>
      <c r="AM157" s="89"/>
      <c r="AN157" s="89"/>
      <c r="AO157" s="89"/>
      <c r="AP157" s="89"/>
      <c r="AQ157" s="89"/>
      <c r="AR157" s="89"/>
      <c r="AS157" s="89"/>
      <c r="AT157" s="89"/>
      <c r="AU157" s="89"/>
      <c r="AV157" s="89"/>
      <c r="AW157" s="89"/>
      <c r="AX157" s="89"/>
    </row>
    <row r="158" spans="1:50" ht="15" customHeight="1" x14ac:dyDescent="0.25">
      <c r="A158" s="86"/>
      <c r="B158" s="235"/>
      <c r="C158" s="604"/>
      <c r="D158" s="162"/>
      <c r="E158" s="13"/>
      <c r="F158" s="151"/>
      <c r="G158" s="13"/>
      <c r="H158" s="13"/>
      <c r="I158" s="89"/>
      <c r="J158" s="56"/>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row>
    <row r="159" spans="1:50" ht="15" customHeight="1" x14ac:dyDescent="0.25">
      <c r="A159" s="202" t="str">
        <f xml:space="preserve"> Translate!E$123</f>
        <v>Bonus</v>
      </c>
      <c r="B159" s="781"/>
      <c r="C159" s="610"/>
      <c r="D159" s="204"/>
      <c r="E159" s="202"/>
      <c r="F159" s="204"/>
      <c r="G159" s="202"/>
      <c r="H159" s="202"/>
      <c r="I159" s="202"/>
      <c r="J159" s="202"/>
      <c r="K159" s="202"/>
      <c r="L159" s="202"/>
      <c r="M159" s="202"/>
      <c r="N159" s="202"/>
      <c r="O159" s="202"/>
      <c r="P159" s="202"/>
      <c r="Q159" s="202"/>
      <c r="R159" s="202"/>
      <c r="S159" s="202"/>
      <c r="T159" s="202"/>
      <c r="U159" s="202"/>
      <c r="V159" s="202"/>
      <c r="W159" s="202"/>
      <c r="X159" s="202"/>
      <c r="Y159" s="202"/>
      <c r="Z159" s="202"/>
      <c r="AA159" s="202"/>
      <c r="AB159" s="202"/>
      <c r="AC159" s="202"/>
      <c r="AD159" s="202"/>
      <c r="AE159" s="202"/>
      <c r="AF159" s="202"/>
      <c r="AG159" s="202"/>
      <c r="AH159" s="202"/>
      <c r="AI159" s="202"/>
      <c r="AJ159" s="202"/>
      <c r="AK159" s="202"/>
      <c r="AL159" s="202"/>
      <c r="AM159" s="202"/>
      <c r="AN159" s="202"/>
      <c r="AO159" s="202"/>
      <c r="AP159" s="202"/>
      <c r="AQ159" s="202"/>
      <c r="AR159" s="202"/>
      <c r="AS159" s="202"/>
      <c r="AT159" s="202"/>
      <c r="AU159" s="202"/>
      <c r="AV159" s="202"/>
      <c r="AW159" s="202"/>
      <c r="AX159" s="202"/>
    </row>
    <row r="160" spans="1:50" s="48" customFormat="1" ht="15" customHeight="1" x14ac:dyDescent="0.25">
      <c r="A160" s="220"/>
      <c r="B160" s="102"/>
      <c r="C160" s="611"/>
      <c r="D160" s="221"/>
      <c r="E160" s="220"/>
      <c r="F160" s="221"/>
      <c r="G160" s="220"/>
      <c r="H160" s="220"/>
      <c r="I160" s="220"/>
      <c r="J160" s="220"/>
      <c r="K160" s="220"/>
      <c r="L160" s="220"/>
      <c r="M160" s="220"/>
      <c r="N160" s="220"/>
      <c r="O160" s="220"/>
      <c r="P160" s="220"/>
      <c r="Q160" s="220"/>
      <c r="R160" s="220"/>
      <c r="S160" s="220"/>
      <c r="T160" s="220"/>
      <c r="U160" s="220"/>
      <c r="V160" s="220"/>
      <c r="W160" s="220"/>
      <c r="X160" s="220"/>
      <c r="Y160" s="220"/>
      <c r="Z160" s="220"/>
      <c r="AA160" s="220"/>
      <c r="AB160" s="220"/>
      <c r="AC160" s="220"/>
      <c r="AD160" s="220"/>
      <c r="AE160" s="220"/>
      <c r="AF160" s="220"/>
      <c r="AG160" s="220"/>
      <c r="AH160" s="220"/>
      <c r="AI160" s="220"/>
      <c r="AJ160" s="220"/>
      <c r="AK160" s="220"/>
      <c r="AL160" s="220"/>
      <c r="AM160" s="220"/>
      <c r="AN160" s="220"/>
      <c r="AO160" s="220"/>
      <c r="AP160" s="220"/>
      <c r="AQ160" s="220"/>
      <c r="AR160" s="220"/>
      <c r="AS160" s="220"/>
      <c r="AT160" s="220"/>
      <c r="AU160" s="220"/>
      <c r="AV160" s="220"/>
      <c r="AW160" s="220"/>
      <c r="AX160" s="220"/>
    </row>
    <row r="161" spans="1:50" s="45" customFormat="1" ht="15" customHeight="1" x14ac:dyDescent="0.25">
      <c r="A161" s="156"/>
      <c r="B161" s="102" t="str">
        <f xml:space="preserve"> Translate!E$235</f>
        <v>Signature bonus</v>
      </c>
      <c r="C161" s="623"/>
      <c r="D161" s="234"/>
      <c r="E161" s="156"/>
      <c r="F161" s="234"/>
      <c r="G161" s="156"/>
      <c r="H161" s="156"/>
      <c r="I161" s="156"/>
      <c r="J161" s="156"/>
      <c r="K161" s="156"/>
      <c r="L161" s="156"/>
      <c r="M161" s="156"/>
      <c r="N161" s="156"/>
      <c r="O161" s="156"/>
      <c r="P161" s="156"/>
      <c r="Q161" s="156"/>
      <c r="R161" s="156"/>
      <c r="S161" s="156"/>
      <c r="T161" s="156"/>
      <c r="U161" s="156"/>
      <c r="V161" s="156"/>
      <c r="W161" s="156"/>
      <c r="X161" s="156"/>
      <c r="Y161" s="156"/>
      <c r="Z161" s="156"/>
      <c r="AA161" s="156"/>
      <c r="AB161" s="156"/>
      <c r="AC161" s="156"/>
      <c r="AD161" s="156"/>
      <c r="AE161" s="156"/>
      <c r="AF161" s="156"/>
      <c r="AG161" s="156"/>
      <c r="AH161" s="156"/>
      <c r="AI161" s="156"/>
      <c r="AJ161" s="156"/>
      <c r="AK161" s="156"/>
      <c r="AL161" s="156"/>
      <c r="AM161" s="156"/>
      <c r="AN161" s="156"/>
      <c r="AO161" s="156"/>
      <c r="AP161" s="156"/>
      <c r="AQ161" s="156"/>
      <c r="AR161" s="156"/>
      <c r="AS161" s="156"/>
      <c r="AT161" s="156"/>
      <c r="AU161" s="156"/>
      <c r="AV161" s="156"/>
      <c r="AW161" s="156"/>
      <c r="AX161" s="156"/>
    </row>
    <row r="162" spans="1:50" s="45" customFormat="1" ht="15" customHeight="1" x14ac:dyDescent="0.25">
      <c r="A162" s="156"/>
      <c r="B162" s="102"/>
      <c r="C162" s="623"/>
      <c r="D162" s="234"/>
      <c r="E162" s="532" t="str">
        <f xml:space="preserve"> FiscalModel!E$16</f>
        <v>Signature bonus (first period of activity)</v>
      </c>
      <c r="F162" s="404">
        <f xml:space="preserve"> FiscalModel!F$16</f>
        <v>10</v>
      </c>
      <c r="G162" s="532" t="str">
        <f xml:space="preserve"> FiscalModel!G$16</f>
        <v>US$ mn</v>
      </c>
      <c r="H162" s="156"/>
      <c r="I162" s="156"/>
      <c r="J162" s="156"/>
      <c r="K162" s="156"/>
      <c r="L162" s="156"/>
      <c r="M162" s="156"/>
      <c r="N162" s="156"/>
      <c r="O162" s="156"/>
      <c r="P162" s="156"/>
      <c r="Q162" s="156"/>
      <c r="R162" s="156"/>
      <c r="S162" s="156"/>
      <c r="T162" s="156"/>
      <c r="U162" s="156"/>
      <c r="V162" s="156"/>
      <c r="W162" s="156"/>
      <c r="X162" s="156"/>
      <c r="Y162" s="156"/>
      <c r="Z162" s="156"/>
      <c r="AA162" s="156"/>
      <c r="AB162" s="156"/>
      <c r="AC162" s="156"/>
      <c r="AD162" s="156"/>
      <c r="AE162" s="156"/>
      <c r="AF162" s="156"/>
      <c r="AG162" s="156"/>
      <c r="AH162" s="156"/>
      <c r="AI162" s="156"/>
      <c r="AJ162" s="156"/>
      <c r="AK162" s="156"/>
      <c r="AL162" s="156"/>
      <c r="AM162" s="156"/>
      <c r="AN162" s="156"/>
      <c r="AO162" s="156"/>
      <c r="AP162" s="156"/>
      <c r="AQ162" s="156"/>
      <c r="AR162" s="156"/>
      <c r="AS162" s="156"/>
      <c r="AT162" s="156"/>
      <c r="AU162" s="156"/>
      <c r="AV162" s="156"/>
      <c r="AW162" s="156"/>
      <c r="AX162" s="156"/>
    </row>
    <row r="163" spans="1:50" s="222" customFormat="1" ht="15" customHeight="1" x14ac:dyDescent="0.25">
      <c r="A163" s="140"/>
      <c r="B163" s="672"/>
      <c r="C163" s="624"/>
      <c r="D163" s="140"/>
      <c r="E163" s="140" t="str">
        <f xml:space="preserve"> ProjectCashflows!E$174</f>
        <v>Cumulative project years</v>
      </c>
      <c r="F163" s="540">
        <f xml:space="preserve"> ProjectCashflows!F$174</f>
        <v>0</v>
      </c>
      <c r="G163" s="140" t="str">
        <f xml:space="preserve"> ProjectCashflows!G$174</f>
        <v>Year</v>
      </c>
      <c r="H163" s="140">
        <f xml:space="preserve"> ProjectCashflows!H$174</f>
        <v>0</v>
      </c>
      <c r="I163" s="140">
        <f xml:space="preserve"> ProjectCashflows!I$174</f>
        <v>0</v>
      </c>
      <c r="J163" s="140">
        <f xml:space="preserve"> ProjectCashflows!J$174</f>
        <v>0</v>
      </c>
      <c r="K163" s="140">
        <f ca="1" xml:space="preserve"> ProjectCashflows!K$174</f>
        <v>1</v>
      </c>
      <c r="L163" s="140">
        <f ca="1" xml:space="preserve"> ProjectCashflows!L$174</f>
        <v>2</v>
      </c>
      <c r="M163" s="140">
        <f ca="1" xml:space="preserve"> ProjectCashflows!M$174</f>
        <v>3</v>
      </c>
      <c r="N163" s="140">
        <f ca="1" xml:space="preserve"> ProjectCashflows!N$174</f>
        <v>4</v>
      </c>
      <c r="O163" s="140">
        <f ca="1" xml:space="preserve"> ProjectCashflows!O$174</f>
        <v>5</v>
      </c>
      <c r="P163" s="140">
        <f ca="1" xml:space="preserve"> ProjectCashflows!P$174</f>
        <v>6</v>
      </c>
      <c r="Q163" s="140">
        <f ca="1" xml:space="preserve"> ProjectCashflows!Q$174</f>
        <v>7</v>
      </c>
      <c r="R163" s="140">
        <f ca="1" xml:space="preserve"> ProjectCashflows!R$174</f>
        <v>8</v>
      </c>
      <c r="S163" s="140">
        <f ca="1" xml:space="preserve"> ProjectCashflows!S$174</f>
        <v>9</v>
      </c>
      <c r="T163" s="140">
        <f ca="1" xml:space="preserve"> ProjectCashflows!T$174</f>
        <v>10</v>
      </c>
      <c r="U163" s="140">
        <f ca="1" xml:space="preserve"> ProjectCashflows!U$174</f>
        <v>11</v>
      </c>
      <c r="V163" s="140">
        <f ca="1" xml:space="preserve"> ProjectCashflows!V$174</f>
        <v>12</v>
      </c>
      <c r="W163" s="140">
        <f ca="1" xml:space="preserve"> ProjectCashflows!W$174</f>
        <v>13</v>
      </c>
      <c r="X163" s="140">
        <f ca="1" xml:space="preserve"> ProjectCashflows!X$174</f>
        <v>14</v>
      </c>
      <c r="Y163" s="140">
        <f ca="1" xml:space="preserve"> ProjectCashflows!Y$174</f>
        <v>15</v>
      </c>
      <c r="Z163" s="140">
        <f ca="1" xml:space="preserve"> ProjectCashflows!Z$174</f>
        <v>16</v>
      </c>
      <c r="AA163" s="140">
        <f ca="1" xml:space="preserve"> ProjectCashflows!AA$174</f>
        <v>17</v>
      </c>
      <c r="AB163" s="140">
        <f ca="1" xml:space="preserve"> ProjectCashflows!AB$174</f>
        <v>18</v>
      </c>
      <c r="AC163" s="140">
        <f ca="1" xml:space="preserve"> ProjectCashflows!AC$174</f>
        <v>19</v>
      </c>
      <c r="AD163" s="140">
        <f ca="1" xml:space="preserve"> ProjectCashflows!AD$174</f>
        <v>20</v>
      </c>
      <c r="AE163" s="140">
        <f ca="1" xml:space="preserve"> ProjectCashflows!AE$174</f>
        <v>21</v>
      </c>
      <c r="AF163" s="140">
        <f ca="1" xml:space="preserve"> ProjectCashflows!AF$174</f>
        <v>22</v>
      </c>
      <c r="AG163" s="140">
        <f ca="1" xml:space="preserve"> ProjectCashflows!AG$174</f>
        <v>23</v>
      </c>
      <c r="AH163" s="140">
        <f ca="1" xml:space="preserve"> ProjectCashflows!AH$174</f>
        <v>24</v>
      </c>
      <c r="AI163" s="140">
        <f ca="1" xml:space="preserve"> ProjectCashflows!AI$174</f>
        <v>25</v>
      </c>
      <c r="AJ163" s="140">
        <f ca="1" xml:space="preserve"> ProjectCashflows!AJ$174</f>
        <v>26</v>
      </c>
      <c r="AK163" s="140">
        <f ca="1" xml:space="preserve"> ProjectCashflows!AK$174</f>
        <v>27</v>
      </c>
      <c r="AL163" s="140">
        <f ca="1" xml:space="preserve"> ProjectCashflows!AL$174</f>
        <v>28</v>
      </c>
      <c r="AM163" s="140">
        <f ca="1" xml:space="preserve"> ProjectCashflows!AM$174</f>
        <v>29</v>
      </c>
      <c r="AN163" s="140">
        <f ca="1" xml:space="preserve"> ProjectCashflows!AN$174</f>
        <v>30</v>
      </c>
      <c r="AO163" s="140">
        <f ca="1" xml:space="preserve"> ProjectCashflows!AO$174</f>
        <v>31</v>
      </c>
      <c r="AP163" s="140">
        <f ca="1" xml:space="preserve"> ProjectCashflows!AP$174</f>
        <v>32</v>
      </c>
      <c r="AQ163" s="140">
        <f ca="1" xml:space="preserve"> ProjectCashflows!AQ$174</f>
        <v>33</v>
      </c>
      <c r="AR163" s="140">
        <f ca="1" xml:space="preserve"> ProjectCashflows!AR$174</f>
        <v>0</v>
      </c>
      <c r="AS163" s="140">
        <f ca="1" xml:space="preserve"> ProjectCashflows!AS$174</f>
        <v>0</v>
      </c>
      <c r="AT163" s="140">
        <f ca="1" xml:space="preserve"> ProjectCashflows!AT$174</f>
        <v>0</v>
      </c>
      <c r="AU163" s="140">
        <f ca="1" xml:space="preserve"> ProjectCashflows!AU$174</f>
        <v>0</v>
      </c>
      <c r="AV163" s="140">
        <f ca="1" xml:space="preserve"> ProjectCashflows!AV$174</f>
        <v>0</v>
      </c>
      <c r="AW163" s="140">
        <f ca="1" xml:space="preserve"> ProjectCashflows!AW$174</f>
        <v>0</v>
      </c>
      <c r="AX163" s="140">
        <f ca="1" xml:space="preserve"> ProjectCashflows!AX$174</f>
        <v>0</v>
      </c>
    </row>
    <row r="164" spans="1:50" s="190" customFormat="1" ht="15" customHeight="1" x14ac:dyDescent="0.25">
      <c r="B164" s="672"/>
      <c r="C164" s="617"/>
      <c r="E164" s="190" t="str">
        <f xml:space="preserve"> Translate!E$235</f>
        <v>Signature bonus</v>
      </c>
      <c r="F164" s="242"/>
      <c r="G164" s="190" t="str">
        <f xml:space="preserve"> Translate!E$603</f>
        <v>US$ mn</v>
      </c>
      <c r="I164" s="190">
        <f ca="1" xml:space="preserve"> SUM(K164:AX164)</f>
        <v>10</v>
      </c>
      <c r="K164" s="190">
        <f t="shared" ref="K164:AX164" ca="1" si="23" xml:space="preserve"> $F162 * ( K163 = 1)</f>
        <v>10</v>
      </c>
      <c r="L164" s="190">
        <f t="shared" ca="1" si="23"/>
        <v>0</v>
      </c>
      <c r="M164" s="190">
        <f t="shared" ca="1" si="23"/>
        <v>0</v>
      </c>
      <c r="N164" s="190">
        <f t="shared" ca="1" si="23"/>
        <v>0</v>
      </c>
      <c r="O164" s="190">
        <f t="shared" ca="1" si="23"/>
        <v>0</v>
      </c>
      <c r="P164" s="190">
        <f t="shared" ca="1" si="23"/>
        <v>0</v>
      </c>
      <c r="Q164" s="190">
        <f t="shared" ca="1" si="23"/>
        <v>0</v>
      </c>
      <c r="R164" s="190">
        <f t="shared" ca="1" si="23"/>
        <v>0</v>
      </c>
      <c r="S164" s="190">
        <f t="shared" ca="1" si="23"/>
        <v>0</v>
      </c>
      <c r="T164" s="190">
        <f t="shared" ca="1" si="23"/>
        <v>0</v>
      </c>
      <c r="U164" s="190">
        <f t="shared" ca="1" si="23"/>
        <v>0</v>
      </c>
      <c r="V164" s="190">
        <f t="shared" ca="1" si="23"/>
        <v>0</v>
      </c>
      <c r="W164" s="190">
        <f t="shared" ca="1" si="23"/>
        <v>0</v>
      </c>
      <c r="X164" s="190">
        <f t="shared" ca="1" si="23"/>
        <v>0</v>
      </c>
      <c r="Y164" s="190">
        <f t="shared" ca="1" si="23"/>
        <v>0</v>
      </c>
      <c r="Z164" s="190">
        <f t="shared" ca="1" si="23"/>
        <v>0</v>
      </c>
      <c r="AA164" s="190">
        <f t="shared" ca="1" si="23"/>
        <v>0</v>
      </c>
      <c r="AB164" s="190">
        <f t="shared" ca="1" si="23"/>
        <v>0</v>
      </c>
      <c r="AC164" s="190">
        <f t="shared" ca="1" si="23"/>
        <v>0</v>
      </c>
      <c r="AD164" s="190">
        <f t="shared" ca="1" si="23"/>
        <v>0</v>
      </c>
      <c r="AE164" s="190">
        <f t="shared" ca="1" si="23"/>
        <v>0</v>
      </c>
      <c r="AF164" s="190">
        <f t="shared" ca="1" si="23"/>
        <v>0</v>
      </c>
      <c r="AG164" s="190">
        <f t="shared" ca="1" si="23"/>
        <v>0</v>
      </c>
      <c r="AH164" s="190">
        <f t="shared" ca="1" si="23"/>
        <v>0</v>
      </c>
      <c r="AI164" s="190">
        <f t="shared" ca="1" si="23"/>
        <v>0</v>
      </c>
      <c r="AJ164" s="190">
        <f t="shared" ca="1" si="23"/>
        <v>0</v>
      </c>
      <c r="AK164" s="190">
        <f t="shared" ca="1" si="23"/>
        <v>0</v>
      </c>
      <c r="AL164" s="190">
        <f t="shared" ca="1" si="23"/>
        <v>0</v>
      </c>
      <c r="AM164" s="190">
        <f t="shared" ca="1" si="23"/>
        <v>0</v>
      </c>
      <c r="AN164" s="190">
        <f t="shared" ca="1" si="23"/>
        <v>0</v>
      </c>
      <c r="AO164" s="190">
        <f t="shared" ca="1" si="23"/>
        <v>0</v>
      </c>
      <c r="AP164" s="190">
        <f t="shared" ca="1" si="23"/>
        <v>0</v>
      </c>
      <c r="AQ164" s="190">
        <f t="shared" ca="1" si="23"/>
        <v>0</v>
      </c>
      <c r="AR164" s="190">
        <f t="shared" ca="1" si="23"/>
        <v>0</v>
      </c>
      <c r="AS164" s="190">
        <f t="shared" ca="1" si="23"/>
        <v>0</v>
      </c>
      <c r="AT164" s="190">
        <f t="shared" ca="1" si="23"/>
        <v>0</v>
      </c>
      <c r="AU164" s="190">
        <f t="shared" ca="1" si="23"/>
        <v>0</v>
      </c>
      <c r="AV164" s="190">
        <f t="shared" ca="1" si="23"/>
        <v>0</v>
      </c>
      <c r="AW164" s="190">
        <f t="shared" ca="1" si="23"/>
        <v>0</v>
      </c>
      <c r="AX164" s="190">
        <f t="shared" ca="1" si="23"/>
        <v>0</v>
      </c>
    </row>
    <row r="165" spans="1:50" s="45" customFormat="1" ht="15" customHeight="1" x14ac:dyDescent="0.25">
      <c r="A165" s="190"/>
      <c r="B165" s="672"/>
      <c r="C165" s="617"/>
      <c r="D165" s="190"/>
      <c r="E165" s="190"/>
      <c r="F165" s="242"/>
      <c r="G165" s="190"/>
      <c r="H165" s="190"/>
      <c r="I165" s="190"/>
      <c r="J165" s="190"/>
      <c r="K165" s="190"/>
      <c r="L165" s="190"/>
      <c r="M165" s="190"/>
      <c r="N165" s="190"/>
      <c r="O165" s="190"/>
      <c r="P165" s="190"/>
      <c r="Q165" s="190"/>
      <c r="R165" s="190"/>
      <c r="S165" s="190"/>
      <c r="T165" s="190"/>
      <c r="U165" s="190"/>
      <c r="V165" s="190"/>
      <c r="W165" s="190"/>
      <c r="X165" s="190"/>
      <c r="Y165" s="190"/>
      <c r="Z165" s="190"/>
      <c r="AA165" s="190"/>
      <c r="AB165" s="190"/>
      <c r="AC165" s="190"/>
      <c r="AD165" s="190"/>
      <c r="AE165" s="190"/>
      <c r="AF165" s="190"/>
      <c r="AG165" s="190"/>
      <c r="AH165" s="190"/>
      <c r="AI165" s="190"/>
      <c r="AJ165" s="190"/>
      <c r="AK165" s="190"/>
      <c r="AL165" s="190"/>
      <c r="AM165" s="190"/>
      <c r="AN165" s="190"/>
      <c r="AO165" s="190"/>
      <c r="AP165" s="190"/>
      <c r="AQ165" s="190"/>
      <c r="AR165" s="190"/>
      <c r="AS165" s="190"/>
      <c r="AT165" s="190"/>
      <c r="AU165" s="190"/>
      <c r="AV165" s="190"/>
      <c r="AW165" s="190"/>
      <c r="AX165" s="190"/>
    </row>
    <row r="166" spans="1:50" s="45" customFormat="1" ht="15" customHeight="1" x14ac:dyDescent="0.25">
      <c r="A166" s="190"/>
      <c r="B166" s="102" t="str">
        <f xml:space="preserve"> Translate!E$236</f>
        <v>Production bonus</v>
      </c>
      <c r="C166" s="617"/>
      <c r="D166" s="190"/>
      <c r="E166" s="190"/>
      <c r="F166" s="242"/>
      <c r="G166" s="190"/>
      <c r="H166" s="190"/>
      <c r="I166" s="190"/>
      <c r="J166" s="190"/>
      <c r="K166" s="190"/>
      <c r="L166" s="190"/>
      <c r="M166" s="190"/>
      <c r="N166" s="190"/>
      <c r="O166" s="190"/>
      <c r="P166" s="190"/>
      <c r="Q166" s="190"/>
      <c r="R166" s="190"/>
      <c r="S166" s="190"/>
      <c r="T166" s="190"/>
      <c r="U166" s="190"/>
      <c r="V166" s="190"/>
      <c r="W166" s="190"/>
      <c r="X166" s="190"/>
      <c r="Y166" s="190"/>
      <c r="Z166" s="190"/>
      <c r="AA166" s="190"/>
      <c r="AB166" s="190"/>
      <c r="AC166" s="190"/>
      <c r="AD166" s="190"/>
      <c r="AE166" s="190"/>
      <c r="AF166" s="190"/>
      <c r="AG166" s="190"/>
      <c r="AH166" s="190"/>
      <c r="AI166" s="190"/>
      <c r="AJ166" s="190"/>
      <c r="AK166" s="190"/>
      <c r="AL166" s="190"/>
      <c r="AM166" s="190"/>
      <c r="AN166" s="190"/>
      <c r="AO166" s="190"/>
      <c r="AP166" s="190"/>
      <c r="AQ166" s="190"/>
      <c r="AR166" s="190"/>
      <c r="AS166" s="190"/>
      <c r="AT166" s="190"/>
      <c r="AU166" s="190"/>
      <c r="AV166" s="190"/>
      <c r="AW166" s="190"/>
      <c r="AX166" s="190"/>
    </row>
    <row r="167" spans="1:50" s="45" customFormat="1" ht="15" customHeight="1" x14ac:dyDescent="0.25">
      <c r="A167" s="190"/>
      <c r="B167" s="672"/>
      <c r="C167" s="617"/>
      <c r="D167" s="190"/>
      <c r="E167" s="403" t="str">
        <f xml:space="preserve"> FiscalModel!E$17</f>
        <v>Production bonus (start of production)</v>
      </c>
      <c r="F167" s="571">
        <f xml:space="preserve"> FiscalModel!F$17</f>
        <v>50</v>
      </c>
      <c r="G167" s="403" t="str">
        <f xml:space="preserve"> FiscalModel!G$17</f>
        <v>US$ mn</v>
      </c>
      <c r="H167" s="190"/>
      <c r="I167" s="190"/>
      <c r="J167" s="190"/>
      <c r="K167" s="190"/>
      <c r="L167" s="190"/>
      <c r="M167" s="190"/>
      <c r="N167" s="190"/>
      <c r="O167" s="190"/>
      <c r="P167" s="190"/>
      <c r="Q167" s="190"/>
      <c r="R167" s="190"/>
      <c r="S167" s="190"/>
      <c r="T167" s="190"/>
      <c r="U167" s="190"/>
      <c r="V167" s="190"/>
      <c r="W167" s="190"/>
      <c r="X167" s="190"/>
      <c r="Y167" s="190"/>
      <c r="Z167" s="190"/>
      <c r="AA167" s="190"/>
      <c r="AB167" s="190"/>
      <c r="AC167" s="190"/>
      <c r="AD167" s="190"/>
      <c r="AE167" s="190"/>
      <c r="AF167" s="190"/>
      <c r="AG167" s="190"/>
      <c r="AH167" s="190"/>
      <c r="AI167" s="190"/>
      <c r="AJ167" s="190"/>
      <c r="AK167" s="190"/>
      <c r="AL167" s="190"/>
      <c r="AM167" s="190"/>
      <c r="AN167" s="190"/>
      <c r="AO167" s="190"/>
      <c r="AP167" s="190"/>
      <c r="AQ167" s="190"/>
      <c r="AR167" s="190"/>
      <c r="AS167" s="190"/>
      <c r="AT167" s="190"/>
      <c r="AU167" s="190"/>
      <c r="AV167" s="190"/>
      <c r="AW167" s="190"/>
      <c r="AX167" s="190"/>
    </row>
    <row r="168" spans="1:50" s="40" customFormat="1" ht="15" customHeight="1" x14ac:dyDescent="0.25">
      <c r="A168" s="290"/>
      <c r="B168" s="235"/>
      <c r="C168" s="613"/>
      <c r="D168" s="354"/>
      <c r="E168" s="222" t="str">
        <f xml:space="preserve"> ProjectCashflows!E$181</f>
        <v>Cumulative production years</v>
      </c>
      <c r="F168" s="533">
        <f xml:space="preserve"> ProjectCashflows!F$181</f>
        <v>0</v>
      </c>
      <c r="G168" s="222" t="str">
        <f xml:space="preserve"> ProjectCashflows!G$181</f>
        <v>Year</v>
      </c>
      <c r="H168" s="222">
        <f xml:space="preserve"> ProjectCashflows!H$181</f>
        <v>0</v>
      </c>
      <c r="I168" s="222">
        <f xml:space="preserve"> ProjectCashflows!I$181</f>
        <v>0</v>
      </c>
      <c r="J168" s="222">
        <f xml:space="preserve"> ProjectCashflows!J$181</f>
        <v>0</v>
      </c>
      <c r="K168" s="222">
        <f ca="1" xml:space="preserve"> ProjectCashflows!K$181</f>
        <v>0</v>
      </c>
      <c r="L168" s="222">
        <f ca="1" xml:space="preserve"> ProjectCashflows!L$181</f>
        <v>0</v>
      </c>
      <c r="M168" s="222">
        <f ca="1" xml:space="preserve"> ProjectCashflows!M$181</f>
        <v>0</v>
      </c>
      <c r="N168" s="222">
        <f ca="1" xml:space="preserve"> ProjectCashflows!N$181</f>
        <v>0</v>
      </c>
      <c r="O168" s="222">
        <f ca="1" xml:space="preserve"> ProjectCashflows!O$181</f>
        <v>1</v>
      </c>
      <c r="P168" s="222">
        <f ca="1" xml:space="preserve"> ProjectCashflows!P$181</f>
        <v>2</v>
      </c>
      <c r="Q168" s="222">
        <f ca="1" xml:space="preserve"> ProjectCashflows!Q$181</f>
        <v>3</v>
      </c>
      <c r="R168" s="222">
        <f ca="1" xml:space="preserve"> ProjectCashflows!R$181</f>
        <v>4</v>
      </c>
      <c r="S168" s="222">
        <f ca="1" xml:space="preserve"> ProjectCashflows!S$181</f>
        <v>5</v>
      </c>
      <c r="T168" s="222">
        <f ca="1" xml:space="preserve"> ProjectCashflows!T$181</f>
        <v>6</v>
      </c>
      <c r="U168" s="222">
        <f ca="1" xml:space="preserve"> ProjectCashflows!U$181</f>
        <v>7</v>
      </c>
      <c r="V168" s="222">
        <f ca="1" xml:space="preserve"> ProjectCashflows!V$181</f>
        <v>8</v>
      </c>
      <c r="W168" s="222">
        <f ca="1" xml:space="preserve"> ProjectCashflows!W$181</f>
        <v>9</v>
      </c>
      <c r="X168" s="222">
        <f ca="1" xml:space="preserve"> ProjectCashflows!X$181</f>
        <v>10</v>
      </c>
      <c r="Y168" s="222">
        <f ca="1" xml:space="preserve"> ProjectCashflows!Y$181</f>
        <v>11</v>
      </c>
      <c r="Z168" s="222">
        <f ca="1" xml:space="preserve"> ProjectCashflows!Z$181</f>
        <v>12</v>
      </c>
      <c r="AA168" s="222">
        <f ca="1" xml:space="preserve"> ProjectCashflows!AA$181</f>
        <v>13</v>
      </c>
      <c r="AB168" s="222">
        <f ca="1" xml:space="preserve"> ProjectCashflows!AB$181</f>
        <v>14</v>
      </c>
      <c r="AC168" s="222">
        <f ca="1" xml:space="preserve"> ProjectCashflows!AC$181</f>
        <v>15</v>
      </c>
      <c r="AD168" s="222">
        <f ca="1" xml:space="preserve"> ProjectCashflows!AD$181</f>
        <v>16</v>
      </c>
      <c r="AE168" s="222">
        <f ca="1" xml:space="preserve"> ProjectCashflows!AE$181</f>
        <v>17</v>
      </c>
      <c r="AF168" s="222">
        <f ca="1" xml:space="preserve"> ProjectCashflows!AF$181</f>
        <v>18</v>
      </c>
      <c r="AG168" s="222">
        <f ca="1" xml:space="preserve"> ProjectCashflows!AG$181</f>
        <v>19</v>
      </c>
      <c r="AH168" s="222">
        <f ca="1" xml:space="preserve"> ProjectCashflows!AH$181</f>
        <v>20</v>
      </c>
      <c r="AI168" s="222">
        <f ca="1" xml:space="preserve"> ProjectCashflows!AI$181</f>
        <v>21</v>
      </c>
      <c r="AJ168" s="222">
        <f ca="1" xml:space="preserve"> ProjectCashflows!AJ$181</f>
        <v>22</v>
      </c>
      <c r="AK168" s="222">
        <f ca="1" xml:space="preserve"> ProjectCashflows!AK$181</f>
        <v>23</v>
      </c>
      <c r="AL168" s="222">
        <f ca="1" xml:space="preserve"> ProjectCashflows!AL$181</f>
        <v>24</v>
      </c>
      <c r="AM168" s="222">
        <f ca="1" xml:space="preserve"> ProjectCashflows!AM$181</f>
        <v>25</v>
      </c>
      <c r="AN168" s="222">
        <f ca="1" xml:space="preserve"> ProjectCashflows!AN$181</f>
        <v>26</v>
      </c>
      <c r="AO168" s="222">
        <f ca="1" xml:space="preserve"> ProjectCashflows!AO$181</f>
        <v>27</v>
      </c>
      <c r="AP168" s="222">
        <f ca="1" xml:space="preserve"> ProjectCashflows!AP$181</f>
        <v>0</v>
      </c>
      <c r="AQ168" s="222">
        <f ca="1" xml:space="preserve"> ProjectCashflows!AQ$181</f>
        <v>0</v>
      </c>
      <c r="AR168" s="222">
        <f ca="1" xml:space="preserve"> ProjectCashflows!AR$181</f>
        <v>0</v>
      </c>
      <c r="AS168" s="222">
        <f ca="1" xml:space="preserve"> ProjectCashflows!AS$181</f>
        <v>0</v>
      </c>
      <c r="AT168" s="222">
        <f ca="1" xml:space="preserve"> ProjectCashflows!AT$181</f>
        <v>0</v>
      </c>
      <c r="AU168" s="222">
        <f ca="1" xml:space="preserve"> ProjectCashflows!AU$181</f>
        <v>0</v>
      </c>
      <c r="AV168" s="222">
        <f ca="1" xml:space="preserve"> ProjectCashflows!AV$181</f>
        <v>0</v>
      </c>
      <c r="AW168" s="222">
        <f ca="1" xml:space="preserve"> ProjectCashflows!AW$181</f>
        <v>0</v>
      </c>
      <c r="AX168" s="222">
        <f ca="1" xml:space="preserve"> ProjectCashflows!AX$181</f>
        <v>0</v>
      </c>
    </row>
    <row r="169" spans="1:50" ht="15" customHeight="1" x14ac:dyDescent="0.25">
      <c r="A169" s="106"/>
      <c r="B169" s="235"/>
      <c r="C169" s="604"/>
      <c r="D169" s="217"/>
      <c r="E169" s="13" t="str">
        <f xml:space="preserve"> Translate!E$236</f>
        <v>Production bonus</v>
      </c>
      <c r="F169" s="151"/>
      <c r="G169" s="13" t="str">
        <f xml:space="preserve"> Translate!E$603</f>
        <v>US$ mn</v>
      </c>
      <c r="H169" s="13"/>
      <c r="I169" s="217">
        <f ca="1" xml:space="preserve"> SUM(K169:AX169)</f>
        <v>50</v>
      </c>
      <c r="J169" s="56"/>
      <c r="K169" s="55">
        <f t="shared" ref="K169:AX169" ca="1" si="24" xml:space="preserve"> ( K168 = 1 ) * $F167</f>
        <v>0</v>
      </c>
      <c r="L169" s="55">
        <f t="shared" ca="1" si="24"/>
        <v>0</v>
      </c>
      <c r="M169" s="55">
        <f t="shared" ca="1" si="24"/>
        <v>0</v>
      </c>
      <c r="N169" s="55">
        <f t="shared" ca="1" si="24"/>
        <v>0</v>
      </c>
      <c r="O169" s="55">
        <f t="shared" ca="1" si="24"/>
        <v>50</v>
      </c>
      <c r="P169" s="55">
        <f t="shared" ca="1" si="24"/>
        <v>0</v>
      </c>
      <c r="Q169" s="55">
        <f t="shared" ca="1" si="24"/>
        <v>0</v>
      </c>
      <c r="R169" s="55">
        <f t="shared" ca="1" si="24"/>
        <v>0</v>
      </c>
      <c r="S169" s="55">
        <f t="shared" ca="1" si="24"/>
        <v>0</v>
      </c>
      <c r="T169" s="55">
        <f t="shared" ca="1" si="24"/>
        <v>0</v>
      </c>
      <c r="U169" s="55">
        <f t="shared" ca="1" si="24"/>
        <v>0</v>
      </c>
      <c r="V169" s="55">
        <f t="shared" ca="1" si="24"/>
        <v>0</v>
      </c>
      <c r="W169" s="55">
        <f t="shared" ca="1" si="24"/>
        <v>0</v>
      </c>
      <c r="X169" s="55">
        <f t="shared" ca="1" si="24"/>
        <v>0</v>
      </c>
      <c r="Y169" s="55">
        <f t="shared" ca="1" si="24"/>
        <v>0</v>
      </c>
      <c r="Z169" s="55">
        <f t="shared" ca="1" si="24"/>
        <v>0</v>
      </c>
      <c r="AA169" s="55">
        <f t="shared" ca="1" si="24"/>
        <v>0</v>
      </c>
      <c r="AB169" s="55">
        <f t="shared" ca="1" si="24"/>
        <v>0</v>
      </c>
      <c r="AC169" s="55">
        <f t="shared" ca="1" si="24"/>
        <v>0</v>
      </c>
      <c r="AD169" s="55">
        <f t="shared" ca="1" si="24"/>
        <v>0</v>
      </c>
      <c r="AE169" s="55">
        <f t="shared" ca="1" si="24"/>
        <v>0</v>
      </c>
      <c r="AF169" s="55">
        <f t="shared" ca="1" si="24"/>
        <v>0</v>
      </c>
      <c r="AG169" s="55">
        <f t="shared" ca="1" si="24"/>
        <v>0</v>
      </c>
      <c r="AH169" s="55">
        <f t="shared" ca="1" si="24"/>
        <v>0</v>
      </c>
      <c r="AI169" s="55">
        <f t="shared" ca="1" si="24"/>
        <v>0</v>
      </c>
      <c r="AJ169" s="55">
        <f t="shared" ca="1" si="24"/>
        <v>0</v>
      </c>
      <c r="AK169" s="55">
        <f t="shared" ca="1" si="24"/>
        <v>0</v>
      </c>
      <c r="AL169" s="55">
        <f t="shared" ca="1" si="24"/>
        <v>0</v>
      </c>
      <c r="AM169" s="55">
        <f t="shared" ca="1" si="24"/>
        <v>0</v>
      </c>
      <c r="AN169" s="55">
        <f t="shared" ca="1" si="24"/>
        <v>0</v>
      </c>
      <c r="AO169" s="55">
        <f t="shared" ca="1" si="24"/>
        <v>0</v>
      </c>
      <c r="AP169" s="55">
        <f t="shared" ca="1" si="24"/>
        <v>0</v>
      </c>
      <c r="AQ169" s="55">
        <f t="shared" ca="1" si="24"/>
        <v>0</v>
      </c>
      <c r="AR169" s="55">
        <f t="shared" ca="1" si="24"/>
        <v>0</v>
      </c>
      <c r="AS169" s="55">
        <f t="shared" ca="1" si="24"/>
        <v>0</v>
      </c>
      <c r="AT169" s="55">
        <f t="shared" ca="1" si="24"/>
        <v>0</v>
      </c>
      <c r="AU169" s="55">
        <f t="shared" ca="1" si="24"/>
        <v>0</v>
      </c>
      <c r="AV169" s="55">
        <f t="shared" ca="1" si="24"/>
        <v>0</v>
      </c>
      <c r="AW169" s="55">
        <f t="shared" ca="1" si="24"/>
        <v>0</v>
      </c>
      <c r="AX169" s="55">
        <f t="shared" ca="1" si="24"/>
        <v>0</v>
      </c>
    </row>
    <row r="170" spans="1:50" ht="15" customHeight="1" x14ac:dyDescent="0.25">
      <c r="A170" s="106"/>
      <c r="B170" s="235"/>
      <c r="C170" s="604"/>
      <c r="D170" s="162"/>
      <c r="E170" s="139"/>
      <c r="F170" s="354"/>
      <c r="G170" s="139"/>
      <c r="H170" s="56"/>
      <c r="I170" s="89"/>
      <c r="J170" s="56"/>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c r="AT170" s="98"/>
      <c r="AU170" s="98"/>
      <c r="AV170" s="98"/>
      <c r="AW170" s="98"/>
      <c r="AX170" s="98"/>
    </row>
    <row r="171" spans="1:50" ht="15" customHeight="1" x14ac:dyDescent="0.25">
      <c r="A171" s="106"/>
      <c r="B171" s="102" t="str">
        <f>Translate!$E$413</f>
        <v>Sum of bonuses</v>
      </c>
      <c r="C171" s="604"/>
      <c r="D171" s="162"/>
      <c r="E171" s="139"/>
      <c r="F171" s="354"/>
      <c r="G171" s="139"/>
      <c r="H171" s="56"/>
      <c r="I171" s="89"/>
      <c r="J171" s="56"/>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c r="AT171" s="98"/>
      <c r="AU171" s="98"/>
      <c r="AV171" s="98"/>
      <c r="AW171" s="98"/>
      <c r="AX171" s="98"/>
    </row>
    <row r="172" spans="1:50" ht="15" customHeight="1" x14ac:dyDescent="0.25">
      <c r="A172" s="170"/>
      <c r="B172" s="675"/>
      <c r="C172" s="615"/>
      <c r="D172" s="55"/>
      <c r="E172" s="190" t="str">
        <f xml:space="preserve"> Translate!E$237</f>
        <v>Bonuses</v>
      </c>
      <c r="F172" s="64"/>
      <c r="G172" s="190" t="str">
        <f xml:space="preserve"> Translate!E$603</f>
        <v>US$ mn</v>
      </c>
      <c r="H172" s="190"/>
      <c r="I172" s="55">
        <f ca="1" xml:space="preserve"> SUM(K172:AX172)</f>
        <v>60</v>
      </c>
      <c r="J172" s="55"/>
      <c r="K172" s="55">
        <f t="shared" ref="K172:AX172" ca="1" si="25" xml:space="preserve"> K164 + K169</f>
        <v>10</v>
      </c>
      <c r="L172" s="55">
        <f t="shared" ca="1" si="25"/>
        <v>0</v>
      </c>
      <c r="M172" s="55">
        <f t="shared" ca="1" si="25"/>
        <v>0</v>
      </c>
      <c r="N172" s="55">
        <f t="shared" ca="1" si="25"/>
        <v>0</v>
      </c>
      <c r="O172" s="55">
        <f t="shared" ca="1" si="25"/>
        <v>50</v>
      </c>
      <c r="P172" s="55">
        <f t="shared" ca="1" si="25"/>
        <v>0</v>
      </c>
      <c r="Q172" s="55">
        <f t="shared" ca="1" si="25"/>
        <v>0</v>
      </c>
      <c r="R172" s="55">
        <f t="shared" ca="1" si="25"/>
        <v>0</v>
      </c>
      <c r="S172" s="55">
        <f t="shared" ca="1" si="25"/>
        <v>0</v>
      </c>
      <c r="T172" s="55">
        <f t="shared" ca="1" si="25"/>
        <v>0</v>
      </c>
      <c r="U172" s="55">
        <f t="shared" ca="1" si="25"/>
        <v>0</v>
      </c>
      <c r="V172" s="55">
        <f t="shared" ca="1" si="25"/>
        <v>0</v>
      </c>
      <c r="W172" s="55">
        <f t="shared" ca="1" si="25"/>
        <v>0</v>
      </c>
      <c r="X172" s="55">
        <f t="shared" ca="1" si="25"/>
        <v>0</v>
      </c>
      <c r="Y172" s="55">
        <f t="shared" ca="1" si="25"/>
        <v>0</v>
      </c>
      <c r="Z172" s="55">
        <f t="shared" ca="1" si="25"/>
        <v>0</v>
      </c>
      <c r="AA172" s="55">
        <f t="shared" ca="1" si="25"/>
        <v>0</v>
      </c>
      <c r="AB172" s="55">
        <f t="shared" ca="1" si="25"/>
        <v>0</v>
      </c>
      <c r="AC172" s="55">
        <f t="shared" ca="1" si="25"/>
        <v>0</v>
      </c>
      <c r="AD172" s="55">
        <f t="shared" ca="1" si="25"/>
        <v>0</v>
      </c>
      <c r="AE172" s="55">
        <f t="shared" ca="1" si="25"/>
        <v>0</v>
      </c>
      <c r="AF172" s="55">
        <f t="shared" ca="1" si="25"/>
        <v>0</v>
      </c>
      <c r="AG172" s="55">
        <f t="shared" ca="1" si="25"/>
        <v>0</v>
      </c>
      <c r="AH172" s="55">
        <f t="shared" ca="1" si="25"/>
        <v>0</v>
      </c>
      <c r="AI172" s="55">
        <f t="shared" ca="1" si="25"/>
        <v>0</v>
      </c>
      <c r="AJ172" s="55">
        <f t="shared" ca="1" si="25"/>
        <v>0</v>
      </c>
      <c r="AK172" s="55">
        <f t="shared" ca="1" si="25"/>
        <v>0</v>
      </c>
      <c r="AL172" s="55">
        <f t="shared" ca="1" si="25"/>
        <v>0</v>
      </c>
      <c r="AM172" s="55">
        <f t="shared" ca="1" si="25"/>
        <v>0</v>
      </c>
      <c r="AN172" s="55">
        <f t="shared" ca="1" si="25"/>
        <v>0</v>
      </c>
      <c r="AO172" s="55">
        <f t="shared" ca="1" si="25"/>
        <v>0</v>
      </c>
      <c r="AP172" s="55">
        <f t="shared" ca="1" si="25"/>
        <v>0</v>
      </c>
      <c r="AQ172" s="55">
        <f t="shared" ca="1" si="25"/>
        <v>0</v>
      </c>
      <c r="AR172" s="55">
        <f t="shared" ca="1" si="25"/>
        <v>0</v>
      </c>
      <c r="AS172" s="55">
        <f t="shared" ca="1" si="25"/>
        <v>0</v>
      </c>
      <c r="AT172" s="55">
        <f t="shared" ca="1" si="25"/>
        <v>0</v>
      </c>
      <c r="AU172" s="55">
        <f t="shared" ca="1" si="25"/>
        <v>0</v>
      </c>
      <c r="AV172" s="55">
        <f t="shared" ca="1" si="25"/>
        <v>0</v>
      </c>
      <c r="AW172" s="55">
        <f t="shared" ca="1" si="25"/>
        <v>0</v>
      </c>
      <c r="AX172" s="55">
        <f t="shared" ca="1" si="25"/>
        <v>0</v>
      </c>
    </row>
    <row r="173" spans="1:50" ht="15" customHeight="1" x14ac:dyDescent="0.25">
      <c r="A173" s="106"/>
      <c r="B173" s="235"/>
      <c r="C173" s="604"/>
      <c r="D173" s="162"/>
      <c r="E173" s="13"/>
      <c r="F173" s="151"/>
      <c r="G173" s="13"/>
      <c r="I173" s="89"/>
      <c r="J173" s="56"/>
      <c r="L173" s="56"/>
      <c r="M173" s="56"/>
      <c r="N173" s="56"/>
      <c r="O173" s="56"/>
      <c r="P173" s="56"/>
      <c r="Q173" s="56"/>
      <c r="R173" s="56"/>
      <c r="S173" s="56"/>
      <c r="T173" s="56"/>
      <c r="U173" s="56"/>
      <c r="V173" s="56"/>
      <c r="W173" s="56"/>
      <c r="X173" s="56"/>
      <c r="Y173" s="56"/>
      <c r="Z173" s="56"/>
      <c r="AA173" s="56"/>
      <c r="AB173" s="56"/>
      <c r="AC173" s="56"/>
      <c r="AD173" s="56"/>
      <c r="AE173" s="56"/>
      <c r="AF173" s="56"/>
      <c r="AG173" s="56"/>
      <c r="AH173" s="56"/>
      <c r="AI173" s="56"/>
      <c r="AJ173" s="56"/>
      <c r="AK173" s="56"/>
      <c r="AL173" s="56"/>
      <c r="AM173" s="56"/>
      <c r="AN173" s="56"/>
      <c r="AO173" s="56"/>
      <c r="AP173" s="56"/>
      <c r="AQ173" s="56"/>
      <c r="AR173" s="56"/>
      <c r="AS173" s="56"/>
      <c r="AT173" s="56"/>
      <c r="AU173" s="56"/>
      <c r="AV173" s="56"/>
      <c r="AW173" s="56"/>
      <c r="AX173" s="56"/>
    </row>
    <row r="174" spans="1:50" ht="15" customHeight="1" x14ac:dyDescent="0.25">
      <c r="A174" s="202" t="str">
        <f xml:space="preserve"> Translate!E$127</f>
        <v>Royalty</v>
      </c>
      <c r="B174" s="781"/>
      <c r="C174" s="610"/>
      <c r="D174" s="204"/>
      <c r="E174" s="202"/>
      <c r="F174" s="204"/>
      <c r="G174" s="202"/>
      <c r="H174" s="202"/>
      <c r="I174" s="202"/>
      <c r="J174" s="202"/>
      <c r="K174" s="202"/>
      <c r="L174" s="202"/>
      <c r="M174" s="202"/>
      <c r="N174" s="202"/>
      <c r="O174" s="202"/>
      <c r="P174" s="202"/>
      <c r="Q174" s="202"/>
      <c r="R174" s="202"/>
      <c r="S174" s="202"/>
      <c r="T174" s="202"/>
      <c r="U174" s="202"/>
      <c r="V174" s="202"/>
      <c r="W174" s="202"/>
      <c r="X174" s="202"/>
      <c r="Y174" s="202"/>
      <c r="Z174" s="202"/>
      <c r="AA174" s="202"/>
      <c r="AB174" s="202"/>
      <c r="AC174" s="202"/>
      <c r="AD174" s="202"/>
      <c r="AE174" s="202"/>
      <c r="AF174" s="202"/>
      <c r="AG174" s="202"/>
      <c r="AH174" s="202"/>
      <c r="AI174" s="202"/>
      <c r="AJ174" s="202"/>
      <c r="AK174" s="202"/>
      <c r="AL174" s="202"/>
      <c r="AM174" s="202"/>
      <c r="AN174" s="202"/>
      <c r="AO174" s="202"/>
      <c r="AP174" s="202"/>
      <c r="AQ174" s="202"/>
      <c r="AR174" s="202"/>
      <c r="AS174" s="202"/>
      <c r="AT174" s="202"/>
      <c r="AU174" s="202"/>
      <c r="AV174" s="202"/>
      <c r="AW174" s="202"/>
      <c r="AX174" s="202"/>
    </row>
    <row r="175" spans="1:50" s="48" customFormat="1" ht="15" customHeight="1" x14ac:dyDescent="0.25">
      <c r="A175" s="220"/>
      <c r="B175" s="102"/>
      <c r="C175" s="611"/>
      <c r="D175" s="221"/>
      <c r="E175" s="220"/>
      <c r="F175" s="221"/>
      <c r="G175" s="220"/>
      <c r="H175" s="220"/>
      <c r="I175" s="220"/>
      <c r="J175" s="220"/>
      <c r="K175" s="220"/>
      <c r="L175" s="220"/>
      <c r="M175" s="220"/>
      <c r="N175" s="220"/>
      <c r="O175" s="220"/>
      <c r="P175" s="220"/>
      <c r="Q175" s="220"/>
      <c r="R175" s="220"/>
      <c r="S175" s="220"/>
      <c r="T175" s="220"/>
      <c r="U175" s="220"/>
      <c r="V175" s="220"/>
      <c r="W175" s="220"/>
      <c r="X175" s="220"/>
      <c r="Y175" s="220"/>
      <c r="Z175" s="220"/>
      <c r="AA175" s="220"/>
      <c r="AB175" s="220"/>
      <c r="AC175" s="220"/>
      <c r="AD175" s="220"/>
      <c r="AE175" s="220"/>
      <c r="AF175" s="220"/>
      <c r="AG175" s="220"/>
      <c r="AH175" s="220"/>
      <c r="AI175" s="220"/>
      <c r="AJ175" s="220"/>
      <c r="AK175" s="220"/>
      <c r="AL175" s="220"/>
      <c r="AM175" s="220"/>
      <c r="AN175" s="220"/>
      <c r="AO175" s="220"/>
      <c r="AP175" s="220"/>
      <c r="AQ175" s="220"/>
      <c r="AR175" s="220"/>
      <c r="AS175" s="220"/>
      <c r="AT175" s="220"/>
      <c r="AU175" s="220"/>
      <c r="AV175" s="220"/>
      <c r="AW175" s="220"/>
      <c r="AX175" s="220"/>
    </row>
    <row r="176" spans="1:50" s="48" customFormat="1" ht="15" customHeight="1" x14ac:dyDescent="0.25">
      <c r="A176" s="220"/>
      <c r="B176" s="102" t="str">
        <f>Translate!E414</f>
        <v>Royalty base</v>
      </c>
      <c r="C176" s="611"/>
      <c r="D176" s="221"/>
      <c r="E176" s="220"/>
      <c r="F176" s="221"/>
      <c r="G176" s="220"/>
      <c r="H176" s="220"/>
      <c r="I176" s="220"/>
      <c r="J176" s="220"/>
      <c r="K176" s="220"/>
      <c r="L176" s="220"/>
      <c r="M176" s="220"/>
      <c r="N176" s="220"/>
      <c r="O176" s="220"/>
      <c r="P176" s="220"/>
      <c r="Q176" s="220"/>
      <c r="R176" s="220"/>
      <c r="S176" s="220"/>
      <c r="T176" s="220"/>
      <c r="U176" s="220"/>
      <c r="V176" s="220"/>
      <c r="W176" s="220"/>
      <c r="X176" s="220"/>
      <c r="Y176" s="220"/>
      <c r="Z176" s="220"/>
      <c r="AA176" s="220"/>
      <c r="AB176" s="220"/>
      <c r="AC176" s="220"/>
      <c r="AD176" s="220"/>
      <c r="AE176" s="220"/>
      <c r="AF176" s="220"/>
      <c r="AG176" s="220"/>
      <c r="AH176" s="220"/>
      <c r="AI176" s="220"/>
      <c r="AJ176" s="220"/>
      <c r="AK176" s="220"/>
      <c r="AL176" s="220"/>
      <c r="AM176" s="220"/>
      <c r="AN176" s="220"/>
      <c r="AO176" s="220"/>
      <c r="AP176" s="220"/>
      <c r="AQ176" s="220"/>
      <c r="AR176" s="220"/>
      <c r="AS176" s="220"/>
      <c r="AT176" s="220"/>
      <c r="AU176" s="220"/>
      <c r="AV176" s="220"/>
      <c r="AW176" s="220"/>
      <c r="AX176" s="220"/>
    </row>
    <row r="177" spans="1:50" s="40" customFormat="1" ht="15" customHeight="1" x14ac:dyDescent="0.25">
      <c r="A177" s="139"/>
      <c r="B177" s="235"/>
      <c r="C177" s="613"/>
      <c r="D177" s="351"/>
      <c r="E177" s="140" t="str">
        <f xml:space="preserve"> ProjectCashflows!E$234</f>
        <v>Oil revenues gross, after ELT</v>
      </c>
      <c r="F177" s="540">
        <f xml:space="preserve"> ProjectCashflows!F$234</f>
        <v>0</v>
      </c>
      <c r="G177" s="140" t="str">
        <f xml:space="preserve"> ProjectCashflows!G$234</f>
        <v>US$ mn</v>
      </c>
      <c r="H177" s="140">
        <f xml:space="preserve"> ProjectCashflows!H$234</f>
        <v>0</v>
      </c>
      <c r="I177" s="140">
        <f ca="1" xml:space="preserve"> ProjectCashflows!I$234</f>
        <v>57168.543518412531</v>
      </c>
      <c r="J177" s="140">
        <f xml:space="preserve"> ProjectCashflows!J$234</f>
        <v>0</v>
      </c>
      <c r="K177" s="140">
        <f ca="1" xml:space="preserve"> ProjectCashflows!K$234</f>
        <v>0</v>
      </c>
      <c r="L177" s="140">
        <f ca="1" xml:space="preserve"> ProjectCashflows!L$234</f>
        <v>0</v>
      </c>
      <c r="M177" s="140">
        <f ca="1" xml:space="preserve"> ProjectCashflows!M$234</f>
        <v>0</v>
      </c>
      <c r="N177" s="140">
        <f ca="1" xml:space="preserve"> ProjectCashflows!N$234</f>
        <v>0</v>
      </c>
      <c r="O177" s="140">
        <f ca="1" xml:space="preserve"> ProjectCashflows!O$234</f>
        <v>207.45717060984819</v>
      </c>
      <c r="P177" s="140">
        <f ca="1" xml:space="preserve"> ProjectCashflows!P$234</f>
        <v>1662.331659318</v>
      </c>
      <c r="Q177" s="140">
        <f ca="1" xml:space="preserve"> ProjectCashflows!Q$234</f>
        <v>3391.1565850087204</v>
      </c>
      <c r="R177" s="140">
        <f ca="1" xml:space="preserve"> ProjectCashflows!R$234</f>
        <v>3458.9797167088946</v>
      </c>
      <c r="S177" s="140">
        <f ca="1" xml:space="preserve"> ProjectCashflows!S$234</f>
        <v>3528.1593110430726</v>
      </c>
      <c r="T177" s="140">
        <f ca="1" xml:space="preserve"> ProjectCashflows!T$234</f>
        <v>3598.7224972639342</v>
      </c>
      <c r="U177" s="140">
        <f ca="1" xml:space="preserve"> ProjectCashflows!U$234</f>
        <v>3670.6969472092128</v>
      </c>
      <c r="V177" s="140">
        <f ca="1" xml:space="preserve"> ProjectCashflows!V$234</f>
        <v>3744.1108861533971</v>
      </c>
      <c r="W177" s="140">
        <f ca="1" xml:space="preserve"> ProjectCashflows!W$234</f>
        <v>3818.9931038764653</v>
      </c>
      <c r="X177" s="140">
        <f ca="1" xml:space="preserve"> ProjectCashflows!X$234</f>
        <v>3895.372965953994</v>
      </c>
      <c r="Y177" s="140">
        <f ca="1" xml:space="preserve"> ProjectCashflows!Y$234</f>
        <v>3973.2804252730743</v>
      </c>
      <c r="Z177" s="140">
        <f ca="1" xml:space="preserve"> ProjectCashflows!Z$234</f>
        <v>4052.746033778536</v>
      </c>
      <c r="AA177" s="140">
        <f ca="1" xml:space="preserve"> ProjectCashflows!AA$234</f>
        <v>3348.3787731078273</v>
      </c>
      <c r="AB177" s="140">
        <f ca="1" xml:space="preserve"> ProjectCashflows!AB$234</f>
        <v>2766.4305423416872</v>
      </c>
      <c r="AC177" s="140">
        <f ca="1" xml:space="preserve"> ProjectCashflows!AC$234</f>
        <v>2285.6249140827022</v>
      </c>
      <c r="AD177" s="140">
        <f ca="1" xml:space="preserve"> ProjectCashflows!AD$234</f>
        <v>1888.3833040151289</v>
      </c>
      <c r="AE177" s="140">
        <f ca="1" xml:space="preserve"> ProjectCashflows!AE$234</f>
        <v>1560.1822857772995</v>
      </c>
      <c r="AF177" s="140">
        <f ca="1" xml:space="preserve"> ProjectCashflows!AF$234</f>
        <v>1289.0226045092052</v>
      </c>
      <c r="AG177" s="140">
        <f ca="1" xml:space="preserve"> ProjectCashflows!AG$234</f>
        <v>1064.9904758455054</v>
      </c>
      <c r="AH177" s="140">
        <f ca="1" xml:space="preserve"> ProjectCashflows!AH$234</f>
        <v>879.89513114355657</v>
      </c>
      <c r="AI177" s="140">
        <f ca="1" xml:space="preserve"> ProjectCashflows!AI$234</f>
        <v>726.9693573508066</v>
      </c>
      <c r="AJ177" s="140">
        <f ca="1" xml:space="preserve"> ProjectCashflows!AJ$234</f>
        <v>600.62208304323633</v>
      </c>
      <c r="AK177" s="140">
        <f ca="1" xml:space="preserve"> ProjectCashflows!AK$234</f>
        <v>496.23396501032192</v>
      </c>
      <c r="AL177" s="140">
        <f ca="1" xml:space="preserve"> ProjectCashflows!AL$234</f>
        <v>409.9885018915279</v>
      </c>
      <c r="AM177" s="140">
        <f ca="1" xml:space="preserve"> ProjectCashflows!AM$234</f>
        <v>338.73250026278043</v>
      </c>
      <c r="AN177" s="140">
        <f ca="1" xml:space="preserve"> ProjectCashflows!AN$234</f>
        <v>279.86079171710918</v>
      </c>
      <c r="AO177" s="140">
        <f ca="1" xml:space="preserve"> ProjectCashflows!AO$234</f>
        <v>231.22098611667568</v>
      </c>
      <c r="AP177" s="140">
        <f ca="1" xml:space="preserve"> ProjectCashflows!AP$234</f>
        <v>0</v>
      </c>
      <c r="AQ177" s="140">
        <f ca="1" xml:space="preserve"> ProjectCashflows!AQ$234</f>
        <v>0</v>
      </c>
      <c r="AR177" s="140">
        <f ca="1" xml:space="preserve"> ProjectCashflows!AR$234</f>
        <v>0</v>
      </c>
      <c r="AS177" s="140">
        <f ca="1" xml:space="preserve"> ProjectCashflows!AS$234</f>
        <v>0</v>
      </c>
      <c r="AT177" s="140">
        <f ca="1" xml:space="preserve"> ProjectCashflows!AT$234</f>
        <v>0</v>
      </c>
      <c r="AU177" s="140">
        <f ca="1" xml:space="preserve"> ProjectCashflows!AU$234</f>
        <v>0</v>
      </c>
      <c r="AV177" s="140">
        <f ca="1" xml:space="preserve"> ProjectCashflows!AV$234</f>
        <v>0</v>
      </c>
      <c r="AW177" s="140">
        <f ca="1" xml:space="preserve"> ProjectCashflows!AW$234</f>
        <v>0</v>
      </c>
      <c r="AX177" s="140">
        <f ca="1" xml:space="preserve"> ProjectCashflows!AX$234</f>
        <v>0</v>
      </c>
    </row>
    <row r="178" spans="1:50" s="40" customFormat="1" ht="15" customHeight="1" x14ac:dyDescent="0.25">
      <c r="A178" s="139"/>
      <c r="B178" s="235"/>
      <c r="C178" s="613"/>
      <c r="D178" s="351"/>
      <c r="E178" s="140" t="str">
        <f xml:space="preserve"> ProjectCashflows!E$236</f>
        <v>Net revenues after ELT</v>
      </c>
      <c r="F178" s="540">
        <f xml:space="preserve"> ProjectCashflows!F$236</f>
        <v>0</v>
      </c>
      <c r="G178" s="140" t="str">
        <f xml:space="preserve"> ProjectCashflows!G$236</f>
        <v>US$ mn</v>
      </c>
      <c r="H178" s="140">
        <f xml:space="preserve"> ProjectCashflows!H$236</f>
        <v>0</v>
      </c>
      <c r="I178" s="140">
        <f ca="1" xml:space="preserve"> ProjectCashflows!I$236</f>
        <v>57168.543518412531</v>
      </c>
      <c r="J178" s="140">
        <f xml:space="preserve"> ProjectCashflows!J$236</f>
        <v>0</v>
      </c>
      <c r="K178" s="140">
        <f ca="1" xml:space="preserve"> ProjectCashflows!K$236</f>
        <v>0</v>
      </c>
      <c r="L178" s="140">
        <f ca="1" xml:space="preserve"> ProjectCashflows!L$236</f>
        <v>0</v>
      </c>
      <c r="M178" s="140">
        <f ca="1" xml:space="preserve"> ProjectCashflows!M$236</f>
        <v>0</v>
      </c>
      <c r="N178" s="140">
        <f ca="1" xml:space="preserve"> ProjectCashflows!N$236</f>
        <v>0</v>
      </c>
      <c r="O178" s="140">
        <f ca="1" xml:space="preserve"> ProjectCashflows!O$236</f>
        <v>207.45717060984819</v>
      </c>
      <c r="P178" s="140">
        <f ca="1" xml:space="preserve"> ProjectCashflows!P$236</f>
        <v>1662.331659318</v>
      </c>
      <c r="Q178" s="140">
        <f ca="1" xml:space="preserve"> ProjectCashflows!Q$236</f>
        <v>3391.1565850087204</v>
      </c>
      <c r="R178" s="140">
        <f ca="1" xml:space="preserve"> ProjectCashflows!R$236</f>
        <v>3458.9797167088946</v>
      </c>
      <c r="S178" s="140">
        <f ca="1" xml:space="preserve"> ProjectCashflows!S$236</f>
        <v>3528.1593110430726</v>
      </c>
      <c r="T178" s="140">
        <f ca="1" xml:space="preserve"> ProjectCashflows!T$236</f>
        <v>3598.7224972639342</v>
      </c>
      <c r="U178" s="140">
        <f ca="1" xml:space="preserve"> ProjectCashflows!U$236</f>
        <v>3670.6969472092128</v>
      </c>
      <c r="V178" s="140">
        <f ca="1" xml:space="preserve"> ProjectCashflows!V$236</f>
        <v>3744.1108861533971</v>
      </c>
      <c r="W178" s="140">
        <f ca="1" xml:space="preserve"> ProjectCashflows!W$236</f>
        <v>3818.9931038764653</v>
      </c>
      <c r="X178" s="140">
        <f ca="1" xml:space="preserve"> ProjectCashflows!X$236</f>
        <v>3895.372965953994</v>
      </c>
      <c r="Y178" s="140">
        <f ca="1" xml:space="preserve"> ProjectCashflows!Y$236</f>
        <v>3973.2804252730743</v>
      </c>
      <c r="Z178" s="140">
        <f ca="1" xml:space="preserve"> ProjectCashflows!Z$236</f>
        <v>4052.746033778536</v>
      </c>
      <c r="AA178" s="140">
        <f ca="1" xml:space="preserve"> ProjectCashflows!AA$236</f>
        <v>3348.3787731078273</v>
      </c>
      <c r="AB178" s="140">
        <f ca="1" xml:space="preserve"> ProjectCashflows!AB$236</f>
        <v>2766.4305423416872</v>
      </c>
      <c r="AC178" s="140">
        <f ca="1" xml:space="preserve"> ProjectCashflows!AC$236</f>
        <v>2285.6249140827022</v>
      </c>
      <c r="AD178" s="140">
        <f ca="1" xml:space="preserve"> ProjectCashflows!AD$236</f>
        <v>1888.3833040151289</v>
      </c>
      <c r="AE178" s="140">
        <f ca="1" xml:space="preserve"> ProjectCashflows!AE$236</f>
        <v>1560.1822857772995</v>
      </c>
      <c r="AF178" s="140">
        <f ca="1" xml:space="preserve"> ProjectCashflows!AF$236</f>
        <v>1289.0226045092052</v>
      </c>
      <c r="AG178" s="140">
        <f ca="1" xml:space="preserve"> ProjectCashflows!AG$236</f>
        <v>1064.9904758455054</v>
      </c>
      <c r="AH178" s="140">
        <f ca="1" xml:space="preserve"> ProjectCashflows!AH$236</f>
        <v>879.89513114355657</v>
      </c>
      <c r="AI178" s="140">
        <f ca="1" xml:space="preserve"> ProjectCashflows!AI$236</f>
        <v>726.9693573508066</v>
      </c>
      <c r="AJ178" s="140">
        <f ca="1" xml:space="preserve"> ProjectCashflows!AJ$236</f>
        <v>600.62208304323633</v>
      </c>
      <c r="AK178" s="140">
        <f ca="1" xml:space="preserve"> ProjectCashflows!AK$236</f>
        <v>496.23396501032192</v>
      </c>
      <c r="AL178" s="140">
        <f ca="1" xml:space="preserve"> ProjectCashflows!AL$236</f>
        <v>409.9885018915279</v>
      </c>
      <c r="AM178" s="140">
        <f ca="1" xml:space="preserve"> ProjectCashflows!AM$236</f>
        <v>338.73250026278043</v>
      </c>
      <c r="AN178" s="140">
        <f ca="1" xml:space="preserve"> ProjectCashflows!AN$236</f>
        <v>279.86079171710918</v>
      </c>
      <c r="AO178" s="140">
        <f ca="1" xml:space="preserve"> ProjectCashflows!AO$236</f>
        <v>231.22098611667568</v>
      </c>
      <c r="AP178" s="140">
        <f ca="1" xml:space="preserve"> ProjectCashflows!AP$236</f>
        <v>0</v>
      </c>
      <c r="AQ178" s="140">
        <f ca="1" xml:space="preserve"> ProjectCashflows!AQ$236</f>
        <v>0</v>
      </c>
      <c r="AR178" s="140">
        <f ca="1" xml:space="preserve"> ProjectCashflows!AR$236</f>
        <v>0</v>
      </c>
      <c r="AS178" s="140">
        <f ca="1" xml:space="preserve"> ProjectCashflows!AS$236</f>
        <v>0</v>
      </c>
      <c r="AT178" s="140">
        <f ca="1" xml:space="preserve"> ProjectCashflows!AT$236</f>
        <v>0</v>
      </c>
      <c r="AU178" s="140">
        <f ca="1" xml:space="preserve"> ProjectCashflows!AU$236</f>
        <v>0</v>
      </c>
      <c r="AV178" s="140">
        <f ca="1" xml:space="preserve"> ProjectCashflows!AV$236</f>
        <v>0</v>
      </c>
      <c r="AW178" s="140">
        <f ca="1" xml:space="preserve"> ProjectCashflows!AW$236</f>
        <v>0</v>
      </c>
      <c r="AX178" s="140">
        <f ca="1" xml:space="preserve"> ProjectCashflows!AX$236</f>
        <v>0</v>
      </c>
    </row>
    <row r="179" spans="1:50" ht="15" customHeight="1" x14ac:dyDescent="0.25">
      <c r="A179" s="86"/>
      <c r="B179" s="235"/>
      <c r="C179" s="604"/>
      <c r="D179" s="217"/>
      <c r="E179" s="56"/>
      <c r="F179" s="151"/>
      <c r="G179" s="56"/>
      <c r="H179" s="56"/>
      <c r="I179" s="56"/>
      <c r="J179" s="56"/>
      <c r="K179" s="56"/>
      <c r="L179" s="56"/>
      <c r="M179" s="56"/>
      <c r="N179" s="56"/>
      <c r="O179" s="56"/>
      <c r="P179" s="56"/>
      <c r="Q179" s="56"/>
      <c r="R179" s="56"/>
      <c r="S179" s="56"/>
      <c r="T179" s="56"/>
      <c r="U179" s="56"/>
      <c r="V179" s="56"/>
      <c r="W179" s="56"/>
      <c r="X179" s="56"/>
      <c r="Y179" s="56"/>
      <c r="Z179" s="56"/>
      <c r="AA179" s="56"/>
      <c r="AB179" s="56"/>
      <c r="AC179" s="56"/>
      <c r="AD179" s="56"/>
      <c r="AE179" s="56"/>
      <c r="AF179" s="56"/>
      <c r="AG179" s="56"/>
      <c r="AH179" s="56"/>
      <c r="AI179" s="56"/>
      <c r="AJ179" s="56"/>
      <c r="AK179" s="56"/>
      <c r="AL179" s="56"/>
      <c r="AM179" s="56"/>
      <c r="AN179" s="56"/>
      <c r="AO179" s="56"/>
      <c r="AP179" s="56"/>
      <c r="AQ179" s="56"/>
      <c r="AR179" s="56"/>
      <c r="AS179" s="56"/>
      <c r="AT179" s="56"/>
      <c r="AU179" s="56"/>
      <c r="AV179" s="56"/>
      <c r="AW179" s="56"/>
      <c r="AX179" s="56"/>
    </row>
    <row r="180" spans="1:50" ht="15" customHeight="1" x14ac:dyDescent="0.25">
      <c r="A180" s="86"/>
      <c r="B180" s="235"/>
      <c r="C180" s="604"/>
      <c r="D180" s="217"/>
      <c r="E180" s="400" t="str">
        <f>FiscalModel!E$24</f>
        <v>Royalty base (net/gross)</v>
      </c>
      <c r="F180" s="399" t="str">
        <f>FiscalModel!F$24</f>
        <v>net</v>
      </c>
      <c r="G180" s="400" t="str">
        <f>FiscalModel!G$24</f>
        <v>Switch</v>
      </c>
      <c r="H180" s="56"/>
      <c r="I180" s="56"/>
      <c r="J180" s="56"/>
      <c r="K180" s="56"/>
      <c r="L180" s="56"/>
      <c r="M180" s="56"/>
      <c r="N180" s="56"/>
      <c r="O180" s="56"/>
      <c r="P180" s="56"/>
      <c r="Q180" s="56"/>
      <c r="R180" s="56"/>
      <c r="S180" s="56"/>
      <c r="T180" s="56"/>
      <c r="U180" s="56"/>
      <c r="V180" s="56"/>
      <c r="W180" s="56"/>
      <c r="X180" s="56"/>
      <c r="Y180" s="56"/>
      <c r="Z180" s="56"/>
      <c r="AA180" s="56"/>
      <c r="AB180" s="56"/>
      <c r="AC180" s="56"/>
      <c r="AD180" s="56"/>
      <c r="AE180" s="56"/>
      <c r="AF180" s="56"/>
      <c r="AG180" s="56"/>
      <c r="AH180" s="56"/>
      <c r="AI180" s="56"/>
      <c r="AJ180" s="56"/>
      <c r="AK180" s="56"/>
      <c r="AL180" s="56"/>
      <c r="AM180" s="56"/>
      <c r="AN180" s="56"/>
      <c r="AO180" s="56"/>
      <c r="AP180" s="56"/>
      <c r="AQ180" s="56"/>
      <c r="AR180" s="56"/>
      <c r="AS180" s="56"/>
      <c r="AT180" s="56"/>
      <c r="AU180" s="56"/>
      <c r="AV180" s="56"/>
      <c r="AW180" s="56"/>
      <c r="AX180" s="56"/>
    </row>
    <row r="181" spans="1:50" ht="15" customHeight="1" x14ac:dyDescent="0.25">
      <c r="A181" s="86"/>
      <c r="B181" s="235"/>
      <c r="C181" s="604"/>
      <c r="D181" s="217"/>
      <c r="E181" s="70"/>
      <c r="F181" s="233" t="str">
        <f>Translate!E133</f>
        <v>gross</v>
      </c>
      <c r="G181" s="70" t="str">
        <f xml:space="preserve"> Translate!E$103</f>
        <v>Option</v>
      </c>
      <c r="H181" s="56"/>
      <c r="I181" s="56"/>
      <c r="J181" s="56"/>
      <c r="K181" s="56"/>
      <c r="L181" s="56"/>
      <c r="M181" s="56"/>
      <c r="N181" s="56"/>
      <c r="O181" s="56"/>
      <c r="P181" s="56"/>
      <c r="Q181" s="56"/>
      <c r="R181" s="56"/>
      <c r="S181" s="56"/>
      <c r="T181" s="56"/>
      <c r="U181" s="56"/>
      <c r="V181" s="56"/>
      <c r="W181" s="56"/>
      <c r="X181" s="56"/>
      <c r="Y181" s="56"/>
      <c r="Z181" s="56"/>
      <c r="AA181" s="56"/>
      <c r="AB181" s="56"/>
      <c r="AC181" s="56"/>
      <c r="AD181" s="56"/>
      <c r="AE181" s="56"/>
      <c r="AF181" s="56"/>
      <c r="AG181" s="56"/>
      <c r="AH181" s="56"/>
      <c r="AI181" s="56"/>
      <c r="AJ181" s="56"/>
      <c r="AK181" s="56"/>
      <c r="AL181" s="56"/>
      <c r="AM181" s="56"/>
      <c r="AN181" s="56"/>
      <c r="AO181" s="56"/>
      <c r="AP181" s="56"/>
      <c r="AQ181" s="56"/>
      <c r="AR181" s="56"/>
      <c r="AS181" s="56"/>
      <c r="AT181" s="56"/>
      <c r="AU181" s="56"/>
      <c r="AV181" s="56"/>
      <c r="AW181" s="56"/>
      <c r="AX181" s="56"/>
    </row>
    <row r="182" spans="1:50" ht="15" customHeight="1" x14ac:dyDescent="0.25">
      <c r="A182" s="86"/>
      <c r="B182" s="235"/>
      <c r="C182" s="604"/>
      <c r="D182" s="217"/>
      <c r="E182" s="70"/>
      <c r="F182" s="233" t="str">
        <f>Translate!E134</f>
        <v>net</v>
      </c>
      <c r="G182" s="70" t="str">
        <f xml:space="preserve"> Translate!E$103</f>
        <v>Option</v>
      </c>
      <c r="H182" s="56"/>
      <c r="I182" s="56"/>
      <c r="J182" s="56"/>
      <c r="K182" s="56"/>
      <c r="L182" s="56"/>
      <c r="M182" s="56"/>
      <c r="N182" s="56"/>
      <c r="O182" s="56"/>
      <c r="P182" s="56"/>
      <c r="Q182" s="56"/>
      <c r="R182" s="56"/>
      <c r="S182" s="56"/>
      <c r="T182" s="56"/>
      <c r="U182" s="56"/>
      <c r="V182" s="56"/>
      <c r="W182" s="56"/>
      <c r="X182" s="56"/>
      <c r="Y182" s="56"/>
      <c r="Z182" s="56"/>
      <c r="AA182" s="56"/>
      <c r="AB182" s="56"/>
      <c r="AC182" s="56"/>
      <c r="AD182" s="56"/>
      <c r="AE182" s="56"/>
      <c r="AF182" s="56"/>
      <c r="AG182" s="56"/>
      <c r="AH182" s="56"/>
      <c r="AI182" s="56"/>
      <c r="AJ182" s="56"/>
      <c r="AK182" s="56"/>
      <c r="AL182" s="56"/>
      <c r="AM182" s="56"/>
      <c r="AN182" s="56"/>
      <c r="AO182" s="56"/>
      <c r="AP182" s="56"/>
      <c r="AQ182" s="56"/>
      <c r="AR182" s="56"/>
      <c r="AS182" s="56"/>
      <c r="AT182" s="56"/>
      <c r="AU182" s="56"/>
      <c r="AV182" s="56"/>
      <c r="AW182" s="56"/>
      <c r="AX182" s="56"/>
    </row>
    <row r="183" spans="1:50" ht="15" customHeight="1" x14ac:dyDescent="0.25">
      <c r="A183" s="86"/>
      <c r="B183" s="235"/>
      <c r="C183" s="604"/>
      <c r="D183" s="217"/>
      <c r="E183" s="70" t="str">
        <f>FiscalModel!E$24</f>
        <v>Royalty base (net/gross)</v>
      </c>
      <c r="F183" s="162">
        <f xml:space="preserve"> IF(F180 = F181, 1, 2)</f>
        <v>2</v>
      </c>
      <c r="G183" s="52" t="str">
        <f xml:space="preserve"> Translate!E$745</f>
        <v>option applicable</v>
      </c>
      <c r="H183" s="56"/>
      <c r="I183" s="56"/>
      <c r="J183" s="56"/>
      <c r="K183" s="56"/>
      <c r="L183" s="56"/>
      <c r="M183" s="56"/>
      <c r="N183" s="56"/>
      <c r="O183" s="56"/>
      <c r="P183" s="56"/>
      <c r="Q183" s="56"/>
      <c r="R183" s="56"/>
      <c r="S183" s="56"/>
      <c r="T183" s="56"/>
      <c r="U183" s="56"/>
      <c r="V183" s="56"/>
      <c r="W183" s="56"/>
      <c r="X183" s="56"/>
      <c r="Y183" s="56"/>
      <c r="Z183" s="56"/>
      <c r="AA183" s="56"/>
      <c r="AB183" s="56"/>
      <c r="AC183" s="56"/>
      <c r="AD183" s="56"/>
      <c r="AE183" s="56"/>
      <c r="AF183" s="56"/>
      <c r="AG183" s="56"/>
      <c r="AH183" s="56"/>
      <c r="AI183" s="56"/>
      <c r="AJ183" s="56"/>
      <c r="AK183" s="56"/>
      <c r="AL183" s="56"/>
      <c r="AM183" s="56"/>
      <c r="AN183" s="56"/>
      <c r="AO183" s="56"/>
      <c r="AP183" s="56"/>
      <c r="AQ183" s="56"/>
      <c r="AR183" s="56"/>
      <c r="AS183" s="56"/>
      <c r="AT183" s="56"/>
      <c r="AU183" s="56"/>
      <c r="AV183" s="56"/>
      <c r="AW183" s="56"/>
      <c r="AX183" s="56"/>
    </row>
    <row r="184" spans="1:50" ht="15" customHeight="1" x14ac:dyDescent="0.25">
      <c r="A184" s="86"/>
      <c r="B184" s="235"/>
      <c r="C184" s="604"/>
      <c r="D184" s="217"/>
      <c r="E184" s="70"/>
      <c r="F184" s="269"/>
      <c r="G184" s="70"/>
      <c r="H184" s="56"/>
      <c r="I184" s="56"/>
      <c r="J184" s="56"/>
      <c r="K184" s="56"/>
      <c r="L184" s="56"/>
      <c r="M184" s="56"/>
      <c r="N184" s="56"/>
      <c r="O184" s="56"/>
      <c r="P184" s="56"/>
      <c r="Q184" s="56"/>
      <c r="R184" s="56"/>
      <c r="S184" s="56"/>
      <c r="T184" s="56"/>
      <c r="U184" s="56"/>
      <c r="V184" s="56"/>
      <c r="W184" s="56"/>
      <c r="X184" s="56"/>
      <c r="Y184" s="56"/>
      <c r="Z184" s="56"/>
      <c r="AA184" s="56"/>
      <c r="AB184" s="56"/>
      <c r="AC184" s="56"/>
      <c r="AD184" s="56"/>
      <c r="AE184" s="56"/>
      <c r="AF184" s="56"/>
      <c r="AG184" s="56"/>
      <c r="AH184" s="56"/>
      <c r="AI184" s="56"/>
      <c r="AJ184" s="56"/>
      <c r="AK184" s="56"/>
      <c r="AL184" s="56"/>
      <c r="AM184" s="56"/>
      <c r="AN184" s="56"/>
      <c r="AO184" s="56"/>
      <c r="AP184" s="56"/>
      <c r="AQ184" s="56"/>
      <c r="AR184" s="56"/>
      <c r="AS184" s="56"/>
      <c r="AT184" s="56"/>
      <c r="AU184" s="56"/>
      <c r="AV184" s="56"/>
      <c r="AW184" s="56"/>
      <c r="AX184" s="56"/>
    </row>
    <row r="185" spans="1:50" ht="15" customHeight="1" x14ac:dyDescent="0.25">
      <c r="A185" s="241"/>
      <c r="B185" s="675"/>
      <c r="C185" s="615"/>
      <c r="D185" s="55"/>
      <c r="E185" s="190" t="str">
        <f xml:space="preserve"> Translate!E132&amp; ": " &amp; IF(F183 = 1, E177, E178)</f>
        <v>Royalty base (net/gross): Net revenues after ELT</v>
      </c>
      <c r="F185" s="64"/>
      <c r="G185" s="190" t="str">
        <f xml:space="preserve"> Translate!E$603</f>
        <v>US$ mn</v>
      </c>
      <c r="H185" s="190"/>
      <c r="I185" s="55">
        <f ca="1" xml:space="preserve"> SUM(K185:AX185)</f>
        <v>57168.543518412531</v>
      </c>
      <c r="J185" s="55"/>
      <c r="K185" s="55">
        <f ca="1" xml:space="preserve"> IF($F180 = $F181, K177, K178)</f>
        <v>0</v>
      </c>
      <c r="L185" s="55">
        <f t="shared" ref="L185:AX185" ca="1" si="26" xml:space="preserve"> IF($F180 = $F181, L177, L178)</f>
        <v>0</v>
      </c>
      <c r="M185" s="55">
        <f t="shared" ca="1" si="26"/>
        <v>0</v>
      </c>
      <c r="N185" s="55">
        <f t="shared" ca="1" si="26"/>
        <v>0</v>
      </c>
      <c r="O185" s="55">
        <f t="shared" ca="1" si="26"/>
        <v>207.45717060984819</v>
      </c>
      <c r="P185" s="55">
        <f t="shared" ca="1" si="26"/>
        <v>1662.331659318</v>
      </c>
      <c r="Q185" s="55">
        <f t="shared" ca="1" si="26"/>
        <v>3391.1565850087204</v>
      </c>
      <c r="R185" s="55">
        <f t="shared" ca="1" si="26"/>
        <v>3458.9797167088946</v>
      </c>
      <c r="S185" s="55">
        <f t="shared" ca="1" si="26"/>
        <v>3528.1593110430726</v>
      </c>
      <c r="T185" s="55">
        <f t="shared" ca="1" si="26"/>
        <v>3598.7224972639342</v>
      </c>
      <c r="U185" s="55">
        <f t="shared" ca="1" si="26"/>
        <v>3670.6969472092128</v>
      </c>
      <c r="V185" s="55">
        <f t="shared" ca="1" si="26"/>
        <v>3744.1108861533971</v>
      </c>
      <c r="W185" s="55">
        <f t="shared" ca="1" si="26"/>
        <v>3818.9931038764653</v>
      </c>
      <c r="X185" s="55">
        <f t="shared" ca="1" si="26"/>
        <v>3895.372965953994</v>
      </c>
      <c r="Y185" s="55">
        <f t="shared" ca="1" si="26"/>
        <v>3973.2804252730743</v>
      </c>
      <c r="Z185" s="55">
        <f t="shared" ca="1" si="26"/>
        <v>4052.746033778536</v>
      </c>
      <c r="AA185" s="55">
        <f t="shared" ca="1" si="26"/>
        <v>3348.3787731078273</v>
      </c>
      <c r="AB185" s="55">
        <f t="shared" ca="1" si="26"/>
        <v>2766.4305423416872</v>
      </c>
      <c r="AC185" s="55">
        <f t="shared" ca="1" si="26"/>
        <v>2285.6249140827022</v>
      </c>
      <c r="AD185" s="55">
        <f t="shared" ca="1" si="26"/>
        <v>1888.3833040151289</v>
      </c>
      <c r="AE185" s="55">
        <f t="shared" ca="1" si="26"/>
        <v>1560.1822857772995</v>
      </c>
      <c r="AF185" s="55">
        <f t="shared" ca="1" si="26"/>
        <v>1289.0226045092052</v>
      </c>
      <c r="AG185" s="55">
        <f t="shared" ca="1" si="26"/>
        <v>1064.9904758455054</v>
      </c>
      <c r="AH185" s="55">
        <f t="shared" ca="1" si="26"/>
        <v>879.89513114355657</v>
      </c>
      <c r="AI185" s="55">
        <f t="shared" ca="1" si="26"/>
        <v>726.9693573508066</v>
      </c>
      <c r="AJ185" s="55">
        <f t="shared" ca="1" si="26"/>
        <v>600.62208304323633</v>
      </c>
      <c r="AK185" s="55">
        <f t="shared" ca="1" si="26"/>
        <v>496.23396501032192</v>
      </c>
      <c r="AL185" s="55">
        <f t="shared" ca="1" si="26"/>
        <v>409.9885018915279</v>
      </c>
      <c r="AM185" s="55">
        <f t="shared" ca="1" si="26"/>
        <v>338.73250026278043</v>
      </c>
      <c r="AN185" s="55">
        <f t="shared" ca="1" si="26"/>
        <v>279.86079171710918</v>
      </c>
      <c r="AO185" s="55">
        <f t="shared" ca="1" si="26"/>
        <v>231.22098611667568</v>
      </c>
      <c r="AP185" s="55">
        <f t="shared" ca="1" si="26"/>
        <v>0</v>
      </c>
      <c r="AQ185" s="55">
        <f t="shared" ca="1" si="26"/>
        <v>0</v>
      </c>
      <c r="AR185" s="55">
        <f t="shared" ca="1" si="26"/>
        <v>0</v>
      </c>
      <c r="AS185" s="55">
        <f t="shared" ca="1" si="26"/>
        <v>0</v>
      </c>
      <c r="AT185" s="55">
        <f t="shared" ca="1" si="26"/>
        <v>0</v>
      </c>
      <c r="AU185" s="55">
        <f t="shared" ca="1" si="26"/>
        <v>0</v>
      </c>
      <c r="AV185" s="55">
        <f t="shared" ca="1" si="26"/>
        <v>0</v>
      </c>
      <c r="AW185" s="55">
        <f t="shared" ca="1" si="26"/>
        <v>0</v>
      </c>
      <c r="AX185" s="55">
        <f t="shared" ca="1" si="26"/>
        <v>0</v>
      </c>
    </row>
    <row r="186" spans="1:50" ht="15" customHeight="1" x14ac:dyDescent="0.25">
      <c r="A186" s="241"/>
      <c r="B186" s="675"/>
      <c r="C186" s="615"/>
      <c r="D186" s="55"/>
      <c r="E186" s="190"/>
      <c r="F186" s="64"/>
      <c r="G186" s="190"/>
      <c r="H186" s="190"/>
      <c r="I186" s="55"/>
      <c r="J186" s="55"/>
      <c r="K186" s="55"/>
      <c r="L186" s="55"/>
      <c r="M186" s="55"/>
      <c r="N186" s="55"/>
      <c r="O186" s="55"/>
      <c r="P186" s="55"/>
      <c r="Q186" s="55"/>
      <c r="R186" s="55"/>
      <c r="S186" s="55"/>
      <c r="T186" s="55"/>
      <c r="U186" s="55"/>
      <c r="V186" s="55"/>
      <c r="W186" s="55"/>
      <c r="X186" s="55"/>
      <c r="Y186" s="55"/>
      <c r="Z186" s="55"/>
      <c r="AA186" s="55"/>
      <c r="AB186" s="55"/>
      <c r="AC186" s="55"/>
      <c r="AD186" s="55"/>
      <c r="AE186" s="55"/>
      <c r="AF186" s="55"/>
      <c r="AG186" s="55"/>
      <c r="AH186" s="55"/>
      <c r="AI186" s="55"/>
      <c r="AJ186" s="55"/>
      <c r="AK186" s="55"/>
      <c r="AL186" s="55"/>
      <c r="AM186" s="55"/>
      <c r="AN186" s="55"/>
      <c r="AO186" s="55"/>
      <c r="AP186" s="55"/>
      <c r="AQ186" s="55"/>
      <c r="AR186" s="55"/>
      <c r="AS186" s="55"/>
      <c r="AT186" s="55"/>
      <c r="AU186" s="55"/>
      <c r="AV186" s="55"/>
      <c r="AW186" s="55"/>
      <c r="AX186" s="55"/>
    </row>
    <row r="187" spans="1:50" ht="15" customHeight="1" x14ac:dyDescent="0.25">
      <c r="A187" s="241"/>
      <c r="B187" s="675" t="str">
        <f>Translate!E415</f>
        <v>Flat royalty</v>
      </c>
      <c r="C187" s="615"/>
      <c r="D187" s="55"/>
      <c r="E187" s="190"/>
      <c r="F187" s="64"/>
      <c r="G187" s="190"/>
      <c r="H187" s="190"/>
      <c r="I187" s="55"/>
      <c r="J187" s="55"/>
      <c r="K187" s="55"/>
      <c r="L187" s="55"/>
      <c r="M187" s="55"/>
      <c r="N187" s="55"/>
      <c r="O187" s="55"/>
      <c r="P187" s="55"/>
      <c r="Q187" s="55"/>
      <c r="R187" s="55"/>
      <c r="S187" s="55"/>
      <c r="T187" s="55"/>
      <c r="U187" s="55"/>
      <c r="V187" s="55"/>
      <c r="W187" s="55"/>
      <c r="X187" s="55"/>
      <c r="Y187" s="55"/>
      <c r="Z187" s="55"/>
      <c r="AA187" s="55"/>
      <c r="AB187" s="55"/>
      <c r="AC187" s="55"/>
      <c r="AD187" s="55"/>
      <c r="AE187" s="55"/>
      <c r="AF187" s="55"/>
      <c r="AG187" s="55"/>
      <c r="AH187" s="55"/>
      <c r="AI187" s="55"/>
      <c r="AJ187" s="55"/>
      <c r="AK187" s="55"/>
      <c r="AL187" s="55"/>
      <c r="AM187" s="55"/>
      <c r="AN187" s="55"/>
      <c r="AO187" s="55"/>
      <c r="AP187" s="55"/>
      <c r="AQ187" s="55"/>
      <c r="AR187" s="55"/>
      <c r="AS187" s="55"/>
      <c r="AT187" s="55"/>
      <c r="AU187" s="55"/>
      <c r="AV187" s="55"/>
      <c r="AW187" s="55"/>
      <c r="AX187" s="55"/>
    </row>
    <row r="188" spans="1:50" ht="15" customHeight="1" x14ac:dyDescent="0.25">
      <c r="A188" s="86"/>
      <c r="B188" s="235"/>
      <c r="C188" s="604"/>
      <c r="D188" s="217"/>
      <c r="E188" s="400" t="str">
        <f xml:space="preserve"> FiscalModel!E$20</f>
        <v>Royalty rate</v>
      </c>
      <c r="F188" s="534">
        <f xml:space="preserve"> FiscalModel!F$20</f>
        <v>0.2</v>
      </c>
      <c r="G188" s="400" t="str">
        <f xml:space="preserve"> FiscalModel!G$20</f>
        <v>%</v>
      </c>
      <c r="H188" s="13"/>
      <c r="I188" s="217"/>
      <c r="J188" s="56"/>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c r="AI188" s="98"/>
      <c r="AJ188" s="98"/>
      <c r="AK188" s="98"/>
      <c r="AL188" s="98"/>
      <c r="AM188" s="98"/>
      <c r="AN188" s="98"/>
      <c r="AO188" s="98"/>
      <c r="AP188" s="98"/>
      <c r="AQ188" s="98"/>
      <c r="AR188" s="98"/>
      <c r="AS188" s="98"/>
      <c r="AT188" s="98"/>
      <c r="AU188" s="98"/>
      <c r="AV188" s="98"/>
      <c r="AW188" s="98"/>
      <c r="AX188" s="98"/>
    </row>
    <row r="189" spans="1:50" s="257" customFormat="1" ht="15" customHeight="1" x14ac:dyDescent="0.25">
      <c r="A189" s="85"/>
      <c r="B189" s="685"/>
      <c r="C189" s="628"/>
      <c r="D189" s="238"/>
      <c r="E189" s="70" t="str">
        <f xml:space="preserve"> Translate!E$238</f>
        <v>Flat royalty rate</v>
      </c>
      <c r="F189" s="555"/>
      <c r="G189" s="70" t="str">
        <f>G188</f>
        <v>%</v>
      </c>
      <c r="H189" s="13"/>
      <c r="I189" s="238"/>
      <c r="J189" s="70"/>
      <c r="K189" s="239">
        <f>$F188</f>
        <v>0.2</v>
      </c>
      <c r="L189" s="239">
        <f t="shared" ref="L189:AX189" si="27">$F188</f>
        <v>0.2</v>
      </c>
      <c r="M189" s="239">
        <f t="shared" si="27"/>
        <v>0.2</v>
      </c>
      <c r="N189" s="239">
        <f t="shared" si="27"/>
        <v>0.2</v>
      </c>
      <c r="O189" s="239">
        <f t="shared" si="27"/>
        <v>0.2</v>
      </c>
      <c r="P189" s="239">
        <f t="shared" si="27"/>
        <v>0.2</v>
      </c>
      <c r="Q189" s="239">
        <f t="shared" si="27"/>
        <v>0.2</v>
      </c>
      <c r="R189" s="239">
        <f t="shared" si="27"/>
        <v>0.2</v>
      </c>
      <c r="S189" s="239">
        <f t="shared" si="27"/>
        <v>0.2</v>
      </c>
      <c r="T189" s="239">
        <f t="shared" si="27"/>
        <v>0.2</v>
      </c>
      <c r="U189" s="239">
        <f t="shared" si="27"/>
        <v>0.2</v>
      </c>
      <c r="V189" s="239">
        <f t="shared" si="27"/>
        <v>0.2</v>
      </c>
      <c r="W189" s="239">
        <f t="shared" si="27"/>
        <v>0.2</v>
      </c>
      <c r="X189" s="239">
        <f t="shared" si="27"/>
        <v>0.2</v>
      </c>
      <c r="Y189" s="239">
        <f t="shared" si="27"/>
        <v>0.2</v>
      </c>
      <c r="Z189" s="239">
        <f t="shared" si="27"/>
        <v>0.2</v>
      </c>
      <c r="AA189" s="239">
        <f t="shared" si="27"/>
        <v>0.2</v>
      </c>
      <c r="AB189" s="239">
        <f t="shared" si="27"/>
        <v>0.2</v>
      </c>
      <c r="AC189" s="239">
        <f t="shared" si="27"/>
        <v>0.2</v>
      </c>
      <c r="AD189" s="239">
        <f t="shared" si="27"/>
        <v>0.2</v>
      </c>
      <c r="AE189" s="239">
        <f t="shared" si="27"/>
        <v>0.2</v>
      </c>
      <c r="AF189" s="239">
        <f t="shared" si="27"/>
        <v>0.2</v>
      </c>
      <c r="AG189" s="239">
        <f t="shared" si="27"/>
        <v>0.2</v>
      </c>
      <c r="AH189" s="239">
        <f t="shared" si="27"/>
        <v>0.2</v>
      </c>
      <c r="AI189" s="239">
        <f t="shared" si="27"/>
        <v>0.2</v>
      </c>
      <c r="AJ189" s="239">
        <f t="shared" si="27"/>
        <v>0.2</v>
      </c>
      <c r="AK189" s="239">
        <f t="shared" si="27"/>
        <v>0.2</v>
      </c>
      <c r="AL189" s="239">
        <f t="shared" si="27"/>
        <v>0.2</v>
      </c>
      <c r="AM189" s="239">
        <f t="shared" si="27"/>
        <v>0.2</v>
      </c>
      <c r="AN189" s="239">
        <f t="shared" si="27"/>
        <v>0.2</v>
      </c>
      <c r="AO189" s="239">
        <f t="shared" si="27"/>
        <v>0.2</v>
      </c>
      <c r="AP189" s="239">
        <f t="shared" si="27"/>
        <v>0.2</v>
      </c>
      <c r="AQ189" s="239">
        <f t="shared" si="27"/>
        <v>0.2</v>
      </c>
      <c r="AR189" s="239">
        <f t="shared" si="27"/>
        <v>0.2</v>
      </c>
      <c r="AS189" s="239">
        <f t="shared" si="27"/>
        <v>0.2</v>
      </c>
      <c r="AT189" s="239">
        <f t="shared" si="27"/>
        <v>0.2</v>
      </c>
      <c r="AU189" s="239">
        <f t="shared" si="27"/>
        <v>0.2</v>
      </c>
      <c r="AV189" s="239">
        <f t="shared" si="27"/>
        <v>0.2</v>
      </c>
      <c r="AW189" s="239">
        <f t="shared" si="27"/>
        <v>0.2</v>
      </c>
      <c r="AX189" s="239">
        <f t="shared" si="27"/>
        <v>0.2</v>
      </c>
    </row>
    <row r="190" spans="1:50" ht="15" customHeight="1" x14ac:dyDescent="0.25">
      <c r="A190" s="86"/>
      <c r="B190" s="235"/>
      <c r="C190" s="604"/>
      <c r="D190" s="217"/>
      <c r="E190" s="13"/>
      <c r="F190" s="151"/>
      <c r="G190" s="13"/>
      <c r="H190" s="13"/>
      <c r="I190" s="217"/>
      <c r="J190" s="56"/>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c r="AI190" s="98"/>
      <c r="AJ190" s="98"/>
      <c r="AK190" s="98"/>
      <c r="AL190" s="98"/>
      <c r="AM190" s="98"/>
      <c r="AN190" s="98"/>
      <c r="AO190" s="98"/>
      <c r="AP190" s="98"/>
      <c r="AQ190" s="98"/>
      <c r="AR190" s="98"/>
      <c r="AS190" s="98"/>
      <c r="AT190" s="98"/>
      <c r="AU190" s="98"/>
      <c r="AV190" s="98"/>
      <c r="AW190" s="98"/>
      <c r="AX190" s="98"/>
    </row>
    <row r="191" spans="1:50" s="7" customFormat="1" ht="15" customHeight="1" x14ac:dyDescent="0.25">
      <c r="A191" s="241"/>
      <c r="B191" s="675" t="str">
        <f>Translate!$E$416</f>
        <v>Price-based royalty</v>
      </c>
      <c r="C191" s="615"/>
      <c r="D191" s="55"/>
      <c r="E191" s="190"/>
      <c r="F191" s="64"/>
      <c r="G191" s="190"/>
      <c r="H191" s="190"/>
      <c r="I191" s="55"/>
      <c r="J191" s="55"/>
      <c r="K191" s="55"/>
      <c r="L191" s="55"/>
      <c r="M191" s="55"/>
      <c r="N191" s="55"/>
      <c r="O191" s="55"/>
      <c r="P191" s="55"/>
      <c r="Q191" s="55"/>
      <c r="R191" s="55"/>
      <c r="S191" s="55"/>
      <c r="T191" s="55"/>
      <c r="U191" s="55"/>
      <c r="V191" s="55"/>
      <c r="W191" s="55"/>
      <c r="X191" s="55"/>
      <c r="Y191" s="55"/>
      <c r="Z191" s="55"/>
      <c r="AA191" s="55"/>
      <c r="AB191" s="55"/>
      <c r="AC191" s="55"/>
      <c r="AD191" s="55"/>
      <c r="AE191" s="55"/>
      <c r="AF191" s="55"/>
      <c r="AG191" s="55"/>
      <c r="AH191" s="55"/>
      <c r="AI191" s="55"/>
      <c r="AJ191" s="55"/>
      <c r="AK191" s="55"/>
      <c r="AL191" s="55"/>
      <c r="AM191" s="55"/>
      <c r="AN191" s="55"/>
      <c r="AO191" s="55"/>
      <c r="AP191" s="55"/>
      <c r="AQ191" s="55"/>
      <c r="AR191" s="55"/>
      <c r="AS191" s="55"/>
      <c r="AT191" s="55"/>
      <c r="AU191" s="55"/>
      <c r="AV191" s="55"/>
      <c r="AW191" s="55"/>
      <c r="AX191" s="55"/>
    </row>
    <row r="192" spans="1:50" s="7" customFormat="1" ht="15" customHeight="1" x14ac:dyDescent="0.25">
      <c r="A192" s="241"/>
      <c r="B192" s="675"/>
      <c r="C192" s="615"/>
      <c r="D192" s="55"/>
      <c r="E192" s="490" t="str">
        <f xml:space="preserve"> E$22</f>
        <v>Threshold for price royalty (0 = no price royalty)</v>
      </c>
      <c r="F192" s="848">
        <f xml:space="preserve"> F$22</f>
        <v>0</v>
      </c>
      <c r="G192" s="490" t="str">
        <f xml:space="preserve"> G$22</f>
        <v>US$ / bbl</v>
      </c>
      <c r="H192" s="190"/>
      <c r="I192" s="55"/>
      <c r="J192" s="55"/>
      <c r="K192" s="55"/>
      <c r="L192" s="55"/>
      <c r="M192" s="55"/>
      <c r="N192" s="55"/>
      <c r="O192" s="55"/>
      <c r="P192" s="55"/>
      <c r="Q192" s="55"/>
      <c r="R192" s="55"/>
      <c r="S192" s="55"/>
      <c r="T192" s="55"/>
      <c r="U192" s="55"/>
      <c r="V192" s="55"/>
      <c r="W192" s="55"/>
      <c r="X192" s="55"/>
      <c r="Y192" s="55"/>
      <c r="Z192" s="55"/>
      <c r="AA192" s="55"/>
      <c r="AB192" s="55"/>
      <c r="AC192" s="55"/>
      <c r="AD192" s="55"/>
      <c r="AE192" s="55"/>
      <c r="AF192" s="55"/>
      <c r="AG192" s="55"/>
      <c r="AH192" s="55"/>
      <c r="AI192" s="55"/>
      <c r="AJ192" s="55"/>
      <c r="AK192" s="55"/>
      <c r="AL192" s="55"/>
      <c r="AM192" s="55"/>
      <c r="AN192" s="55"/>
      <c r="AO192" s="55"/>
      <c r="AP192" s="55"/>
      <c r="AQ192" s="55"/>
      <c r="AR192" s="55"/>
      <c r="AS192" s="55"/>
      <c r="AT192" s="55"/>
      <c r="AU192" s="55"/>
      <c r="AV192" s="55"/>
      <c r="AW192" s="55"/>
      <c r="AX192" s="55"/>
    </row>
    <row r="193" spans="1:50" s="7" customFormat="1" ht="15" customHeight="1" x14ac:dyDescent="0.25">
      <c r="A193" s="241"/>
      <c r="B193" s="675"/>
      <c r="C193" s="615"/>
      <c r="D193" s="55"/>
      <c r="E193" s="490" t="str">
        <f xml:space="preserve"> E$23</f>
        <v>Price threshold inflation indexed</v>
      </c>
      <c r="F193" s="408">
        <f xml:space="preserve"> F$23</f>
        <v>0</v>
      </c>
      <c r="G193" s="490" t="str">
        <f xml:space="preserve"> G$23</f>
        <v>Option</v>
      </c>
      <c r="H193" s="190"/>
      <c r="I193" s="55"/>
      <c r="J193" s="55"/>
      <c r="K193" s="55"/>
      <c r="L193" s="55"/>
      <c r="M193" s="55"/>
      <c r="N193" s="55"/>
      <c r="O193" s="55"/>
      <c r="P193" s="55"/>
      <c r="Q193" s="55"/>
      <c r="R193" s="55"/>
      <c r="S193" s="55"/>
      <c r="T193" s="55"/>
      <c r="U193" s="55"/>
      <c r="V193" s="55"/>
      <c r="W193" s="55"/>
      <c r="X193" s="55"/>
      <c r="Y193" s="55"/>
      <c r="Z193" s="55"/>
      <c r="AA193" s="55"/>
      <c r="AB193" s="55"/>
      <c r="AC193" s="55"/>
      <c r="AD193" s="55"/>
      <c r="AE193" s="55"/>
      <c r="AF193" s="55"/>
      <c r="AG193" s="55"/>
      <c r="AH193" s="55"/>
      <c r="AI193" s="55"/>
      <c r="AJ193" s="55"/>
      <c r="AK193" s="55"/>
      <c r="AL193" s="55"/>
      <c r="AM193" s="55"/>
      <c r="AN193" s="55"/>
      <c r="AO193" s="55"/>
      <c r="AP193" s="55"/>
      <c r="AQ193" s="55"/>
      <c r="AR193" s="55"/>
      <c r="AS193" s="55"/>
      <c r="AT193" s="55"/>
      <c r="AU193" s="55"/>
      <c r="AV193" s="55"/>
      <c r="AW193" s="55"/>
      <c r="AX193" s="55"/>
    </row>
    <row r="194" spans="1:50" s="7" customFormat="1" ht="15" customHeight="1" x14ac:dyDescent="0.25">
      <c r="A194" s="241"/>
      <c r="B194" s="675"/>
      <c r="C194" s="615"/>
      <c r="D194" s="55"/>
      <c r="E194" s="140" t="str">
        <f xml:space="preserve"> Inputs!E$87</f>
        <v>Label: yes</v>
      </c>
      <c r="F194" s="540" t="str">
        <f xml:space="preserve"> Inputs!F$87</f>
        <v>yes</v>
      </c>
      <c r="G194" s="140" t="str">
        <f xml:space="preserve"> Inputs!G$87</f>
        <v>Label</v>
      </c>
      <c r="H194" s="190"/>
      <c r="I194" s="55"/>
      <c r="J194" s="55"/>
      <c r="K194" s="55"/>
      <c r="L194" s="55"/>
      <c r="M194" s="55"/>
      <c r="N194" s="55"/>
      <c r="O194" s="55"/>
      <c r="P194" s="55"/>
      <c r="Q194" s="55"/>
      <c r="R194" s="55"/>
      <c r="S194" s="55"/>
      <c r="T194" s="55"/>
      <c r="U194" s="55"/>
      <c r="V194" s="55"/>
      <c r="W194" s="55"/>
      <c r="X194" s="55"/>
      <c r="Y194" s="55"/>
      <c r="Z194" s="55"/>
      <c r="AA194" s="55"/>
      <c r="AB194" s="55"/>
      <c r="AC194" s="55"/>
      <c r="AD194" s="55"/>
      <c r="AE194" s="55"/>
      <c r="AF194" s="55"/>
      <c r="AG194" s="55"/>
      <c r="AH194" s="55"/>
      <c r="AI194" s="55"/>
      <c r="AJ194" s="55"/>
      <c r="AK194" s="55"/>
      <c r="AL194" s="55"/>
      <c r="AM194" s="55"/>
      <c r="AN194" s="55"/>
      <c r="AO194" s="55"/>
      <c r="AP194" s="55"/>
      <c r="AQ194" s="55"/>
      <c r="AR194" s="55"/>
      <c r="AS194" s="55"/>
      <c r="AT194" s="55"/>
      <c r="AU194" s="55"/>
      <c r="AV194" s="55"/>
      <c r="AW194" s="55"/>
      <c r="AX194" s="55"/>
    </row>
    <row r="195" spans="1:50" ht="15" customHeight="1" x14ac:dyDescent="0.25">
      <c r="B195" s="675"/>
      <c r="C195" s="615"/>
      <c r="D195" s="48"/>
      <c r="E195" s="222" t="str">
        <f>Inputs!E$88</f>
        <v>Label: no</v>
      </c>
      <c r="F195" s="533" t="str">
        <f>Inputs!F$88</f>
        <v>no</v>
      </c>
      <c r="G195" s="222" t="str">
        <f>Inputs!G$88</f>
        <v>Label</v>
      </c>
      <c r="H195" s="48"/>
      <c r="I195" s="48"/>
    </row>
    <row r="196" spans="1:50" s="810" customFormat="1" ht="15" customHeight="1" x14ac:dyDescent="0.25">
      <c r="A196" s="849"/>
      <c r="B196" s="782"/>
      <c r="C196" s="812"/>
      <c r="D196" s="726"/>
      <c r="E196" s="850" t="str">
        <f xml:space="preserve"> ProjectCashflows!E$200</f>
        <v>Inflation index</v>
      </c>
      <c r="F196" s="850">
        <f xml:space="preserve"> ProjectCashflows!F$200</f>
        <v>0</v>
      </c>
      <c r="G196" s="850" t="str">
        <f xml:space="preserve"> ProjectCashflows!G$200</f>
        <v>Index</v>
      </c>
      <c r="H196" s="850" t="str">
        <f xml:space="preserve"> ProjectCashflows!H$200</f>
        <v>base year is first project year</v>
      </c>
      <c r="I196" s="850">
        <f xml:space="preserve"> ProjectCashflows!I$200</f>
        <v>0</v>
      </c>
      <c r="J196" s="850">
        <f xml:space="preserve"> ProjectCashflows!J$200</f>
        <v>0</v>
      </c>
      <c r="K196" s="850">
        <f ca="1" xml:space="preserve"> ProjectCashflows!K$200</f>
        <v>1</v>
      </c>
      <c r="L196" s="850">
        <f ca="1" xml:space="preserve"> ProjectCashflows!L$200</f>
        <v>1.02</v>
      </c>
      <c r="M196" s="850">
        <f ca="1" xml:space="preserve"> ProjectCashflows!M$200</f>
        <v>1.0404</v>
      </c>
      <c r="N196" s="850">
        <f ca="1" xml:space="preserve"> ProjectCashflows!N$200</f>
        <v>1.0612079999999999</v>
      </c>
      <c r="O196" s="850">
        <f ca="1" xml:space="preserve"> ProjectCashflows!O$200</f>
        <v>1.08243216</v>
      </c>
      <c r="P196" s="850">
        <f ca="1" xml:space="preserve"> ProjectCashflows!P$200</f>
        <v>1.1040808032</v>
      </c>
      <c r="Q196" s="850">
        <f ca="1" xml:space="preserve"> ProjectCashflows!Q$200</f>
        <v>1.1261624192640001</v>
      </c>
      <c r="R196" s="850">
        <f ca="1" xml:space="preserve"> ProjectCashflows!R$200</f>
        <v>1.14868566764928</v>
      </c>
      <c r="S196" s="850">
        <f ca="1" xml:space="preserve"> ProjectCashflows!S$200</f>
        <v>1.1716593810022657</v>
      </c>
      <c r="T196" s="850">
        <f ca="1" xml:space="preserve"> ProjectCashflows!T$200</f>
        <v>1.1950925686223111</v>
      </c>
      <c r="U196" s="850">
        <f ca="1" xml:space="preserve"> ProjectCashflows!U$200</f>
        <v>1.2189944199947573</v>
      </c>
      <c r="V196" s="850">
        <f ca="1" xml:space="preserve"> ProjectCashflows!V$200</f>
        <v>1.2433743083946525</v>
      </c>
      <c r="W196" s="850">
        <f ca="1" xml:space="preserve"> ProjectCashflows!W$200</f>
        <v>1.2682417945625455</v>
      </c>
      <c r="X196" s="850">
        <f ca="1" xml:space="preserve"> ProjectCashflows!X$200</f>
        <v>1.2936066304537963</v>
      </c>
      <c r="Y196" s="850">
        <f ca="1" xml:space="preserve"> ProjectCashflows!Y$200</f>
        <v>1.3194787630628724</v>
      </c>
      <c r="Z196" s="850">
        <f ca="1" xml:space="preserve"> ProjectCashflows!Z$200</f>
        <v>1.3458683383241299</v>
      </c>
      <c r="AA196" s="850">
        <f ca="1" xml:space="preserve"> ProjectCashflows!AA$200</f>
        <v>1.3727857050906125</v>
      </c>
      <c r="AB196" s="850">
        <f ca="1" xml:space="preserve"> ProjectCashflows!AB$200</f>
        <v>1.4002414191924248</v>
      </c>
      <c r="AC196" s="850">
        <f ca="1" xml:space="preserve"> ProjectCashflows!AC$200</f>
        <v>1.4282462475762734</v>
      </c>
      <c r="AD196" s="850">
        <f ca="1" xml:space="preserve"> ProjectCashflows!AD$200</f>
        <v>1.4568111725277988</v>
      </c>
      <c r="AE196" s="850">
        <f ca="1" xml:space="preserve"> ProjectCashflows!AE$200</f>
        <v>1.4859473959783549</v>
      </c>
      <c r="AF196" s="850">
        <f ca="1" xml:space="preserve"> ProjectCashflows!AF$200</f>
        <v>1.5156663438979221</v>
      </c>
      <c r="AG196" s="850">
        <f ca="1" xml:space="preserve"> ProjectCashflows!AG$200</f>
        <v>1.5459796707758806</v>
      </c>
      <c r="AH196" s="850">
        <f ca="1" xml:space="preserve"> ProjectCashflows!AH$200</f>
        <v>1.5768992641913981</v>
      </c>
      <c r="AI196" s="850">
        <f ca="1" xml:space="preserve"> ProjectCashflows!AI$200</f>
        <v>1.6084372494752261</v>
      </c>
      <c r="AJ196" s="850">
        <f ca="1" xml:space="preserve"> ProjectCashflows!AJ$200</f>
        <v>1.6406059944647307</v>
      </c>
      <c r="AK196" s="850">
        <f ca="1" xml:space="preserve"> ProjectCashflows!AK$200</f>
        <v>1.6734181143540252</v>
      </c>
      <c r="AL196" s="850">
        <f ca="1" xml:space="preserve"> ProjectCashflows!AL$200</f>
        <v>1.7068864766411058</v>
      </c>
      <c r="AM196" s="850">
        <f ca="1" xml:space="preserve"> ProjectCashflows!AM$200</f>
        <v>1.7410242061739281</v>
      </c>
      <c r="AN196" s="850">
        <f ca="1" xml:space="preserve"> ProjectCashflows!AN$200</f>
        <v>1.7758446902974065</v>
      </c>
      <c r="AO196" s="850">
        <f ca="1" xml:space="preserve"> ProjectCashflows!AO$200</f>
        <v>1.8113615841033548</v>
      </c>
      <c r="AP196" s="850">
        <f ca="1" xml:space="preserve"> ProjectCashflows!AP$200</f>
        <v>1.8475888157854219</v>
      </c>
      <c r="AQ196" s="850">
        <f ca="1" xml:space="preserve"> ProjectCashflows!AQ$200</f>
        <v>1.8845405921011305</v>
      </c>
      <c r="AR196" s="850">
        <f ca="1" xml:space="preserve"> ProjectCashflows!AR$200</f>
        <v>1</v>
      </c>
      <c r="AS196" s="850">
        <f ca="1" xml:space="preserve"> ProjectCashflows!AS$200</f>
        <v>1</v>
      </c>
      <c r="AT196" s="850">
        <f ca="1" xml:space="preserve"> ProjectCashflows!AT$200</f>
        <v>1</v>
      </c>
      <c r="AU196" s="850">
        <f ca="1" xml:space="preserve"> ProjectCashflows!AU$200</f>
        <v>1</v>
      </c>
      <c r="AV196" s="850">
        <f ca="1" xml:space="preserve"> ProjectCashflows!AV$200</f>
        <v>1</v>
      </c>
      <c r="AW196" s="850">
        <f ca="1" xml:space="preserve"> ProjectCashflows!AW$200</f>
        <v>1</v>
      </c>
      <c r="AX196" s="850">
        <f ca="1" xml:space="preserve"> ProjectCashflows!AX$200</f>
        <v>1</v>
      </c>
    </row>
    <row r="197" spans="1:50" s="855" customFormat="1" ht="15" customHeight="1" x14ac:dyDescent="0.25">
      <c r="A197" s="851"/>
      <c r="B197" s="852"/>
      <c r="C197" s="853"/>
      <c r="D197" s="854"/>
      <c r="E197" s="3" t="str">
        <f xml:space="preserve"> E192 &amp; IF( $F193 = $F194, ": " &amp; Translate!E546, ": " &amp; Translate!E547)</f>
        <v>Threshold for price royalty (0 = no price royalty): not inflation indexed</v>
      </c>
      <c r="F197" s="946"/>
      <c r="G197" s="946" t="str">
        <f xml:space="preserve"> G192</f>
        <v>US$ / bbl</v>
      </c>
      <c r="H197" s="854"/>
      <c r="I197" s="854"/>
      <c r="J197" s="854"/>
      <c r="K197" s="854">
        <f t="shared" ref="K197:AX197" si="28" xml:space="preserve"> IF( $F193 = $F194, $F192 * K196, $F192)</f>
        <v>0</v>
      </c>
      <c r="L197" s="854">
        <f t="shared" si="28"/>
        <v>0</v>
      </c>
      <c r="M197" s="854">
        <f t="shared" si="28"/>
        <v>0</v>
      </c>
      <c r="N197" s="854">
        <f t="shared" si="28"/>
        <v>0</v>
      </c>
      <c r="O197" s="854">
        <f t="shared" si="28"/>
        <v>0</v>
      </c>
      <c r="P197" s="854">
        <f t="shared" si="28"/>
        <v>0</v>
      </c>
      <c r="Q197" s="854">
        <f t="shared" si="28"/>
        <v>0</v>
      </c>
      <c r="R197" s="854">
        <f t="shared" si="28"/>
        <v>0</v>
      </c>
      <c r="S197" s="854">
        <f t="shared" si="28"/>
        <v>0</v>
      </c>
      <c r="T197" s="854">
        <f t="shared" si="28"/>
        <v>0</v>
      </c>
      <c r="U197" s="854">
        <f t="shared" si="28"/>
        <v>0</v>
      </c>
      <c r="V197" s="854">
        <f t="shared" si="28"/>
        <v>0</v>
      </c>
      <c r="W197" s="854">
        <f t="shared" si="28"/>
        <v>0</v>
      </c>
      <c r="X197" s="854">
        <f t="shared" si="28"/>
        <v>0</v>
      </c>
      <c r="Y197" s="854">
        <f t="shared" si="28"/>
        <v>0</v>
      </c>
      <c r="Z197" s="854">
        <f t="shared" si="28"/>
        <v>0</v>
      </c>
      <c r="AA197" s="854">
        <f t="shared" si="28"/>
        <v>0</v>
      </c>
      <c r="AB197" s="854">
        <f t="shared" si="28"/>
        <v>0</v>
      </c>
      <c r="AC197" s="854">
        <f t="shared" si="28"/>
        <v>0</v>
      </c>
      <c r="AD197" s="854">
        <f t="shared" si="28"/>
        <v>0</v>
      </c>
      <c r="AE197" s="854">
        <f t="shared" si="28"/>
        <v>0</v>
      </c>
      <c r="AF197" s="854">
        <f t="shared" si="28"/>
        <v>0</v>
      </c>
      <c r="AG197" s="854">
        <f t="shared" si="28"/>
        <v>0</v>
      </c>
      <c r="AH197" s="854">
        <f t="shared" si="28"/>
        <v>0</v>
      </c>
      <c r="AI197" s="854">
        <f t="shared" si="28"/>
        <v>0</v>
      </c>
      <c r="AJ197" s="854">
        <f t="shared" si="28"/>
        <v>0</v>
      </c>
      <c r="AK197" s="854">
        <f t="shared" si="28"/>
        <v>0</v>
      </c>
      <c r="AL197" s="854">
        <f t="shared" si="28"/>
        <v>0</v>
      </c>
      <c r="AM197" s="854">
        <f t="shared" si="28"/>
        <v>0</v>
      </c>
      <c r="AN197" s="854">
        <f t="shared" si="28"/>
        <v>0</v>
      </c>
      <c r="AO197" s="854">
        <f t="shared" si="28"/>
        <v>0</v>
      </c>
      <c r="AP197" s="854">
        <f t="shared" si="28"/>
        <v>0</v>
      </c>
      <c r="AQ197" s="854">
        <f t="shared" si="28"/>
        <v>0</v>
      </c>
      <c r="AR197" s="854">
        <f t="shared" si="28"/>
        <v>0</v>
      </c>
      <c r="AS197" s="854">
        <f t="shared" si="28"/>
        <v>0</v>
      </c>
      <c r="AT197" s="854">
        <f t="shared" si="28"/>
        <v>0</v>
      </c>
      <c r="AU197" s="854">
        <f t="shared" si="28"/>
        <v>0</v>
      </c>
      <c r="AV197" s="854">
        <f t="shared" si="28"/>
        <v>0</v>
      </c>
      <c r="AW197" s="854">
        <f t="shared" si="28"/>
        <v>0</v>
      </c>
      <c r="AX197" s="854">
        <f t="shared" si="28"/>
        <v>0</v>
      </c>
    </row>
    <row r="198" spans="1:50" s="7" customFormat="1" ht="15" customHeight="1" x14ac:dyDescent="0.25">
      <c r="A198" s="241"/>
      <c r="B198" s="675"/>
      <c r="C198" s="615"/>
      <c r="D198" s="55"/>
      <c r="E198" s="190"/>
      <c r="F198" s="64"/>
      <c r="G198" s="190"/>
      <c r="H198" s="190"/>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5"/>
      <c r="AU198" s="55"/>
      <c r="AV198" s="55"/>
      <c r="AW198" s="55"/>
      <c r="AX198" s="55"/>
    </row>
    <row r="199" spans="1:50" s="774" customFormat="1" ht="15" customHeight="1" x14ac:dyDescent="0.25">
      <c r="A199" s="738"/>
      <c r="B199" s="861"/>
      <c r="C199" s="862"/>
      <c r="D199" s="775"/>
      <c r="E199" s="863" t="str">
        <f xml:space="preserve"> ProjectCashflows!E$232</f>
        <v>Oil price realized from sales, after ELT</v>
      </c>
      <c r="F199" s="863">
        <f xml:space="preserve"> ProjectCashflows!F$232</f>
        <v>0</v>
      </c>
      <c r="G199" s="863" t="str">
        <f xml:space="preserve"> ProjectCashflows!G$232</f>
        <v>US$ / bbl</v>
      </c>
      <c r="H199" s="863">
        <f xml:space="preserve"> ProjectCashflows!H$232</f>
        <v>0</v>
      </c>
      <c r="I199" s="863">
        <f xml:space="preserve"> ProjectCashflows!I$232</f>
        <v>0</v>
      </c>
      <c r="J199" s="863">
        <f xml:space="preserve"> ProjectCashflows!J$232</f>
        <v>0</v>
      </c>
      <c r="K199" s="863">
        <f ca="1" xml:space="preserve"> ProjectCashflows!K$232</f>
        <v>55</v>
      </c>
      <c r="L199" s="863">
        <f ca="1" xml:space="preserve"> ProjectCashflows!L$232</f>
        <v>56.1</v>
      </c>
      <c r="M199" s="863">
        <f ca="1" xml:space="preserve"> ProjectCashflows!M$232</f>
        <v>57.222000000000001</v>
      </c>
      <c r="N199" s="863">
        <f ca="1" xml:space="preserve"> ProjectCashflows!N$232</f>
        <v>58.366439999999997</v>
      </c>
      <c r="O199" s="863">
        <f ca="1" xml:space="preserve"> ProjectCashflows!O$232</f>
        <v>59.533768799999997</v>
      </c>
      <c r="P199" s="863">
        <f ca="1" xml:space="preserve"> ProjectCashflows!P$232</f>
        <v>60.724444175999999</v>
      </c>
      <c r="Q199" s="863">
        <f ca="1" xml:space="preserve"> ProjectCashflows!Q$232</f>
        <v>61.938933059520004</v>
      </c>
      <c r="R199" s="863">
        <f ca="1" xml:space="preserve"> ProjectCashflows!R$232</f>
        <v>63.177711720710406</v>
      </c>
      <c r="S199" s="863">
        <f ca="1" xml:space="preserve"> ProjectCashflows!S$232</f>
        <v>64.441265955124621</v>
      </c>
      <c r="T199" s="863">
        <f ca="1" xml:space="preserve"> ProjectCashflows!T$232</f>
        <v>65.730091274227107</v>
      </c>
      <c r="U199" s="863">
        <f ca="1" xml:space="preserve"> ProjectCashflows!U$232</f>
        <v>67.044693099711651</v>
      </c>
      <c r="V199" s="863">
        <f ca="1" xml:space="preserve"> ProjectCashflows!V$232</f>
        <v>68.385586961705883</v>
      </c>
      <c r="W199" s="863">
        <f ca="1" xml:space="preserve"> ProjectCashflows!W$232</f>
        <v>69.753298700940007</v>
      </c>
      <c r="X199" s="863">
        <f ca="1" xml:space="preserve"> ProjectCashflows!X$232</f>
        <v>71.148364674958799</v>
      </c>
      <c r="Y199" s="863">
        <f ca="1" xml:space="preserve"> ProjectCashflows!Y$232</f>
        <v>72.571331968457983</v>
      </c>
      <c r="Z199" s="863">
        <f ca="1" xml:space="preserve"> ProjectCashflows!Z$232</f>
        <v>74.022758607827143</v>
      </c>
      <c r="AA199" s="863">
        <f ca="1" xml:space="preserve"> ProjectCashflows!AA$232</f>
        <v>75.503213779983682</v>
      </c>
      <c r="AB199" s="863">
        <f ca="1" xml:space="preserve"> ProjectCashflows!AB$232</f>
        <v>77.01327805558337</v>
      </c>
      <c r="AC199" s="863">
        <f ca="1" xml:space="preserve"> ProjectCashflows!AC$232</f>
        <v>78.553543616695038</v>
      </c>
      <c r="AD199" s="863">
        <f ca="1" xml:space="preserve"> ProjectCashflows!AD$232</f>
        <v>80.124614489028929</v>
      </c>
      <c r="AE199" s="863">
        <f ca="1" xml:space="preserve"> ProjectCashflows!AE$232</f>
        <v>81.727106778809514</v>
      </c>
      <c r="AF199" s="863">
        <f ca="1" xml:space="preserve"> ProjectCashflows!AF$232</f>
        <v>83.361648914385711</v>
      </c>
      <c r="AG199" s="863">
        <f ca="1" xml:space="preserve"> ProjectCashflows!AG$232</f>
        <v>85.028881892673439</v>
      </c>
      <c r="AH199" s="863">
        <f ca="1" xml:space="preserve"> ProjectCashflows!AH$232</f>
        <v>86.729459530526896</v>
      </c>
      <c r="AI199" s="863">
        <f ca="1" xml:space="preserve"> ProjectCashflows!AI$232</f>
        <v>88.464048721137445</v>
      </c>
      <c r="AJ199" s="863">
        <f ca="1" xml:space="preserve"> ProjectCashflows!AJ$232</f>
        <v>90.233329695560187</v>
      </c>
      <c r="AK199" s="863">
        <f ca="1" xml:space="preserve"> ProjectCashflows!AK$232</f>
        <v>92.03799628947138</v>
      </c>
      <c r="AL199" s="863">
        <f ca="1" xml:space="preserve"> ProjectCashflows!AL$232</f>
        <v>93.878756215260822</v>
      </c>
      <c r="AM199" s="863">
        <f ca="1" xml:space="preserve"> ProjectCashflows!AM$232</f>
        <v>95.756331339566046</v>
      </c>
      <c r="AN199" s="863">
        <f ca="1" xml:space="preserve"> ProjectCashflows!AN$232</f>
        <v>97.671457966357366</v>
      </c>
      <c r="AO199" s="863">
        <f ca="1" xml:space="preserve"> ProjectCashflows!AO$232</f>
        <v>99.624887125684509</v>
      </c>
      <c r="AP199" s="863">
        <f ca="1" xml:space="preserve"> ProjectCashflows!AP$232</f>
        <v>0</v>
      </c>
      <c r="AQ199" s="863">
        <f ca="1" xml:space="preserve"> ProjectCashflows!AQ$232</f>
        <v>0</v>
      </c>
      <c r="AR199" s="863">
        <f ca="1" xml:space="preserve"> ProjectCashflows!AR$232</f>
        <v>0</v>
      </c>
      <c r="AS199" s="863">
        <f ca="1" xml:space="preserve"> ProjectCashflows!AS$232</f>
        <v>0</v>
      </c>
      <c r="AT199" s="863">
        <f ca="1" xml:space="preserve"> ProjectCashflows!AT$232</f>
        <v>0</v>
      </c>
      <c r="AU199" s="863">
        <f ca="1" xml:space="preserve"> ProjectCashflows!AU$232</f>
        <v>0</v>
      </c>
      <c r="AV199" s="863">
        <f ca="1" xml:space="preserve"> ProjectCashflows!AV$232</f>
        <v>0</v>
      </c>
      <c r="AW199" s="863">
        <f ca="1" xml:space="preserve"> ProjectCashflows!AW$232</f>
        <v>0</v>
      </c>
      <c r="AX199" s="863">
        <f ca="1" xml:space="preserve"> ProjectCashflows!AX$232</f>
        <v>0</v>
      </c>
    </row>
    <row r="200" spans="1:50" s="774" customFormat="1" ht="14.5" x14ac:dyDescent="0.25">
      <c r="A200" s="741"/>
      <c r="B200" s="795"/>
      <c r="C200" s="740"/>
      <c r="D200" s="741"/>
      <c r="E200" s="741" t="str">
        <f xml:space="preserve"> E199 &amp; " " &amp; Translate!E548</f>
        <v>Oil price realized from sales, after ELT above threshold</v>
      </c>
      <c r="F200" s="741"/>
      <c r="G200" s="741" t="str">
        <f xml:space="preserve"> G199</f>
        <v>US$ / bbl</v>
      </c>
      <c r="H200" s="741"/>
      <c r="I200" s="741"/>
      <c r="J200" s="741"/>
      <c r="K200" s="741">
        <f t="shared" ref="K200:AX200" ca="1" si="29" xml:space="preserve"> IF( K199 &gt; K197, K199 - K197, 0)</f>
        <v>55</v>
      </c>
      <c r="L200" s="741">
        <f t="shared" ca="1" si="29"/>
        <v>56.1</v>
      </c>
      <c r="M200" s="741">
        <f t="shared" ca="1" si="29"/>
        <v>57.222000000000001</v>
      </c>
      <c r="N200" s="741">
        <f t="shared" ca="1" si="29"/>
        <v>58.366439999999997</v>
      </c>
      <c r="O200" s="741">
        <f t="shared" ca="1" si="29"/>
        <v>59.533768799999997</v>
      </c>
      <c r="P200" s="741">
        <f t="shared" ca="1" si="29"/>
        <v>60.724444175999999</v>
      </c>
      <c r="Q200" s="741">
        <f t="shared" ca="1" si="29"/>
        <v>61.938933059520004</v>
      </c>
      <c r="R200" s="741">
        <f t="shared" ca="1" si="29"/>
        <v>63.177711720710406</v>
      </c>
      <c r="S200" s="741">
        <f t="shared" ca="1" si="29"/>
        <v>64.441265955124621</v>
      </c>
      <c r="T200" s="741">
        <f t="shared" ca="1" si="29"/>
        <v>65.730091274227107</v>
      </c>
      <c r="U200" s="741">
        <f t="shared" ca="1" si="29"/>
        <v>67.044693099711651</v>
      </c>
      <c r="V200" s="741">
        <f t="shared" ca="1" si="29"/>
        <v>68.385586961705883</v>
      </c>
      <c r="W200" s="741">
        <f t="shared" ca="1" si="29"/>
        <v>69.753298700940007</v>
      </c>
      <c r="X200" s="741">
        <f t="shared" ca="1" si="29"/>
        <v>71.148364674958799</v>
      </c>
      <c r="Y200" s="741">
        <f t="shared" ca="1" si="29"/>
        <v>72.571331968457983</v>
      </c>
      <c r="Z200" s="741">
        <f t="shared" ca="1" si="29"/>
        <v>74.022758607827143</v>
      </c>
      <c r="AA200" s="741">
        <f t="shared" ca="1" si="29"/>
        <v>75.503213779983682</v>
      </c>
      <c r="AB200" s="741">
        <f t="shared" ca="1" si="29"/>
        <v>77.01327805558337</v>
      </c>
      <c r="AC200" s="741">
        <f t="shared" ca="1" si="29"/>
        <v>78.553543616695038</v>
      </c>
      <c r="AD200" s="741">
        <f t="shared" ca="1" si="29"/>
        <v>80.124614489028929</v>
      </c>
      <c r="AE200" s="741">
        <f t="shared" ca="1" si="29"/>
        <v>81.727106778809514</v>
      </c>
      <c r="AF200" s="741">
        <f t="shared" ca="1" si="29"/>
        <v>83.361648914385711</v>
      </c>
      <c r="AG200" s="741">
        <f t="shared" ca="1" si="29"/>
        <v>85.028881892673439</v>
      </c>
      <c r="AH200" s="741">
        <f t="shared" ca="1" si="29"/>
        <v>86.729459530526896</v>
      </c>
      <c r="AI200" s="741">
        <f t="shared" ca="1" si="29"/>
        <v>88.464048721137445</v>
      </c>
      <c r="AJ200" s="741">
        <f t="shared" ca="1" si="29"/>
        <v>90.233329695560187</v>
      </c>
      <c r="AK200" s="741">
        <f t="shared" ca="1" si="29"/>
        <v>92.03799628947138</v>
      </c>
      <c r="AL200" s="741">
        <f t="shared" ca="1" si="29"/>
        <v>93.878756215260822</v>
      </c>
      <c r="AM200" s="741">
        <f t="shared" ca="1" si="29"/>
        <v>95.756331339566046</v>
      </c>
      <c r="AN200" s="741">
        <f t="shared" ca="1" si="29"/>
        <v>97.671457966357366</v>
      </c>
      <c r="AO200" s="741">
        <f t="shared" ca="1" si="29"/>
        <v>99.624887125684509</v>
      </c>
      <c r="AP200" s="741">
        <f t="shared" ca="1" si="29"/>
        <v>0</v>
      </c>
      <c r="AQ200" s="741">
        <f t="shared" ca="1" si="29"/>
        <v>0</v>
      </c>
      <c r="AR200" s="741">
        <f t="shared" ca="1" si="29"/>
        <v>0</v>
      </c>
      <c r="AS200" s="741">
        <f t="shared" ca="1" si="29"/>
        <v>0</v>
      </c>
      <c r="AT200" s="741">
        <f t="shared" ca="1" si="29"/>
        <v>0</v>
      </c>
      <c r="AU200" s="741">
        <f t="shared" ca="1" si="29"/>
        <v>0</v>
      </c>
      <c r="AV200" s="741">
        <f t="shared" ca="1" si="29"/>
        <v>0</v>
      </c>
      <c r="AW200" s="741">
        <f t="shared" ca="1" si="29"/>
        <v>0</v>
      </c>
      <c r="AX200" s="741">
        <f t="shared" ca="1" si="29"/>
        <v>0</v>
      </c>
    </row>
    <row r="201" spans="1:50" s="7" customFormat="1" ht="14.5" x14ac:dyDescent="0.25">
      <c r="A201" s="3"/>
      <c r="B201" s="743"/>
      <c r="C201" s="50"/>
      <c r="D201" s="44"/>
      <c r="E201" s="3" t="str">
        <f xml:space="preserve"> Translate!E$239</f>
        <v>Proportion of price above threshold</v>
      </c>
      <c r="F201" s="3"/>
      <c r="G201" s="3" t="s">
        <v>24</v>
      </c>
      <c r="H201" s="3"/>
      <c r="I201" s="3"/>
      <c r="J201" s="3"/>
      <c r="K201" s="59">
        <f t="shared" ref="K201:AX201" si="30" xml:space="preserve"> IF( $F192 = 0, 0, IFERROR(K200 / K197, 0))</f>
        <v>0</v>
      </c>
      <c r="L201" s="59">
        <f t="shared" si="30"/>
        <v>0</v>
      </c>
      <c r="M201" s="59">
        <f t="shared" si="30"/>
        <v>0</v>
      </c>
      <c r="N201" s="59">
        <f t="shared" si="30"/>
        <v>0</v>
      </c>
      <c r="O201" s="59">
        <f t="shared" si="30"/>
        <v>0</v>
      </c>
      <c r="P201" s="59">
        <f t="shared" si="30"/>
        <v>0</v>
      </c>
      <c r="Q201" s="59">
        <f t="shared" si="30"/>
        <v>0</v>
      </c>
      <c r="R201" s="59">
        <f t="shared" si="30"/>
        <v>0</v>
      </c>
      <c r="S201" s="59">
        <f t="shared" si="30"/>
        <v>0</v>
      </c>
      <c r="T201" s="59">
        <f t="shared" si="30"/>
        <v>0</v>
      </c>
      <c r="U201" s="59">
        <f t="shared" si="30"/>
        <v>0</v>
      </c>
      <c r="V201" s="59">
        <f t="shared" si="30"/>
        <v>0</v>
      </c>
      <c r="W201" s="59">
        <f t="shared" si="30"/>
        <v>0</v>
      </c>
      <c r="X201" s="59">
        <f t="shared" si="30"/>
        <v>0</v>
      </c>
      <c r="Y201" s="59">
        <f t="shared" si="30"/>
        <v>0</v>
      </c>
      <c r="Z201" s="59">
        <f t="shared" si="30"/>
        <v>0</v>
      </c>
      <c r="AA201" s="59">
        <f t="shared" si="30"/>
        <v>0</v>
      </c>
      <c r="AB201" s="59">
        <f t="shared" si="30"/>
        <v>0</v>
      </c>
      <c r="AC201" s="59">
        <f t="shared" si="30"/>
        <v>0</v>
      </c>
      <c r="AD201" s="59">
        <f t="shared" si="30"/>
        <v>0</v>
      </c>
      <c r="AE201" s="59">
        <f t="shared" si="30"/>
        <v>0</v>
      </c>
      <c r="AF201" s="59">
        <f t="shared" si="30"/>
        <v>0</v>
      </c>
      <c r="AG201" s="59">
        <f t="shared" si="30"/>
        <v>0</v>
      </c>
      <c r="AH201" s="59">
        <f t="shared" si="30"/>
        <v>0</v>
      </c>
      <c r="AI201" s="59">
        <f t="shared" si="30"/>
        <v>0</v>
      </c>
      <c r="AJ201" s="59">
        <f t="shared" si="30"/>
        <v>0</v>
      </c>
      <c r="AK201" s="59">
        <f t="shared" si="30"/>
        <v>0</v>
      </c>
      <c r="AL201" s="59">
        <f t="shared" si="30"/>
        <v>0</v>
      </c>
      <c r="AM201" s="59">
        <f t="shared" si="30"/>
        <v>0</v>
      </c>
      <c r="AN201" s="59">
        <f t="shared" si="30"/>
        <v>0</v>
      </c>
      <c r="AO201" s="59">
        <f t="shared" si="30"/>
        <v>0</v>
      </c>
      <c r="AP201" s="59">
        <f t="shared" si="30"/>
        <v>0</v>
      </c>
      <c r="AQ201" s="59">
        <f t="shared" si="30"/>
        <v>0</v>
      </c>
      <c r="AR201" s="59">
        <f t="shared" si="30"/>
        <v>0</v>
      </c>
      <c r="AS201" s="59">
        <f t="shared" si="30"/>
        <v>0</v>
      </c>
      <c r="AT201" s="59">
        <f t="shared" si="30"/>
        <v>0</v>
      </c>
      <c r="AU201" s="59">
        <f t="shared" si="30"/>
        <v>0</v>
      </c>
      <c r="AV201" s="59">
        <f t="shared" si="30"/>
        <v>0</v>
      </c>
      <c r="AW201" s="59">
        <f t="shared" si="30"/>
        <v>0</v>
      </c>
      <c r="AX201" s="59">
        <f t="shared" si="30"/>
        <v>0</v>
      </c>
    </row>
    <row r="202" spans="1:50" s="7" customFormat="1" ht="15" customHeight="1" x14ac:dyDescent="0.25">
      <c r="A202" s="86"/>
      <c r="B202" s="235"/>
      <c r="C202" s="604"/>
      <c r="D202" s="217"/>
      <c r="E202" s="3"/>
      <c r="F202" s="3"/>
      <c r="G202" s="3"/>
      <c r="H202" s="13"/>
      <c r="I202" s="217"/>
      <c r="J202" s="56"/>
      <c r="K202" s="98"/>
      <c r="L202" s="98"/>
      <c r="M202" s="98"/>
      <c r="N202" s="98"/>
      <c r="O202" s="98"/>
      <c r="P202" s="98"/>
      <c r="Q202" s="98"/>
      <c r="R202" s="98"/>
      <c r="S202" s="98"/>
      <c r="T202" s="98"/>
      <c r="U202" s="98"/>
      <c r="V202" s="98"/>
      <c r="W202" s="98"/>
      <c r="X202" s="98"/>
      <c r="Y202" s="98"/>
      <c r="Z202" s="98"/>
      <c r="AA202" s="98"/>
      <c r="AB202" s="98"/>
      <c r="AC202" s="98"/>
      <c r="AD202" s="98"/>
      <c r="AE202" s="98"/>
      <c r="AF202" s="98"/>
      <c r="AG202" s="98"/>
      <c r="AH202" s="98"/>
      <c r="AI202" s="98"/>
      <c r="AJ202" s="98"/>
      <c r="AK202" s="98"/>
      <c r="AL202" s="98"/>
      <c r="AM202" s="98"/>
      <c r="AN202" s="98"/>
      <c r="AO202" s="98"/>
      <c r="AP202" s="98"/>
      <c r="AQ202" s="98"/>
      <c r="AR202" s="98"/>
      <c r="AS202" s="98"/>
      <c r="AT202" s="98"/>
      <c r="AU202" s="98"/>
      <c r="AV202" s="98"/>
      <c r="AW202" s="98"/>
      <c r="AX202" s="98"/>
    </row>
    <row r="203" spans="1:50" s="7" customFormat="1" ht="15" customHeight="1" x14ac:dyDescent="0.25">
      <c r="A203" s="86"/>
      <c r="B203" s="235"/>
      <c r="C203" s="604"/>
      <c r="D203" s="217"/>
      <c r="E203" s="815" t="str">
        <f xml:space="preserve"> E$21</f>
        <v>Additional royalty rate above price threshold</v>
      </c>
      <c r="F203" s="815">
        <f xml:space="preserve"> F$21</f>
        <v>0</v>
      </c>
      <c r="G203" s="815" t="str">
        <f xml:space="preserve"> G$21</f>
        <v>%</v>
      </c>
      <c r="H203" s="13"/>
      <c r="I203" s="217"/>
      <c r="J203" s="56"/>
      <c r="K203" s="98"/>
      <c r="L203" s="98"/>
      <c r="M203" s="98"/>
      <c r="N203" s="98"/>
      <c r="O203" s="98"/>
      <c r="P203" s="98"/>
      <c r="Q203" s="98"/>
      <c r="R203" s="98"/>
      <c r="S203" s="98"/>
      <c r="T203" s="98"/>
      <c r="U203" s="98"/>
      <c r="V203" s="98"/>
      <c r="W203" s="98"/>
      <c r="X203" s="98"/>
      <c r="Y203" s="98"/>
      <c r="Z203" s="98"/>
      <c r="AA203" s="98"/>
      <c r="AB203" s="98"/>
      <c r="AC203" s="98"/>
      <c r="AD203" s="98"/>
      <c r="AE203" s="98"/>
      <c r="AF203" s="98"/>
      <c r="AG203" s="98"/>
      <c r="AH203" s="98"/>
      <c r="AI203" s="98"/>
      <c r="AJ203" s="98"/>
      <c r="AK203" s="98"/>
      <c r="AL203" s="98"/>
      <c r="AM203" s="98"/>
      <c r="AN203" s="98"/>
      <c r="AO203" s="98"/>
      <c r="AP203" s="98"/>
      <c r="AQ203" s="98"/>
      <c r="AR203" s="98"/>
      <c r="AS203" s="98"/>
      <c r="AT203" s="98"/>
      <c r="AU203" s="98"/>
      <c r="AV203" s="98"/>
      <c r="AW203" s="98"/>
      <c r="AX203" s="98"/>
    </row>
    <row r="204" spans="1:50" s="7" customFormat="1" ht="14.5" x14ac:dyDescent="0.25">
      <c r="A204" s="3"/>
      <c r="B204" s="743"/>
      <c r="C204" s="50"/>
      <c r="D204" s="44"/>
      <c r="E204" s="3" t="str">
        <f xml:space="preserve"> Translate!E$240</f>
        <v>Price-based royalty rate</v>
      </c>
      <c r="F204" s="3"/>
      <c r="G204" s="3" t="s">
        <v>24</v>
      </c>
      <c r="H204" s="3" t="str">
        <f>Translate!E516</f>
        <v>percentage of aggregate price</v>
      </c>
      <c r="I204" s="3"/>
      <c r="J204" s="3"/>
      <c r="K204" s="59">
        <f t="shared" ref="K204:AX204" si="31" xml:space="preserve"> K201 * $F203</f>
        <v>0</v>
      </c>
      <c r="L204" s="59">
        <f t="shared" si="31"/>
        <v>0</v>
      </c>
      <c r="M204" s="59">
        <f t="shared" si="31"/>
        <v>0</v>
      </c>
      <c r="N204" s="59">
        <f t="shared" si="31"/>
        <v>0</v>
      </c>
      <c r="O204" s="59">
        <f t="shared" si="31"/>
        <v>0</v>
      </c>
      <c r="P204" s="59">
        <f t="shared" si="31"/>
        <v>0</v>
      </c>
      <c r="Q204" s="59">
        <f t="shared" si="31"/>
        <v>0</v>
      </c>
      <c r="R204" s="59">
        <f t="shared" si="31"/>
        <v>0</v>
      </c>
      <c r="S204" s="59">
        <f t="shared" si="31"/>
        <v>0</v>
      </c>
      <c r="T204" s="59">
        <f t="shared" si="31"/>
        <v>0</v>
      </c>
      <c r="U204" s="59">
        <f t="shared" si="31"/>
        <v>0</v>
      </c>
      <c r="V204" s="59">
        <f t="shared" si="31"/>
        <v>0</v>
      </c>
      <c r="W204" s="59">
        <f t="shared" si="31"/>
        <v>0</v>
      </c>
      <c r="X204" s="59">
        <f t="shared" si="31"/>
        <v>0</v>
      </c>
      <c r="Y204" s="59">
        <f t="shared" si="31"/>
        <v>0</v>
      </c>
      <c r="Z204" s="59">
        <f t="shared" si="31"/>
        <v>0</v>
      </c>
      <c r="AA204" s="59">
        <f t="shared" si="31"/>
        <v>0</v>
      </c>
      <c r="AB204" s="59">
        <f t="shared" si="31"/>
        <v>0</v>
      </c>
      <c r="AC204" s="59">
        <f t="shared" si="31"/>
        <v>0</v>
      </c>
      <c r="AD204" s="59">
        <f t="shared" si="31"/>
        <v>0</v>
      </c>
      <c r="AE204" s="59">
        <f t="shared" si="31"/>
        <v>0</v>
      </c>
      <c r="AF204" s="59">
        <f t="shared" si="31"/>
        <v>0</v>
      </c>
      <c r="AG204" s="59">
        <f t="shared" si="31"/>
        <v>0</v>
      </c>
      <c r="AH204" s="59">
        <f t="shared" si="31"/>
        <v>0</v>
      </c>
      <c r="AI204" s="59">
        <f t="shared" si="31"/>
        <v>0</v>
      </c>
      <c r="AJ204" s="59">
        <f t="shared" si="31"/>
        <v>0</v>
      </c>
      <c r="AK204" s="59">
        <f t="shared" si="31"/>
        <v>0</v>
      </c>
      <c r="AL204" s="59">
        <f t="shared" si="31"/>
        <v>0</v>
      </c>
      <c r="AM204" s="59">
        <f t="shared" si="31"/>
        <v>0</v>
      </c>
      <c r="AN204" s="59">
        <f t="shared" si="31"/>
        <v>0</v>
      </c>
      <c r="AO204" s="59">
        <f t="shared" si="31"/>
        <v>0</v>
      </c>
      <c r="AP204" s="59">
        <f t="shared" si="31"/>
        <v>0</v>
      </c>
      <c r="AQ204" s="59">
        <f t="shared" si="31"/>
        <v>0</v>
      </c>
      <c r="AR204" s="59">
        <f t="shared" si="31"/>
        <v>0</v>
      </c>
      <c r="AS204" s="59">
        <f t="shared" si="31"/>
        <v>0</v>
      </c>
      <c r="AT204" s="59">
        <f t="shared" si="31"/>
        <v>0</v>
      </c>
      <c r="AU204" s="59">
        <f t="shared" si="31"/>
        <v>0</v>
      </c>
      <c r="AV204" s="59">
        <f t="shared" si="31"/>
        <v>0</v>
      </c>
      <c r="AW204" s="59">
        <f t="shared" si="31"/>
        <v>0</v>
      </c>
      <c r="AX204" s="59">
        <f t="shared" si="31"/>
        <v>0</v>
      </c>
    </row>
    <row r="205" spans="1:50" s="7" customFormat="1" ht="15" customHeight="1" x14ac:dyDescent="0.25">
      <c r="A205" s="86"/>
      <c r="B205" s="235"/>
      <c r="C205" s="604"/>
      <c r="D205" s="217"/>
      <c r="E205" s="3"/>
      <c r="F205" s="3"/>
      <c r="G205" s="3"/>
      <c r="H205" s="13"/>
      <c r="I205" s="217"/>
      <c r="J205" s="56"/>
      <c r="K205" s="98"/>
      <c r="L205" s="98"/>
      <c r="M205" s="98"/>
      <c r="N205" s="98"/>
      <c r="O205" s="98"/>
      <c r="P205" s="98"/>
      <c r="Q205" s="98"/>
      <c r="R205" s="98"/>
      <c r="S205" s="98"/>
      <c r="T205" s="98"/>
      <c r="U205" s="98"/>
      <c r="V205" s="98"/>
      <c r="W205" s="98"/>
      <c r="X205" s="98"/>
      <c r="Y205" s="98"/>
      <c r="Z205" s="98"/>
      <c r="AA205" s="98"/>
      <c r="AB205" s="98"/>
      <c r="AC205" s="98"/>
      <c r="AD205" s="98"/>
      <c r="AE205" s="98"/>
      <c r="AF205" s="98"/>
      <c r="AG205" s="98"/>
      <c r="AH205" s="98"/>
      <c r="AI205" s="98"/>
      <c r="AJ205" s="98"/>
      <c r="AK205" s="98"/>
      <c r="AL205" s="98"/>
      <c r="AM205" s="98"/>
      <c r="AN205" s="98"/>
      <c r="AO205" s="98"/>
      <c r="AP205" s="98"/>
      <c r="AQ205" s="98"/>
      <c r="AR205" s="98"/>
      <c r="AS205" s="98"/>
      <c r="AT205" s="98"/>
      <c r="AU205" s="98"/>
      <c r="AV205" s="98"/>
      <c r="AW205" s="98"/>
      <c r="AX205" s="98"/>
    </row>
    <row r="206" spans="1:50" s="7" customFormat="1" ht="15" customHeight="1" x14ac:dyDescent="0.25">
      <c r="A206" s="86"/>
      <c r="B206" s="235" t="str">
        <f>Translate!$E$417</f>
        <v>Aggregate royalty rate</v>
      </c>
      <c r="C206" s="604"/>
      <c r="D206" s="217"/>
      <c r="E206" s="3"/>
      <c r="F206" s="3"/>
      <c r="G206" s="3"/>
      <c r="H206" s="13"/>
      <c r="I206" s="217"/>
      <c r="J206" s="56"/>
      <c r="K206" s="98"/>
      <c r="L206" s="98"/>
      <c r="M206" s="98"/>
      <c r="N206" s="98"/>
      <c r="O206" s="98"/>
      <c r="P206" s="98"/>
      <c r="Q206" s="98"/>
      <c r="R206" s="98"/>
      <c r="S206" s="98"/>
      <c r="T206" s="98"/>
      <c r="U206" s="98"/>
      <c r="V206" s="98"/>
      <c r="W206" s="98"/>
      <c r="X206" s="98"/>
      <c r="Y206" s="98"/>
      <c r="Z206" s="98"/>
      <c r="AA206" s="98"/>
      <c r="AB206" s="98"/>
      <c r="AC206" s="98"/>
      <c r="AD206" s="98"/>
      <c r="AE206" s="98"/>
      <c r="AF206" s="98"/>
      <c r="AG206" s="98"/>
      <c r="AH206" s="98"/>
      <c r="AI206" s="98"/>
      <c r="AJ206" s="98"/>
      <c r="AK206" s="98"/>
      <c r="AL206" s="98"/>
      <c r="AM206" s="98"/>
      <c r="AN206" s="98"/>
      <c r="AO206" s="98"/>
      <c r="AP206" s="98"/>
      <c r="AQ206" s="98"/>
      <c r="AR206" s="98"/>
      <c r="AS206" s="98"/>
      <c r="AT206" s="98"/>
      <c r="AU206" s="98"/>
      <c r="AV206" s="98"/>
      <c r="AW206" s="98"/>
      <c r="AX206" s="98"/>
    </row>
    <row r="207" spans="1:50" s="521" customFormat="1" ht="15" customHeight="1" x14ac:dyDescent="0.25">
      <c r="A207" s="251"/>
      <c r="B207" s="456"/>
      <c r="C207" s="252"/>
      <c r="D207" s="249"/>
      <c r="E207" s="59" t="str">
        <f t="shared" ref="E207:AX207" si="32">E189</f>
        <v>Flat royalty rate</v>
      </c>
      <c r="F207" s="59">
        <f t="shared" si="32"/>
        <v>0</v>
      </c>
      <c r="G207" s="59" t="str">
        <f t="shared" si="32"/>
        <v>%</v>
      </c>
      <c r="H207" s="59">
        <f t="shared" si="32"/>
        <v>0</v>
      </c>
      <c r="I207" s="59">
        <f t="shared" si="32"/>
        <v>0</v>
      </c>
      <c r="J207" s="59">
        <f t="shared" si="32"/>
        <v>0</v>
      </c>
      <c r="K207" s="59">
        <f t="shared" si="32"/>
        <v>0.2</v>
      </c>
      <c r="L207" s="59">
        <f t="shared" si="32"/>
        <v>0.2</v>
      </c>
      <c r="M207" s="59">
        <f t="shared" si="32"/>
        <v>0.2</v>
      </c>
      <c r="N207" s="59">
        <f t="shared" si="32"/>
        <v>0.2</v>
      </c>
      <c r="O207" s="59">
        <f t="shared" si="32"/>
        <v>0.2</v>
      </c>
      <c r="P207" s="59">
        <f t="shared" si="32"/>
        <v>0.2</v>
      </c>
      <c r="Q207" s="59">
        <f t="shared" si="32"/>
        <v>0.2</v>
      </c>
      <c r="R207" s="59">
        <f t="shared" si="32"/>
        <v>0.2</v>
      </c>
      <c r="S207" s="59">
        <f t="shared" si="32"/>
        <v>0.2</v>
      </c>
      <c r="T207" s="59">
        <f t="shared" si="32"/>
        <v>0.2</v>
      </c>
      <c r="U207" s="59">
        <f t="shared" si="32"/>
        <v>0.2</v>
      </c>
      <c r="V207" s="59">
        <f t="shared" si="32"/>
        <v>0.2</v>
      </c>
      <c r="W207" s="59">
        <f t="shared" si="32"/>
        <v>0.2</v>
      </c>
      <c r="X207" s="59">
        <f t="shared" si="32"/>
        <v>0.2</v>
      </c>
      <c r="Y207" s="59">
        <f t="shared" si="32"/>
        <v>0.2</v>
      </c>
      <c r="Z207" s="59">
        <f t="shared" si="32"/>
        <v>0.2</v>
      </c>
      <c r="AA207" s="59">
        <f t="shared" si="32"/>
        <v>0.2</v>
      </c>
      <c r="AB207" s="59">
        <f t="shared" si="32"/>
        <v>0.2</v>
      </c>
      <c r="AC207" s="59">
        <f t="shared" si="32"/>
        <v>0.2</v>
      </c>
      <c r="AD207" s="59">
        <f t="shared" si="32"/>
        <v>0.2</v>
      </c>
      <c r="AE207" s="59">
        <f t="shared" si="32"/>
        <v>0.2</v>
      </c>
      <c r="AF207" s="59">
        <f t="shared" si="32"/>
        <v>0.2</v>
      </c>
      <c r="AG207" s="59">
        <f t="shared" si="32"/>
        <v>0.2</v>
      </c>
      <c r="AH207" s="59">
        <f t="shared" si="32"/>
        <v>0.2</v>
      </c>
      <c r="AI207" s="59">
        <f t="shared" si="32"/>
        <v>0.2</v>
      </c>
      <c r="AJ207" s="59">
        <f t="shared" si="32"/>
        <v>0.2</v>
      </c>
      <c r="AK207" s="59">
        <f t="shared" si="32"/>
        <v>0.2</v>
      </c>
      <c r="AL207" s="59">
        <f t="shared" si="32"/>
        <v>0.2</v>
      </c>
      <c r="AM207" s="59">
        <f t="shared" si="32"/>
        <v>0.2</v>
      </c>
      <c r="AN207" s="59">
        <f t="shared" si="32"/>
        <v>0.2</v>
      </c>
      <c r="AO207" s="59">
        <f t="shared" si="32"/>
        <v>0.2</v>
      </c>
      <c r="AP207" s="59">
        <f t="shared" si="32"/>
        <v>0.2</v>
      </c>
      <c r="AQ207" s="59">
        <f t="shared" si="32"/>
        <v>0.2</v>
      </c>
      <c r="AR207" s="59">
        <f t="shared" si="32"/>
        <v>0.2</v>
      </c>
      <c r="AS207" s="59">
        <f t="shared" si="32"/>
        <v>0.2</v>
      </c>
      <c r="AT207" s="59">
        <f t="shared" si="32"/>
        <v>0.2</v>
      </c>
      <c r="AU207" s="59">
        <f t="shared" si="32"/>
        <v>0.2</v>
      </c>
      <c r="AV207" s="59">
        <f t="shared" si="32"/>
        <v>0.2</v>
      </c>
      <c r="AW207" s="59">
        <f t="shared" si="32"/>
        <v>0.2</v>
      </c>
      <c r="AX207" s="59">
        <f t="shared" si="32"/>
        <v>0.2</v>
      </c>
    </row>
    <row r="208" spans="1:50" s="521" customFormat="1" ht="15" customHeight="1" x14ac:dyDescent="0.25">
      <c r="A208" s="251"/>
      <c r="B208" s="456"/>
      <c r="C208" s="252"/>
      <c r="D208" s="249"/>
      <c r="E208" s="59" t="str">
        <f>E$204</f>
        <v>Price-based royalty rate</v>
      </c>
      <c r="F208" s="59">
        <f t="shared" ref="F208:AX208" si="33">F$204</f>
        <v>0</v>
      </c>
      <c r="G208" s="59" t="str">
        <f t="shared" si="33"/>
        <v>%</v>
      </c>
      <c r="H208" s="59" t="str">
        <f t="shared" si="33"/>
        <v>percentage of aggregate price</v>
      </c>
      <c r="I208" s="59">
        <f t="shared" si="33"/>
        <v>0</v>
      </c>
      <c r="J208" s="59">
        <f t="shared" si="33"/>
        <v>0</v>
      </c>
      <c r="K208" s="59">
        <f t="shared" si="33"/>
        <v>0</v>
      </c>
      <c r="L208" s="59">
        <f t="shared" si="33"/>
        <v>0</v>
      </c>
      <c r="M208" s="59">
        <f t="shared" si="33"/>
        <v>0</v>
      </c>
      <c r="N208" s="59">
        <f t="shared" si="33"/>
        <v>0</v>
      </c>
      <c r="O208" s="59">
        <f t="shared" si="33"/>
        <v>0</v>
      </c>
      <c r="P208" s="59">
        <f t="shared" si="33"/>
        <v>0</v>
      </c>
      <c r="Q208" s="59">
        <f t="shared" si="33"/>
        <v>0</v>
      </c>
      <c r="R208" s="59">
        <f t="shared" si="33"/>
        <v>0</v>
      </c>
      <c r="S208" s="59">
        <f t="shared" si="33"/>
        <v>0</v>
      </c>
      <c r="T208" s="59">
        <f t="shared" si="33"/>
        <v>0</v>
      </c>
      <c r="U208" s="59">
        <f t="shared" si="33"/>
        <v>0</v>
      </c>
      <c r="V208" s="59">
        <f t="shared" si="33"/>
        <v>0</v>
      </c>
      <c r="W208" s="59">
        <f t="shared" si="33"/>
        <v>0</v>
      </c>
      <c r="X208" s="59">
        <f t="shared" si="33"/>
        <v>0</v>
      </c>
      <c r="Y208" s="59">
        <f t="shared" si="33"/>
        <v>0</v>
      </c>
      <c r="Z208" s="59">
        <f t="shared" si="33"/>
        <v>0</v>
      </c>
      <c r="AA208" s="59">
        <f t="shared" si="33"/>
        <v>0</v>
      </c>
      <c r="AB208" s="59">
        <f t="shared" si="33"/>
        <v>0</v>
      </c>
      <c r="AC208" s="59">
        <f t="shared" si="33"/>
        <v>0</v>
      </c>
      <c r="AD208" s="59">
        <f t="shared" si="33"/>
        <v>0</v>
      </c>
      <c r="AE208" s="59">
        <f t="shared" si="33"/>
        <v>0</v>
      </c>
      <c r="AF208" s="59">
        <f t="shared" si="33"/>
        <v>0</v>
      </c>
      <c r="AG208" s="59">
        <f t="shared" si="33"/>
        <v>0</v>
      </c>
      <c r="AH208" s="59">
        <f t="shared" si="33"/>
        <v>0</v>
      </c>
      <c r="AI208" s="59">
        <f t="shared" si="33"/>
        <v>0</v>
      </c>
      <c r="AJ208" s="59">
        <f t="shared" si="33"/>
        <v>0</v>
      </c>
      <c r="AK208" s="59">
        <f t="shared" si="33"/>
        <v>0</v>
      </c>
      <c r="AL208" s="59">
        <f t="shared" si="33"/>
        <v>0</v>
      </c>
      <c r="AM208" s="59">
        <f t="shared" si="33"/>
        <v>0</v>
      </c>
      <c r="AN208" s="59">
        <f t="shared" si="33"/>
        <v>0</v>
      </c>
      <c r="AO208" s="59">
        <f t="shared" si="33"/>
        <v>0</v>
      </c>
      <c r="AP208" s="59">
        <f t="shared" si="33"/>
        <v>0</v>
      </c>
      <c r="AQ208" s="59">
        <f t="shared" si="33"/>
        <v>0</v>
      </c>
      <c r="AR208" s="59">
        <f t="shared" si="33"/>
        <v>0</v>
      </c>
      <c r="AS208" s="59">
        <f t="shared" si="33"/>
        <v>0</v>
      </c>
      <c r="AT208" s="59">
        <f t="shared" si="33"/>
        <v>0</v>
      </c>
      <c r="AU208" s="59">
        <f t="shared" si="33"/>
        <v>0</v>
      </c>
      <c r="AV208" s="59">
        <f t="shared" si="33"/>
        <v>0</v>
      </c>
      <c r="AW208" s="59">
        <f t="shared" si="33"/>
        <v>0</v>
      </c>
      <c r="AX208" s="59">
        <f t="shared" si="33"/>
        <v>0</v>
      </c>
    </row>
    <row r="209" spans="1:50" s="521" customFormat="1" ht="15" customHeight="1" x14ac:dyDescent="0.25">
      <c r="A209" s="856"/>
      <c r="B209" s="857"/>
      <c r="C209" s="858"/>
      <c r="D209" s="859"/>
      <c r="E209" s="860" t="str">
        <f xml:space="preserve"> Translate!E$128</f>
        <v>Royalty rate</v>
      </c>
      <c r="F209" s="860"/>
      <c r="G209" s="860" t="s">
        <v>24</v>
      </c>
      <c r="H209" s="860"/>
      <c r="I209" s="860"/>
      <c r="J209" s="860"/>
      <c r="K209" s="860">
        <f t="shared" ref="K209:AX209" si="34">SUM(K207:K208)</f>
        <v>0.2</v>
      </c>
      <c r="L209" s="860">
        <f t="shared" si="34"/>
        <v>0.2</v>
      </c>
      <c r="M209" s="860">
        <f t="shared" si="34"/>
        <v>0.2</v>
      </c>
      <c r="N209" s="860">
        <f t="shared" si="34"/>
        <v>0.2</v>
      </c>
      <c r="O209" s="860">
        <f t="shared" si="34"/>
        <v>0.2</v>
      </c>
      <c r="P209" s="860">
        <f t="shared" si="34"/>
        <v>0.2</v>
      </c>
      <c r="Q209" s="860">
        <f t="shared" si="34"/>
        <v>0.2</v>
      </c>
      <c r="R209" s="860">
        <f t="shared" si="34"/>
        <v>0.2</v>
      </c>
      <c r="S209" s="860">
        <f t="shared" si="34"/>
        <v>0.2</v>
      </c>
      <c r="T209" s="860">
        <f t="shared" si="34"/>
        <v>0.2</v>
      </c>
      <c r="U209" s="860">
        <f t="shared" si="34"/>
        <v>0.2</v>
      </c>
      <c r="V209" s="860">
        <f t="shared" si="34"/>
        <v>0.2</v>
      </c>
      <c r="W209" s="860">
        <f t="shared" si="34"/>
        <v>0.2</v>
      </c>
      <c r="X209" s="860">
        <f t="shared" si="34"/>
        <v>0.2</v>
      </c>
      <c r="Y209" s="860">
        <f t="shared" si="34"/>
        <v>0.2</v>
      </c>
      <c r="Z209" s="860">
        <f t="shared" si="34"/>
        <v>0.2</v>
      </c>
      <c r="AA209" s="860">
        <f t="shared" si="34"/>
        <v>0.2</v>
      </c>
      <c r="AB209" s="860">
        <f t="shared" si="34"/>
        <v>0.2</v>
      </c>
      <c r="AC209" s="860">
        <f t="shared" si="34"/>
        <v>0.2</v>
      </c>
      <c r="AD209" s="860">
        <f t="shared" si="34"/>
        <v>0.2</v>
      </c>
      <c r="AE209" s="860">
        <f t="shared" si="34"/>
        <v>0.2</v>
      </c>
      <c r="AF209" s="860">
        <f t="shared" si="34"/>
        <v>0.2</v>
      </c>
      <c r="AG209" s="860">
        <f t="shared" si="34"/>
        <v>0.2</v>
      </c>
      <c r="AH209" s="860">
        <f t="shared" si="34"/>
        <v>0.2</v>
      </c>
      <c r="AI209" s="860">
        <f t="shared" si="34"/>
        <v>0.2</v>
      </c>
      <c r="AJ209" s="860">
        <f t="shared" si="34"/>
        <v>0.2</v>
      </c>
      <c r="AK209" s="860">
        <f t="shared" si="34"/>
        <v>0.2</v>
      </c>
      <c r="AL209" s="860">
        <f t="shared" si="34"/>
        <v>0.2</v>
      </c>
      <c r="AM209" s="860">
        <f t="shared" si="34"/>
        <v>0.2</v>
      </c>
      <c r="AN209" s="860">
        <f t="shared" si="34"/>
        <v>0.2</v>
      </c>
      <c r="AO209" s="860">
        <f t="shared" si="34"/>
        <v>0.2</v>
      </c>
      <c r="AP209" s="860">
        <f t="shared" si="34"/>
        <v>0.2</v>
      </c>
      <c r="AQ209" s="860">
        <f t="shared" si="34"/>
        <v>0.2</v>
      </c>
      <c r="AR209" s="860">
        <f t="shared" si="34"/>
        <v>0.2</v>
      </c>
      <c r="AS209" s="860">
        <f t="shared" si="34"/>
        <v>0.2</v>
      </c>
      <c r="AT209" s="860">
        <f t="shared" si="34"/>
        <v>0.2</v>
      </c>
      <c r="AU209" s="860">
        <f t="shared" si="34"/>
        <v>0.2</v>
      </c>
      <c r="AV209" s="860">
        <f t="shared" si="34"/>
        <v>0.2</v>
      </c>
      <c r="AW209" s="860">
        <f t="shared" si="34"/>
        <v>0.2</v>
      </c>
      <c r="AX209" s="860">
        <f t="shared" si="34"/>
        <v>0.2</v>
      </c>
    </row>
    <row r="210" spans="1:50" s="521" customFormat="1" ht="15" customHeight="1" x14ac:dyDescent="0.25">
      <c r="A210" s="864"/>
      <c r="B210" s="865"/>
      <c r="C210" s="866"/>
      <c r="D210" s="249"/>
    </row>
    <row r="211" spans="1:50" s="7" customFormat="1" ht="15" customHeight="1" x14ac:dyDescent="0.25">
      <c r="A211" s="86"/>
      <c r="B211" s="235" t="str">
        <f>Translate!$E$127</f>
        <v>Royalty</v>
      </c>
      <c r="C211" s="604"/>
      <c r="D211" s="217"/>
      <c r="E211" s="3"/>
      <c r="F211" s="3"/>
      <c r="G211" s="3"/>
      <c r="H211" s="13"/>
      <c r="I211" s="217"/>
      <c r="J211" s="56"/>
      <c r="K211" s="98"/>
      <c r="L211" s="98"/>
      <c r="M211" s="98"/>
      <c r="N211" s="98"/>
      <c r="O211" s="98"/>
      <c r="P211" s="98"/>
      <c r="Q211" s="98"/>
      <c r="R211" s="98"/>
      <c r="S211" s="98"/>
      <c r="T211" s="98"/>
      <c r="U211" s="98"/>
      <c r="V211" s="98"/>
      <c r="W211" s="98"/>
      <c r="X211" s="98"/>
      <c r="Y211" s="98"/>
      <c r="Z211" s="98"/>
      <c r="AA211" s="98"/>
      <c r="AB211" s="98"/>
      <c r="AC211" s="98"/>
      <c r="AD211" s="98"/>
      <c r="AE211" s="98"/>
      <c r="AF211" s="98"/>
      <c r="AG211" s="98"/>
      <c r="AH211" s="98"/>
      <c r="AI211" s="98"/>
      <c r="AJ211" s="98"/>
      <c r="AK211" s="98"/>
      <c r="AL211" s="98"/>
      <c r="AM211" s="98"/>
      <c r="AN211" s="98"/>
      <c r="AO211" s="98"/>
      <c r="AP211" s="98"/>
      <c r="AQ211" s="98"/>
      <c r="AR211" s="98"/>
      <c r="AS211" s="98"/>
      <c r="AT211" s="98"/>
      <c r="AU211" s="98"/>
      <c r="AV211" s="98"/>
      <c r="AW211" s="98"/>
      <c r="AX211" s="98"/>
    </row>
    <row r="212" spans="1:50" s="7" customFormat="1" ht="15" customHeight="1" x14ac:dyDescent="0.25">
      <c r="A212" s="86"/>
      <c r="B212" s="235"/>
      <c r="C212" s="604"/>
      <c r="D212" s="217"/>
      <c r="E212" s="3" t="str">
        <f xml:space="preserve"> E$185</f>
        <v>Royalty base (net/gross): Net revenues after ELT</v>
      </c>
      <c r="F212" s="3">
        <f t="shared" ref="F212:AX212" si="35" xml:space="preserve"> F$185</f>
        <v>0</v>
      </c>
      <c r="G212" s="3" t="str">
        <f t="shared" si="35"/>
        <v>US$ mn</v>
      </c>
      <c r="H212" s="3">
        <f t="shared" si="35"/>
        <v>0</v>
      </c>
      <c r="I212" s="3">
        <f t="shared" ca="1" si="35"/>
        <v>57168.543518412531</v>
      </c>
      <c r="J212" s="3">
        <f t="shared" si="35"/>
        <v>0</v>
      </c>
      <c r="K212" s="3">
        <f t="shared" ca="1" si="35"/>
        <v>0</v>
      </c>
      <c r="L212" s="3">
        <f t="shared" ca="1" si="35"/>
        <v>0</v>
      </c>
      <c r="M212" s="3">
        <f t="shared" ca="1" si="35"/>
        <v>0</v>
      </c>
      <c r="N212" s="3">
        <f t="shared" ca="1" si="35"/>
        <v>0</v>
      </c>
      <c r="O212" s="3">
        <f t="shared" ca="1" si="35"/>
        <v>207.45717060984819</v>
      </c>
      <c r="P212" s="3">
        <f t="shared" ca="1" si="35"/>
        <v>1662.331659318</v>
      </c>
      <c r="Q212" s="3">
        <f t="shared" ca="1" si="35"/>
        <v>3391.1565850087204</v>
      </c>
      <c r="R212" s="3">
        <f t="shared" ca="1" si="35"/>
        <v>3458.9797167088946</v>
      </c>
      <c r="S212" s="3">
        <f t="shared" ca="1" si="35"/>
        <v>3528.1593110430726</v>
      </c>
      <c r="T212" s="3">
        <f t="shared" ca="1" si="35"/>
        <v>3598.7224972639342</v>
      </c>
      <c r="U212" s="3">
        <f t="shared" ca="1" si="35"/>
        <v>3670.6969472092128</v>
      </c>
      <c r="V212" s="3">
        <f t="shared" ca="1" si="35"/>
        <v>3744.1108861533971</v>
      </c>
      <c r="W212" s="3">
        <f t="shared" ca="1" si="35"/>
        <v>3818.9931038764653</v>
      </c>
      <c r="X212" s="3">
        <f t="shared" ca="1" si="35"/>
        <v>3895.372965953994</v>
      </c>
      <c r="Y212" s="3">
        <f t="shared" ca="1" si="35"/>
        <v>3973.2804252730743</v>
      </c>
      <c r="Z212" s="3">
        <f t="shared" ca="1" si="35"/>
        <v>4052.746033778536</v>
      </c>
      <c r="AA212" s="3">
        <f t="shared" ca="1" si="35"/>
        <v>3348.3787731078273</v>
      </c>
      <c r="AB212" s="3">
        <f t="shared" ca="1" si="35"/>
        <v>2766.4305423416872</v>
      </c>
      <c r="AC212" s="3">
        <f t="shared" ca="1" si="35"/>
        <v>2285.6249140827022</v>
      </c>
      <c r="AD212" s="3">
        <f t="shared" ca="1" si="35"/>
        <v>1888.3833040151289</v>
      </c>
      <c r="AE212" s="3">
        <f t="shared" ca="1" si="35"/>
        <v>1560.1822857772995</v>
      </c>
      <c r="AF212" s="3">
        <f t="shared" ca="1" si="35"/>
        <v>1289.0226045092052</v>
      </c>
      <c r="AG212" s="3">
        <f t="shared" ca="1" si="35"/>
        <v>1064.9904758455054</v>
      </c>
      <c r="AH212" s="3">
        <f t="shared" ca="1" si="35"/>
        <v>879.89513114355657</v>
      </c>
      <c r="AI212" s="3">
        <f t="shared" ca="1" si="35"/>
        <v>726.9693573508066</v>
      </c>
      <c r="AJ212" s="3">
        <f t="shared" ca="1" si="35"/>
        <v>600.62208304323633</v>
      </c>
      <c r="AK212" s="3">
        <f t="shared" ca="1" si="35"/>
        <v>496.23396501032192</v>
      </c>
      <c r="AL212" s="3">
        <f t="shared" ca="1" si="35"/>
        <v>409.9885018915279</v>
      </c>
      <c r="AM212" s="3">
        <f t="shared" ca="1" si="35"/>
        <v>338.73250026278043</v>
      </c>
      <c r="AN212" s="3">
        <f t="shared" ca="1" si="35"/>
        <v>279.86079171710918</v>
      </c>
      <c r="AO212" s="3">
        <f t="shared" ca="1" si="35"/>
        <v>231.22098611667568</v>
      </c>
      <c r="AP212" s="3">
        <f t="shared" ca="1" si="35"/>
        <v>0</v>
      </c>
      <c r="AQ212" s="3">
        <f t="shared" ca="1" si="35"/>
        <v>0</v>
      </c>
      <c r="AR212" s="3">
        <f t="shared" ca="1" si="35"/>
        <v>0</v>
      </c>
      <c r="AS212" s="3">
        <f t="shared" ca="1" si="35"/>
        <v>0</v>
      </c>
      <c r="AT212" s="3">
        <f t="shared" ca="1" si="35"/>
        <v>0</v>
      </c>
      <c r="AU212" s="3">
        <f t="shared" ca="1" si="35"/>
        <v>0</v>
      </c>
      <c r="AV212" s="3">
        <f t="shared" ca="1" si="35"/>
        <v>0</v>
      </c>
      <c r="AW212" s="3">
        <f t="shared" ca="1" si="35"/>
        <v>0</v>
      </c>
      <c r="AX212" s="3">
        <f t="shared" ca="1" si="35"/>
        <v>0</v>
      </c>
    </row>
    <row r="213" spans="1:50" s="521" customFormat="1" ht="15" customHeight="1" x14ac:dyDescent="0.25">
      <c r="A213" s="251"/>
      <c r="B213" s="456"/>
      <c r="C213" s="252"/>
      <c r="D213" s="249"/>
      <c r="E213" s="59" t="str">
        <f xml:space="preserve"> E$209</f>
        <v>Royalty rate</v>
      </c>
      <c r="F213" s="59">
        <f t="shared" ref="F213:AX213" si="36" xml:space="preserve"> F$209</f>
        <v>0</v>
      </c>
      <c r="G213" s="59" t="str">
        <f t="shared" si="36"/>
        <v>%</v>
      </c>
      <c r="H213" s="59">
        <f t="shared" si="36"/>
        <v>0</v>
      </c>
      <c r="I213" s="59">
        <f t="shared" si="36"/>
        <v>0</v>
      </c>
      <c r="J213" s="59">
        <f t="shared" si="36"/>
        <v>0</v>
      </c>
      <c r="K213" s="59">
        <f t="shared" si="36"/>
        <v>0.2</v>
      </c>
      <c r="L213" s="59">
        <f t="shared" si="36"/>
        <v>0.2</v>
      </c>
      <c r="M213" s="59">
        <f t="shared" si="36"/>
        <v>0.2</v>
      </c>
      <c r="N213" s="59">
        <f t="shared" si="36"/>
        <v>0.2</v>
      </c>
      <c r="O213" s="59">
        <f t="shared" si="36"/>
        <v>0.2</v>
      </c>
      <c r="P213" s="59">
        <f t="shared" si="36"/>
        <v>0.2</v>
      </c>
      <c r="Q213" s="59">
        <f t="shared" si="36"/>
        <v>0.2</v>
      </c>
      <c r="R213" s="59">
        <f t="shared" si="36"/>
        <v>0.2</v>
      </c>
      <c r="S213" s="59">
        <f t="shared" si="36"/>
        <v>0.2</v>
      </c>
      <c r="T213" s="59">
        <f t="shared" si="36"/>
        <v>0.2</v>
      </c>
      <c r="U213" s="59">
        <f t="shared" si="36"/>
        <v>0.2</v>
      </c>
      <c r="V213" s="59">
        <f t="shared" si="36"/>
        <v>0.2</v>
      </c>
      <c r="W213" s="59">
        <f t="shared" si="36"/>
        <v>0.2</v>
      </c>
      <c r="X213" s="59">
        <f t="shared" si="36"/>
        <v>0.2</v>
      </c>
      <c r="Y213" s="59">
        <f t="shared" si="36"/>
        <v>0.2</v>
      </c>
      <c r="Z213" s="59">
        <f t="shared" si="36"/>
        <v>0.2</v>
      </c>
      <c r="AA213" s="59">
        <f t="shared" si="36"/>
        <v>0.2</v>
      </c>
      <c r="AB213" s="59">
        <f t="shared" si="36"/>
        <v>0.2</v>
      </c>
      <c r="AC213" s="59">
        <f t="shared" si="36"/>
        <v>0.2</v>
      </c>
      <c r="AD213" s="59">
        <f t="shared" si="36"/>
        <v>0.2</v>
      </c>
      <c r="AE213" s="59">
        <f t="shared" si="36"/>
        <v>0.2</v>
      </c>
      <c r="AF213" s="59">
        <f t="shared" si="36"/>
        <v>0.2</v>
      </c>
      <c r="AG213" s="59">
        <f t="shared" si="36"/>
        <v>0.2</v>
      </c>
      <c r="AH213" s="59">
        <f t="shared" si="36"/>
        <v>0.2</v>
      </c>
      <c r="AI213" s="59">
        <f t="shared" si="36"/>
        <v>0.2</v>
      </c>
      <c r="AJ213" s="59">
        <f t="shared" si="36"/>
        <v>0.2</v>
      </c>
      <c r="AK213" s="59">
        <f t="shared" si="36"/>
        <v>0.2</v>
      </c>
      <c r="AL213" s="59">
        <f t="shared" si="36"/>
        <v>0.2</v>
      </c>
      <c r="AM213" s="59">
        <f t="shared" si="36"/>
        <v>0.2</v>
      </c>
      <c r="AN213" s="59">
        <f t="shared" si="36"/>
        <v>0.2</v>
      </c>
      <c r="AO213" s="59">
        <f t="shared" si="36"/>
        <v>0.2</v>
      </c>
      <c r="AP213" s="59">
        <f t="shared" si="36"/>
        <v>0.2</v>
      </c>
      <c r="AQ213" s="59">
        <f t="shared" si="36"/>
        <v>0.2</v>
      </c>
      <c r="AR213" s="59">
        <f t="shared" si="36"/>
        <v>0.2</v>
      </c>
      <c r="AS213" s="59">
        <f t="shared" si="36"/>
        <v>0.2</v>
      </c>
      <c r="AT213" s="59">
        <f t="shared" si="36"/>
        <v>0.2</v>
      </c>
      <c r="AU213" s="59">
        <f t="shared" si="36"/>
        <v>0.2</v>
      </c>
      <c r="AV213" s="59">
        <f t="shared" si="36"/>
        <v>0.2</v>
      </c>
      <c r="AW213" s="59">
        <f t="shared" si="36"/>
        <v>0.2</v>
      </c>
      <c r="AX213" s="59">
        <f t="shared" si="36"/>
        <v>0.2</v>
      </c>
    </row>
    <row r="214" spans="1:50" s="7" customFormat="1" ht="15" customHeight="1" x14ac:dyDescent="0.25">
      <c r="A214" s="274"/>
      <c r="B214" s="672"/>
      <c r="C214" s="618"/>
      <c r="D214" s="55"/>
      <c r="E214" s="190" t="str">
        <f xml:space="preserve"> Translate!E$127</f>
        <v>Royalty</v>
      </c>
      <c r="F214" s="64"/>
      <c r="G214" s="190" t="str">
        <f xml:space="preserve"> Translate!E$603</f>
        <v>US$ mn</v>
      </c>
      <c r="H214" s="190"/>
      <c r="I214" s="55">
        <f ca="1" xml:space="preserve"> SUM(K214:AX214)</f>
        <v>11433.708703682507</v>
      </c>
      <c r="J214" s="55"/>
      <c r="K214" s="55">
        <f t="shared" ref="K214:AX214" ca="1" si="37" xml:space="preserve"> K212 * K213</f>
        <v>0</v>
      </c>
      <c r="L214" s="55">
        <f t="shared" ca="1" si="37"/>
        <v>0</v>
      </c>
      <c r="M214" s="55">
        <f t="shared" ca="1" si="37"/>
        <v>0</v>
      </c>
      <c r="N214" s="55">
        <f t="shared" ca="1" si="37"/>
        <v>0</v>
      </c>
      <c r="O214" s="55">
        <f t="shared" ca="1" si="37"/>
        <v>41.49143412196964</v>
      </c>
      <c r="P214" s="55">
        <f t="shared" ca="1" si="37"/>
        <v>332.46633186360003</v>
      </c>
      <c r="Q214" s="55">
        <f t="shared" ca="1" si="37"/>
        <v>678.23131700174417</v>
      </c>
      <c r="R214" s="55">
        <f t="shared" ca="1" si="37"/>
        <v>691.79594334177898</v>
      </c>
      <c r="S214" s="55">
        <f t="shared" ca="1" si="37"/>
        <v>705.63186220861462</v>
      </c>
      <c r="T214" s="55">
        <f t="shared" ca="1" si="37"/>
        <v>719.74449945278684</v>
      </c>
      <c r="U214" s="55">
        <f t="shared" ca="1" si="37"/>
        <v>734.13938944184258</v>
      </c>
      <c r="V214" s="55">
        <f t="shared" ca="1" si="37"/>
        <v>748.82217723067947</v>
      </c>
      <c r="W214" s="55">
        <f t="shared" ca="1" si="37"/>
        <v>763.7986207752931</v>
      </c>
      <c r="X214" s="55">
        <f t="shared" ca="1" si="37"/>
        <v>779.07459319079885</v>
      </c>
      <c r="Y214" s="55">
        <f t="shared" ca="1" si="37"/>
        <v>794.65608505461489</v>
      </c>
      <c r="Z214" s="55">
        <f t="shared" ca="1" si="37"/>
        <v>810.54920675570725</v>
      </c>
      <c r="AA214" s="55">
        <f t="shared" ca="1" si="37"/>
        <v>669.67575462156549</v>
      </c>
      <c r="AB214" s="55">
        <f t="shared" ca="1" si="37"/>
        <v>553.28610846833749</v>
      </c>
      <c r="AC214" s="55">
        <f t="shared" ca="1" si="37"/>
        <v>457.12498281654047</v>
      </c>
      <c r="AD214" s="55">
        <f t="shared" ca="1" si="37"/>
        <v>377.67666080302581</v>
      </c>
      <c r="AE214" s="55">
        <f t="shared" ca="1" si="37"/>
        <v>312.03645715545991</v>
      </c>
      <c r="AF214" s="55">
        <f t="shared" ca="1" si="37"/>
        <v>257.80452090184104</v>
      </c>
      <c r="AG214" s="55">
        <f t="shared" ca="1" si="37"/>
        <v>212.99809516910111</v>
      </c>
      <c r="AH214" s="55">
        <f t="shared" ca="1" si="37"/>
        <v>175.97902622871132</v>
      </c>
      <c r="AI214" s="55">
        <f t="shared" ca="1" si="37"/>
        <v>145.39387147016132</v>
      </c>
      <c r="AJ214" s="55">
        <f t="shared" ca="1" si="37"/>
        <v>120.12441660864727</v>
      </c>
      <c r="AK214" s="55">
        <f t="shared" ca="1" si="37"/>
        <v>99.246793002064393</v>
      </c>
      <c r="AL214" s="55">
        <f t="shared" ca="1" si="37"/>
        <v>81.997700378305581</v>
      </c>
      <c r="AM214" s="55">
        <f t="shared" ca="1" si="37"/>
        <v>67.746500052556087</v>
      </c>
      <c r="AN214" s="55">
        <f t="shared" ca="1" si="37"/>
        <v>55.972158343421839</v>
      </c>
      <c r="AO214" s="55">
        <f t="shared" ca="1" si="37"/>
        <v>46.244197223335135</v>
      </c>
      <c r="AP214" s="55">
        <f t="shared" ca="1" si="37"/>
        <v>0</v>
      </c>
      <c r="AQ214" s="55">
        <f t="shared" ca="1" si="37"/>
        <v>0</v>
      </c>
      <c r="AR214" s="55">
        <f t="shared" ca="1" si="37"/>
        <v>0</v>
      </c>
      <c r="AS214" s="55">
        <f t="shared" ca="1" si="37"/>
        <v>0</v>
      </c>
      <c r="AT214" s="55">
        <f t="shared" ca="1" si="37"/>
        <v>0</v>
      </c>
      <c r="AU214" s="55">
        <f t="shared" ca="1" si="37"/>
        <v>0</v>
      </c>
      <c r="AV214" s="55">
        <f t="shared" ca="1" si="37"/>
        <v>0</v>
      </c>
      <c r="AW214" s="55">
        <f t="shared" ca="1" si="37"/>
        <v>0</v>
      </c>
      <c r="AX214" s="55">
        <f t="shared" ca="1" si="37"/>
        <v>0</v>
      </c>
    </row>
    <row r="215" spans="1:50" s="7" customFormat="1" ht="15" customHeight="1" x14ac:dyDescent="0.25">
      <c r="A215" s="86"/>
      <c r="B215" s="235"/>
      <c r="C215" s="604"/>
      <c r="D215" s="217"/>
      <c r="E215" s="13"/>
      <c r="F215" s="151"/>
      <c r="G215" s="13"/>
      <c r="H215" s="13"/>
      <c r="I215" s="217"/>
      <c r="J215" s="56"/>
      <c r="K215" s="98"/>
      <c r="L215" s="98"/>
      <c r="M215" s="98"/>
      <c r="N215" s="98"/>
      <c r="O215" s="98"/>
      <c r="P215" s="98"/>
      <c r="Q215" s="98"/>
      <c r="R215" s="98"/>
      <c r="S215" s="98"/>
      <c r="T215" s="98"/>
      <c r="U215" s="98"/>
      <c r="V215" s="98"/>
      <c r="W215" s="98"/>
      <c r="X215" s="98"/>
      <c r="Y215" s="98"/>
      <c r="Z215" s="98"/>
      <c r="AA215" s="98"/>
      <c r="AB215" s="98"/>
      <c r="AC215" s="98"/>
      <c r="AD215" s="98"/>
      <c r="AE215" s="98"/>
      <c r="AF215" s="98"/>
      <c r="AG215" s="98"/>
      <c r="AH215" s="98"/>
      <c r="AI215" s="98"/>
      <c r="AJ215" s="98"/>
      <c r="AK215" s="98"/>
      <c r="AL215" s="98"/>
      <c r="AM215" s="98"/>
      <c r="AN215" s="98"/>
      <c r="AO215" s="98"/>
      <c r="AP215" s="98"/>
      <c r="AQ215" s="98"/>
      <c r="AR215" s="98"/>
      <c r="AS215" s="98"/>
      <c r="AT215" s="98"/>
      <c r="AU215" s="98"/>
      <c r="AV215" s="98"/>
      <c r="AW215" s="98"/>
      <c r="AX215" s="98"/>
    </row>
    <row r="216" spans="1:50" s="7" customFormat="1" ht="15" customHeight="1" x14ac:dyDescent="0.25">
      <c r="A216" s="86"/>
      <c r="B216" s="235" t="str">
        <f>Translate!$E$418</f>
        <v>Net revenues after royalty</v>
      </c>
      <c r="C216" s="604"/>
      <c r="D216" s="217"/>
      <c r="E216" s="13"/>
      <c r="F216" s="151"/>
      <c r="G216" s="13"/>
      <c r="H216" s="13"/>
      <c r="I216" s="217"/>
      <c r="J216" s="56"/>
      <c r="K216" s="98"/>
      <c r="L216" s="98"/>
      <c r="M216" s="98"/>
      <c r="N216" s="98"/>
      <c r="O216" s="98"/>
      <c r="P216" s="98"/>
      <c r="Q216" s="98"/>
      <c r="R216" s="98"/>
      <c r="S216" s="98"/>
      <c r="T216" s="98"/>
      <c r="U216" s="98"/>
      <c r="V216" s="98"/>
      <c r="W216" s="98"/>
      <c r="X216" s="98"/>
      <c r="Y216" s="98"/>
      <c r="Z216" s="98"/>
      <c r="AA216" s="98"/>
      <c r="AB216" s="98"/>
      <c r="AC216" s="98"/>
      <c r="AD216" s="98"/>
      <c r="AE216" s="98"/>
      <c r="AF216" s="98"/>
      <c r="AG216" s="98"/>
      <c r="AH216" s="98"/>
      <c r="AI216" s="98"/>
      <c r="AJ216" s="98"/>
      <c r="AK216" s="98"/>
      <c r="AL216" s="98"/>
      <c r="AM216" s="98"/>
      <c r="AN216" s="98"/>
      <c r="AO216" s="98"/>
      <c r="AP216" s="98"/>
      <c r="AQ216" s="98"/>
      <c r="AR216" s="98"/>
      <c r="AS216" s="98"/>
      <c r="AT216" s="98"/>
      <c r="AU216" s="98"/>
      <c r="AV216" s="98"/>
      <c r="AW216" s="98"/>
      <c r="AX216" s="98"/>
    </row>
    <row r="217" spans="1:50" s="7" customFormat="1" ht="15" customHeight="1" x14ac:dyDescent="0.25">
      <c r="A217" s="86"/>
      <c r="B217" s="235"/>
      <c r="C217" s="604"/>
      <c r="D217" s="217"/>
      <c r="E217" s="140" t="str">
        <f xml:space="preserve"> ProjectCashflows!E$236</f>
        <v>Net revenues after ELT</v>
      </c>
      <c r="F217" s="140">
        <f xml:space="preserve"> ProjectCashflows!F$236</f>
        <v>0</v>
      </c>
      <c r="G217" s="140" t="str">
        <f xml:space="preserve"> ProjectCashflows!G$236</f>
        <v>US$ mn</v>
      </c>
      <c r="H217" s="140">
        <f xml:space="preserve"> ProjectCashflows!H$236</f>
        <v>0</v>
      </c>
      <c r="I217" s="140">
        <f ca="1" xml:space="preserve"> ProjectCashflows!I$236</f>
        <v>57168.543518412531</v>
      </c>
      <c r="J217" s="140">
        <f xml:space="preserve"> ProjectCashflows!J$236</f>
        <v>0</v>
      </c>
      <c r="K217" s="140">
        <f ca="1" xml:space="preserve"> ProjectCashflows!K$236</f>
        <v>0</v>
      </c>
      <c r="L217" s="140">
        <f ca="1" xml:space="preserve"> ProjectCashflows!L$236</f>
        <v>0</v>
      </c>
      <c r="M217" s="140">
        <f ca="1" xml:space="preserve"> ProjectCashflows!M$236</f>
        <v>0</v>
      </c>
      <c r="N217" s="140">
        <f ca="1" xml:space="preserve"> ProjectCashflows!N$236</f>
        <v>0</v>
      </c>
      <c r="O217" s="140">
        <f ca="1" xml:space="preserve"> ProjectCashflows!O$236</f>
        <v>207.45717060984819</v>
      </c>
      <c r="P217" s="140">
        <f ca="1" xml:space="preserve"> ProjectCashflows!P$236</f>
        <v>1662.331659318</v>
      </c>
      <c r="Q217" s="140">
        <f ca="1" xml:space="preserve"> ProjectCashflows!Q$236</f>
        <v>3391.1565850087204</v>
      </c>
      <c r="R217" s="140">
        <f ca="1" xml:space="preserve"> ProjectCashflows!R$236</f>
        <v>3458.9797167088946</v>
      </c>
      <c r="S217" s="140">
        <f ca="1" xml:space="preserve"> ProjectCashflows!S$236</f>
        <v>3528.1593110430726</v>
      </c>
      <c r="T217" s="140">
        <f ca="1" xml:space="preserve"> ProjectCashflows!T$236</f>
        <v>3598.7224972639342</v>
      </c>
      <c r="U217" s="140">
        <f ca="1" xml:space="preserve"> ProjectCashflows!U$236</f>
        <v>3670.6969472092128</v>
      </c>
      <c r="V217" s="140">
        <f ca="1" xml:space="preserve"> ProjectCashflows!V$236</f>
        <v>3744.1108861533971</v>
      </c>
      <c r="W217" s="140">
        <f ca="1" xml:space="preserve"> ProjectCashflows!W$236</f>
        <v>3818.9931038764653</v>
      </c>
      <c r="X217" s="140">
        <f ca="1" xml:space="preserve"> ProjectCashflows!X$236</f>
        <v>3895.372965953994</v>
      </c>
      <c r="Y217" s="140">
        <f ca="1" xml:space="preserve"> ProjectCashflows!Y$236</f>
        <v>3973.2804252730743</v>
      </c>
      <c r="Z217" s="140">
        <f ca="1" xml:space="preserve"> ProjectCashflows!Z$236</f>
        <v>4052.746033778536</v>
      </c>
      <c r="AA217" s="140">
        <f ca="1" xml:space="preserve"> ProjectCashflows!AA$236</f>
        <v>3348.3787731078273</v>
      </c>
      <c r="AB217" s="140">
        <f ca="1" xml:space="preserve"> ProjectCashflows!AB$236</f>
        <v>2766.4305423416872</v>
      </c>
      <c r="AC217" s="140">
        <f ca="1" xml:space="preserve"> ProjectCashflows!AC$236</f>
        <v>2285.6249140827022</v>
      </c>
      <c r="AD217" s="140">
        <f ca="1" xml:space="preserve"> ProjectCashflows!AD$236</f>
        <v>1888.3833040151289</v>
      </c>
      <c r="AE217" s="140">
        <f ca="1" xml:space="preserve"> ProjectCashflows!AE$236</f>
        <v>1560.1822857772995</v>
      </c>
      <c r="AF217" s="140">
        <f ca="1" xml:space="preserve"> ProjectCashflows!AF$236</f>
        <v>1289.0226045092052</v>
      </c>
      <c r="AG217" s="140">
        <f ca="1" xml:space="preserve"> ProjectCashflows!AG$236</f>
        <v>1064.9904758455054</v>
      </c>
      <c r="AH217" s="140">
        <f ca="1" xml:space="preserve"> ProjectCashflows!AH$236</f>
        <v>879.89513114355657</v>
      </c>
      <c r="AI217" s="140">
        <f ca="1" xml:space="preserve"> ProjectCashflows!AI$236</f>
        <v>726.9693573508066</v>
      </c>
      <c r="AJ217" s="140">
        <f ca="1" xml:space="preserve"> ProjectCashflows!AJ$236</f>
        <v>600.62208304323633</v>
      </c>
      <c r="AK217" s="140">
        <f ca="1" xml:space="preserve"> ProjectCashflows!AK$236</f>
        <v>496.23396501032192</v>
      </c>
      <c r="AL217" s="140">
        <f ca="1" xml:space="preserve"> ProjectCashflows!AL$236</f>
        <v>409.9885018915279</v>
      </c>
      <c r="AM217" s="140">
        <f ca="1" xml:space="preserve"> ProjectCashflows!AM$236</f>
        <v>338.73250026278043</v>
      </c>
      <c r="AN217" s="140">
        <f ca="1" xml:space="preserve"> ProjectCashflows!AN$236</f>
        <v>279.86079171710918</v>
      </c>
      <c r="AO217" s="140">
        <f ca="1" xml:space="preserve"> ProjectCashflows!AO$236</f>
        <v>231.22098611667568</v>
      </c>
      <c r="AP217" s="140">
        <f ca="1" xml:space="preserve"> ProjectCashflows!AP$236</f>
        <v>0</v>
      </c>
      <c r="AQ217" s="140">
        <f ca="1" xml:space="preserve"> ProjectCashflows!AQ$236</f>
        <v>0</v>
      </c>
      <c r="AR217" s="140">
        <f ca="1" xml:space="preserve"> ProjectCashflows!AR$236</f>
        <v>0</v>
      </c>
      <c r="AS217" s="140">
        <f ca="1" xml:space="preserve"> ProjectCashflows!AS$236</f>
        <v>0</v>
      </c>
      <c r="AT217" s="140">
        <f ca="1" xml:space="preserve"> ProjectCashflows!AT$236</f>
        <v>0</v>
      </c>
      <c r="AU217" s="140">
        <f ca="1" xml:space="preserve"> ProjectCashflows!AU$236</f>
        <v>0</v>
      </c>
      <c r="AV217" s="140">
        <f ca="1" xml:space="preserve"> ProjectCashflows!AV$236</f>
        <v>0</v>
      </c>
      <c r="AW217" s="140">
        <f ca="1" xml:space="preserve"> ProjectCashflows!AW$236</f>
        <v>0</v>
      </c>
      <c r="AX217" s="140">
        <f ca="1" xml:space="preserve"> ProjectCashflows!AX$236</f>
        <v>0</v>
      </c>
    </row>
    <row r="218" spans="1:50" s="7" customFormat="1" ht="15" customHeight="1" x14ac:dyDescent="0.25">
      <c r="A218" s="86"/>
      <c r="B218" s="235"/>
      <c r="C218" s="604"/>
      <c r="D218" s="217"/>
      <c r="E218" s="55" t="str">
        <f>E$214</f>
        <v>Royalty</v>
      </c>
      <c r="F218" s="55">
        <f t="shared" ref="F218:AX218" si="38">F$214</f>
        <v>0</v>
      </c>
      <c r="G218" s="55" t="str">
        <f t="shared" si="38"/>
        <v>US$ mn</v>
      </c>
      <c r="H218" s="55">
        <f t="shared" si="38"/>
        <v>0</v>
      </c>
      <c r="I218" s="55">
        <f t="shared" ca="1" si="38"/>
        <v>11433.708703682507</v>
      </c>
      <c r="J218" s="55">
        <f t="shared" si="38"/>
        <v>0</v>
      </c>
      <c r="K218" s="55">
        <f t="shared" ca="1" si="38"/>
        <v>0</v>
      </c>
      <c r="L218" s="55">
        <f t="shared" ca="1" si="38"/>
        <v>0</v>
      </c>
      <c r="M218" s="55">
        <f t="shared" ca="1" si="38"/>
        <v>0</v>
      </c>
      <c r="N218" s="55">
        <f t="shared" ca="1" si="38"/>
        <v>0</v>
      </c>
      <c r="O218" s="55">
        <f t="shared" ca="1" si="38"/>
        <v>41.49143412196964</v>
      </c>
      <c r="P218" s="55">
        <f t="shared" ca="1" si="38"/>
        <v>332.46633186360003</v>
      </c>
      <c r="Q218" s="55">
        <f t="shared" ca="1" si="38"/>
        <v>678.23131700174417</v>
      </c>
      <c r="R218" s="55">
        <f t="shared" ca="1" si="38"/>
        <v>691.79594334177898</v>
      </c>
      <c r="S218" s="55">
        <f t="shared" ca="1" si="38"/>
        <v>705.63186220861462</v>
      </c>
      <c r="T218" s="55">
        <f t="shared" ca="1" si="38"/>
        <v>719.74449945278684</v>
      </c>
      <c r="U218" s="55">
        <f t="shared" ca="1" si="38"/>
        <v>734.13938944184258</v>
      </c>
      <c r="V218" s="55">
        <f t="shared" ca="1" si="38"/>
        <v>748.82217723067947</v>
      </c>
      <c r="W218" s="55">
        <f t="shared" ca="1" si="38"/>
        <v>763.7986207752931</v>
      </c>
      <c r="X218" s="55">
        <f t="shared" ca="1" si="38"/>
        <v>779.07459319079885</v>
      </c>
      <c r="Y218" s="55">
        <f t="shared" ca="1" si="38"/>
        <v>794.65608505461489</v>
      </c>
      <c r="Z218" s="55">
        <f t="shared" ca="1" si="38"/>
        <v>810.54920675570725</v>
      </c>
      <c r="AA218" s="55">
        <f t="shared" ca="1" si="38"/>
        <v>669.67575462156549</v>
      </c>
      <c r="AB218" s="55">
        <f t="shared" ca="1" si="38"/>
        <v>553.28610846833749</v>
      </c>
      <c r="AC218" s="55">
        <f t="shared" ca="1" si="38"/>
        <v>457.12498281654047</v>
      </c>
      <c r="AD218" s="55">
        <f t="shared" ca="1" si="38"/>
        <v>377.67666080302581</v>
      </c>
      <c r="AE218" s="55">
        <f t="shared" ca="1" si="38"/>
        <v>312.03645715545991</v>
      </c>
      <c r="AF218" s="55">
        <f t="shared" ca="1" si="38"/>
        <v>257.80452090184104</v>
      </c>
      <c r="AG218" s="55">
        <f t="shared" ca="1" si="38"/>
        <v>212.99809516910111</v>
      </c>
      <c r="AH218" s="55">
        <f t="shared" ca="1" si="38"/>
        <v>175.97902622871132</v>
      </c>
      <c r="AI218" s="55">
        <f t="shared" ca="1" si="38"/>
        <v>145.39387147016132</v>
      </c>
      <c r="AJ218" s="55">
        <f t="shared" ca="1" si="38"/>
        <v>120.12441660864727</v>
      </c>
      <c r="AK218" s="55">
        <f t="shared" ca="1" si="38"/>
        <v>99.246793002064393</v>
      </c>
      <c r="AL218" s="55">
        <f t="shared" ca="1" si="38"/>
        <v>81.997700378305581</v>
      </c>
      <c r="AM218" s="55">
        <f t="shared" ca="1" si="38"/>
        <v>67.746500052556087</v>
      </c>
      <c r="AN218" s="55">
        <f t="shared" ca="1" si="38"/>
        <v>55.972158343421839</v>
      </c>
      <c r="AO218" s="55">
        <f t="shared" ca="1" si="38"/>
        <v>46.244197223335135</v>
      </c>
      <c r="AP218" s="55">
        <f t="shared" ca="1" si="38"/>
        <v>0</v>
      </c>
      <c r="AQ218" s="55">
        <f t="shared" ca="1" si="38"/>
        <v>0</v>
      </c>
      <c r="AR218" s="55">
        <f t="shared" ca="1" si="38"/>
        <v>0</v>
      </c>
      <c r="AS218" s="55">
        <f t="shared" ca="1" si="38"/>
        <v>0</v>
      </c>
      <c r="AT218" s="55">
        <f t="shared" ca="1" si="38"/>
        <v>0</v>
      </c>
      <c r="AU218" s="55">
        <f t="shared" ca="1" si="38"/>
        <v>0</v>
      </c>
      <c r="AV218" s="55">
        <f t="shared" ca="1" si="38"/>
        <v>0</v>
      </c>
      <c r="AW218" s="55">
        <f t="shared" ca="1" si="38"/>
        <v>0</v>
      </c>
      <c r="AX218" s="55">
        <f t="shared" ca="1" si="38"/>
        <v>0</v>
      </c>
    </row>
    <row r="219" spans="1:50" s="7" customFormat="1" ht="15" customHeight="1" x14ac:dyDescent="0.25">
      <c r="A219" s="178"/>
      <c r="B219" s="102"/>
      <c r="C219" s="127"/>
      <c r="D219" s="217"/>
      <c r="E219" s="56" t="str">
        <f xml:space="preserve"> Translate!E$241</f>
        <v>Oil revenues after royalty</v>
      </c>
      <c r="F219" s="151"/>
      <c r="G219" s="56">
        <f xml:space="preserve"> G176</f>
        <v>0</v>
      </c>
      <c r="H219" s="56"/>
      <c r="I219" s="56">
        <f ca="1" xml:space="preserve"> SUM(K219:AX219)</f>
        <v>45734.83481473002</v>
      </c>
      <c r="J219" s="56"/>
      <c r="K219" s="56">
        <f t="shared" ref="K219:AX219" ca="1" si="39" xml:space="preserve"> K217 - K218</f>
        <v>0</v>
      </c>
      <c r="L219" s="56">
        <f t="shared" ca="1" si="39"/>
        <v>0</v>
      </c>
      <c r="M219" s="56">
        <f t="shared" ca="1" si="39"/>
        <v>0</v>
      </c>
      <c r="N219" s="56">
        <f t="shared" ca="1" si="39"/>
        <v>0</v>
      </c>
      <c r="O219" s="56">
        <f t="shared" ca="1" si="39"/>
        <v>165.96573648787856</v>
      </c>
      <c r="P219" s="56">
        <f t="shared" ca="1" si="39"/>
        <v>1329.8653274543999</v>
      </c>
      <c r="Q219" s="56">
        <f t="shared" ca="1" si="39"/>
        <v>2712.9252680069762</v>
      </c>
      <c r="R219" s="56">
        <f t="shared" ca="1" si="39"/>
        <v>2767.1837733671155</v>
      </c>
      <c r="S219" s="56">
        <f t="shared" ca="1" si="39"/>
        <v>2822.527448834458</v>
      </c>
      <c r="T219" s="56">
        <f t="shared" ca="1" si="39"/>
        <v>2878.9779978111474</v>
      </c>
      <c r="U219" s="56">
        <f t="shared" ca="1" si="39"/>
        <v>2936.5575577673703</v>
      </c>
      <c r="V219" s="56">
        <f t="shared" ca="1" si="39"/>
        <v>2995.2887089227179</v>
      </c>
      <c r="W219" s="56">
        <f t="shared" ca="1" si="39"/>
        <v>3055.1944831011724</v>
      </c>
      <c r="X219" s="56">
        <f t="shared" ca="1" si="39"/>
        <v>3116.2983727631954</v>
      </c>
      <c r="Y219" s="56">
        <f t="shared" ca="1" si="39"/>
        <v>3178.6243402184596</v>
      </c>
      <c r="Z219" s="56">
        <f t="shared" ca="1" si="39"/>
        <v>3242.196827022829</v>
      </c>
      <c r="AA219" s="56">
        <f t="shared" ca="1" si="39"/>
        <v>2678.703018486262</v>
      </c>
      <c r="AB219" s="56">
        <f t="shared" ca="1" si="39"/>
        <v>2213.14443387335</v>
      </c>
      <c r="AC219" s="56">
        <f t="shared" ca="1" si="39"/>
        <v>1828.4999312661616</v>
      </c>
      <c r="AD219" s="56">
        <f t="shared" ca="1" si="39"/>
        <v>1510.7066432121032</v>
      </c>
      <c r="AE219" s="56">
        <f t="shared" ca="1" si="39"/>
        <v>1248.1458286218397</v>
      </c>
      <c r="AF219" s="56">
        <f t="shared" ca="1" si="39"/>
        <v>1031.2180836073642</v>
      </c>
      <c r="AG219" s="56">
        <f t="shared" ca="1" si="39"/>
        <v>851.99238067640431</v>
      </c>
      <c r="AH219" s="56">
        <f t="shared" ca="1" si="39"/>
        <v>703.91610491484528</v>
      </c>
      <c r="AI219" s="56">
        <f t="shared" ca="1" si="39"/>
        <v>581.57548588064526</v>
      </c>
      <c r="AJ219" s="56">
        <f t="shared" ca="1" si="39"/>
        <v>480.49766643458906</v>
      </c>
      <c r="AK219" s="56">
        <f t="shared" ca="1" si="39"/>
        <v>396.98717200825752</v>
      </c>
      <c r="AL219" s="56">
        <f t="shared" ca="1" si="39"/>
        <v>327.99080151322232</v>
      </c>
      <c r="AM219" s="56">
        <f t="shared" ca="1" si="39"/>
        <v>270.98600021022435</v>
      </c>
      <c r="AN219" s="56">
        <f t="shared" ca="1" si="39"/>
        <v>223.88863337368736</v>
      </c>
      <c r="AO219" s="56">
        <f t="shared" ca="1" si="39"/>
        <v>184.97678889334054</v>
      </c>
      <c r="AP219" s="56">
        <f t="shared" ca="1" si="39"/>
        <v>0</v>
      </c>
      <c r="AQ219" s="56">
        <f t="shared" ca="1" si="39"/>
        <v>0</v>
      </c>
      <c r="AR219" s="56">
        <f t="shared" ca="1" si="39"/>
        <v>0</v>
      </c>
      <c r="AS219" s="56">
        <f t="shared" ca="1" si="39"/>
        <v>0</v>
      </c>
      <c r="AT219" s="56">
        <f t="shared" ca="1" si="39"/>
        <v>0</v>
      </c>
      <c r="AU219" s="56">
        <f t="shared" ca="1" si="39"/>
        <v>0</v>
      </c>
      <c r="AV219" s="56">
        <f t="shared" ca="1" si="39"/>
        <v>0</v>
      </c>
      <c r="AW219" s="56">
        <f t="shared" ca="1" si="39"/>
        <v>0</v>
      </c>
      <c r="AX219" s="56">
        <f t="shared" ca="1" si="39"/>
        <v>0</v>
      </c>
    </row>
    <row r="220" spans="1:50" ht="15" customHeight="1" x14ac:dyDescent="0.25">
      <c r="A220" s="86"/>
      <c r="B220" s="235"/>
      <c r="C220" s="604"/>
      <c r="D220" s="217"/>
      <c r="E220" s="56"/>
      <c r="F220" s="151"/>
      <c r="G220" s="56"/>
      <c r="H220" s="56"/>
      <c r="I220" s="56"/>
      <c r="J220" s="56"/>
      <c r="K220" s="56"/>
      <c r="L220" s="56"/>
      <c r="M220" s="56"/>
      <c r="N220" s="56"/>
      <c r="O220" s="56"/>
      <c r="P220" s="56"/>
      <c r="Q220" s="56"/>
      <c r="R220" s="56"/>
      <c r="S220" s="56"/>
      <c r="T220" s="56"/>
      <c r="U220" s="56"/>
      <c r="V220" s="56"/>
      <c r="W220" s="56"/>
      <c r="X220" s="56"/>
      <c r="Y220" s="56"/>
      <c r="Z220" s="56"/>
      <c r="AA220" s="56"/>
      <c r="AB220" s="56"/>
      <c r="AC220" s="56"/>
      <c r="AD220" s="56"/>
      <c r="AE220" s="56"/>
      <c r="AF220" s="56"/>
      <c r="AG220" s="56"/>
      <c r="AH220" s="56"/>
      <c r="AI220" s="56"/>
      <c r="AJ220" s="56"/>
      <c r="AK220" s="56"/>
      <c r="AL220" s="56"/>
      <c r="AM220" s="56"/>
      <c r="AN220" s="56"/>
      <c r="AO220" s="56"/>
      <c r="AP220" s="56"/>
      <c r="AQ220" s="56"/>
      <c r="AR220" s="56"/>
      <c r="AS220" s="56"/>
      <c r="AT220" s="56"/>
      <c r="AU220" s="56"/>
      <c r="AV220" s="56"/>
      <c r="AW220" s="56"/>
      <c r="AX220" s="56"/>
    </row>
    <row r="221" spans="1:50" ht="15" customHeight="1" x14ac:dyDescent="0.25">
      <c r="A221" s="241"/>
      <c r="B221" s="675"/>
      <c r="C221" s="615"/>
      <c r="D221" s="64"/>
      <c r="E221" s="402" t="str">
        <f>E$77</f>
        <v>State participation</v>
      </c>
      <c r="F221" s="534">
        <f>F$77</f>
        <v>0.2</v>
      </c>
      <c r="G221" s="402" t="str">
        <f>G$77</f>
        <v>%</v>
      </c>
      <c r="H221" s="48"/>
      <c r="I221" s="48"/>
      <c r="J221" s="48"/>
      <c r="K221" s="48"/>
      <c r="L221" s="48"/>
      <c r="M221" s="48"/>
      <c r="N221" s="48"/>
      <c r="O221" s="48"/>
      <c r="P221" s="48"/>
      <c r="Q221" s="48"/>
      <c r="R221" s="48"/>
      <c r="S221" s="48"/>
      <c r="T221" s="48"/>
      <c r="U221" s="48"/>
      <c r="V221" s="48"/>
      <c r="W221" s="48"/>
      <c r="X221" s="48"/>
      <c r="Y221" s="48"/>
      <c r="Z221" s="48"/>
      <c r="AA221" s="48"/>
      <c r="AB221" s="48"/>
      <c r="AC221" s="48"/>
      <c r="AD221" s="48"/>
      <c r="AE221" s="48"/>
      <c r="AF221" s="48"/>
      <c r="AG221" s="48"/>
      <c r="AH221" s="48"/>
      <c r="AI221" s="48"/>
      <c r="AJ221" s="48"/>
      <c r="AK221" s="48"/>
      <c r="AL221" s="48"/>
      <c r="AM221" s="48"/>
      <c r="AN221" s="48"/>
      <c r="AO221" s="48"/>
      <c r="AP221" s="48"/>
      <c r="AQ221" s="48"/>
      <c r="AR221" s="48"/>
      <c r="AS221" s="48"/>
      <c r="AT221" s="48"/>
      <c r="AU221" s="48"/>
      <c r="AV221" s="48"/>
      <c r="AW221" s="48"/>
      <c r="AX221" s="48"/>
    </row>
    <row r="222" spans="1:50" s="412" customFormat="1" ht="15" customHeight="1" x14ac:dyDescent="0.25">
      <c r="A222" s="398"/>
      <c r="B222" s="675"/>
      <c r="C222" s="625"/>
      <c r="D222" s="410"/>
      <c r="E222" s="514" t="str">
        <f>E$214 &amp;  " "  &amp; Translate!E535</f>
        <v>Royalty attributable to: SOC</v>
      </c>
      <c r="F222" s="572"/>
      <c r="G222" s="514" t="str">
        <f xml:space="preserve"> Translate!E$603</f>
        <v>US$ mn</v>
      </c>
      <c r="H222" s="398"/>
      <c r="I222" s="398">
        <f ca="1" xml:space="preserve"> SUM(K222:AX222)</f>
        <v>2286.7417407365006</v>
      </c>
      <c r="J222" s="398"/>
      <c r="K222" s="398">
        <f ca="1">K$214* $F221</f>
        <v>0</v>
      </c>
      <c r="L222" s="398">
        <f t="shared" ref="L222:AX222" ca="1" si="40">L$214* $F221</f>
        <v>0</v>
      </c>
      <c r="M222" s="398">
        <f t="shared" ca="1" si="40"/>
        <v>0</v>
      </c>
      <c r="N222" s="398">
        <f t="shared" ca="1" si="40"/>
        <v>0</v>
      </c>
      <c r="O222" s="398">
        <f t="shared" ca="1" si="40"/>
        <v>8.2982868243939283</v>
      </c>
      <c r="P222" s="398">
        <f t="shared" ca="1" si="40"/>
        <v>66.493266372720015</v>
      </c>
      <c r="Q222" s="398">
        <f t="shared" ca="1" si="40"/>
        <v>135.64626340034883</v>
      </c>
      <c r="R222" s="398">
        <f t="shared" ca="1" si="40"/>
        <v>138.35918866835581</v>
      </c>
      <c r="S222" s="398">
        <f t="shared" ca="1" si="40"/>
        <v>141.12637244172294</v>
      </c>
      <c r="T222" s="398">
        <f t="shared" ca="1" si="40"/>
        <v>143.94889989055739</v>
      </c>
      <c r="U222" s="398">
        <f t="shared" ca="1" si="40"/>
        <v>146.82787788836853</v>
      </c>
      <c r="V222" s="398">
        <f t="shared" ca="1" si="40"/>
        <v>149.76443544613591</v>
      </c>
      <c r="W222" s="398">
        <f t="shared" ca="1" si="40"/>
        <v>152.75972415505862</v>
      </c>
      <c r="X222" s="398">
        <f t="shared" ca="1" si="40"/>
        <v>155.81491863815978</v>
      </c>
      <c r="Y222" s="398">
        <f t="shared" ca="1" si="40"/>
        <v>158.93121701092298</v>
      </c>
      <c r="Z222" s="398">
        <f t="shared" ca="1" si="40"/>
        <v>162.10984135114145</v>
      </c>
      <c r="AA222" s="398">
        <f t="shared" ca="1" si="40"/>
        <v>133.93515092431309</v>
      </c>
      <c r="AB222" s="398">
        <f t="shared" ca="1" si="40"/>
        <v>110.65722169366751</v>
      </c>
      <c r="AC222" s="398">
        <f t="shared" ca="1" si="40"/>
        <v>91.424996563308099</v>
      </c>
      <c r="AD222" s="398">
        <f t="shared" ca="1" si="40"/>
        <v>75.535332160605165</v>
      </c>
      <c r="AE222" s="398">
        <f t="shared" ca="1" si="40"/>
        <v>62.407291431091984</v>
      </c>
      <c r="AF222" s="398">
        <f t="shared" ca="1" si="40"/>
        <v>51.560904180368212</v>
      </c>
      <c r="AG222" s="398">
        <f t="shared" ca="1" si="40"/>
        <v>42.599619033820225</v>
      </c>
      <c r="AH222" s="398">
        <f t="shared" ca="1" si="40"/>
        <v>35.195805245742264</v>
      </c>
      <c r="AI222" s="398">
        <f t="shared" ca="1" si="40"/>
        <v>29.078774294032264</v>
      </c>
      <c r="AJ222" s="398">
        <f t="shared" ca="1" si="40"/>
        <v>24.024883321729455</v>
      </c>
      <c r="AK222" s="398">
        <f t="shared" ca="1" si="40"/>
        <v>19.849358600412881</v>
      </c>
      <c r="AL222" s="398">
        <f t="shared" ca="1" si="40"/>
        <v>16.399540075661118</v>
      </c>
      <c r="AM222" s="398">
        <f t="shared" ca="1" si="40"/>
        <v>13.549300010511217</v>
      </c>
      <c r="AN222" s="398">
        <f t="shared" ca="1" si="40"/>
        <v>11.194431668684368</v>
      </c>
      <c r="AO222" s="398">
        <f t="shared" ca="1" si="40"/>
        <v>9.248839444667027</v>
      </c>
      <c r="AP222" s="398">
        <f t="shared" ca="1" si="40"/>
        <v>0</v>
      </c>
      <c r="AQ222" s="398">
        <f t="shared" ca="1" si="40"/>
        <v>0</v>
      </c>
      <c r="AR222" s="398">
        <f t="shared" ca="1" si="40"/>
        <v>0</v>
      </c>
      <c r="AS222" s="398">
        <f t="shared" ca="1" si="40"/>
        <v>0</v>
      </c>
      <c r="AT222" s="398">
        <f t="shared" ca="1" si="40"/>
        <v>0</v>
      </c>
      <c r="AU222" s="398">
        <f t="shared" ca="1" si="40"/>
        <v>0</v>
      </c>
      <c r="AV222" s="398">
        <f t="shared" ca="1" si="40"/>
        <v>0</v>
      </c>
      <c r="AW222" s="398">
        <f t="shared" ca="1" si="40"/>
        <v>0</v>
      </c>
      <c r="AX222" s="398">
        <f t="shared" ca="1" si="40"/>
        <v>0</v>
      </c>
    </row>
    <row r="223" spans="1:50" s="412" customFormat="1" ht="15" customHeight="1" x14ac:dyDescent="0.25">
      <c r="A223" s="398"/>
      <c r="B223" s="675"/>
      <c r="C223" s="625"/>
      <c r="D223" s="410"/>
      <c r="E223" s="514" t="str">
        <f>E$214 &amp;  " "  &amp; Translate!E536</f>
        <v>Royalty attributable to: IOC</v>
      </c>
      <c r="F223" s="572"/>
      <c r="G223" s="514" t="str">
        <f xml:space="preserve"> Translate!E$603</f>
        <v>US$ mn</v>
      </c>
      <c r="H223" s="398"/>
      <c r="I223" s="398">
        <f ca="1" xml:space="preserve"> SUM(K223:AX223)</f>
        <v>9146.9669629460022</v>
      </c>
      <c r="J223" s="398"/>
      <c r="K223" s="398">
        <f ca="1">K214 - K222</f>
        <v>0</v>
      </c>
      <c r="L223" s="398">
        <f t="shared" ref="L223:AX223" ca="1" si="41">L214 - L222</f>
        <v>0</v>
      </c>
      <c r="M223" s="398">
        <f t="shared" ca="1" si="41"/>
        <v>0</v>
      </c>
      <c r="N223" s="398">
        <f t="shared" ca="1" si="41"/>
        <v>0</v>
      </c>
      <c r="O223" s="398">
        <f t="shared" ca="1" si="41"/>
        <v>33.193147297575713</v>
      </c>
      <c r="P223" s="398">
        <f t="shared" ca="1" si="41"/>
        <v>265.97306549088</v>
      </c>
      <c r="Q223" s="398">
        <f t="shared" ca="1" si="41"/>
        <v>542.58505360139532</v>
      </c>
      <c r="R223" s="398">
        <f t="shared" ca="1" si="41"/>
        <v>553.43675467342314</v>
      </c>
      <c r="S223" s="398">
        <f t="shared" ca="1" si="41"/>
        <v>564.50548976689174</v>
      </c>
      <c r="T223" s="398">
        <f t="shared" ca="1" si="41"/>
        <v>575.79559956222943</v>
      </c>
      <c r="U223" s="398">
        <f t="shared" ca="1" si="41"/>
        <v>587.31151155347402</v>
      </c>
      <c r="V223" s="398">
        <f t="shared" ca="1" si="41"/>
        <v>599.05774178454362</v>
      </c>
      <c r="W223" s="398">
        <f t="shared" ca="1" si="41"/>
        <v>611.03889662023448</v>
      </c>
      <c r="X223" s="398">
        <f t="shared" ca="1" si="41"/>
        <v>623.25967455263913</v>
      </c>
      <c r="Y223" s="398">
        <f t="shared" ca="1" si="41"/>
        <v>635.72486804369191</v>
      </c>
      <c r="Z223" s="398">
        <f t="shared" ca="1" si="41"/>
        <v>648.43936540456582</v>
      </c>
      <c r="AA223" s="398">
        <f t="shared" ca="1" si="41"/>
        <v>535.74060369725237</v>
      </c>
      <c r="AB223" s="398">
        <f t="shared" ca="1" si="41"/>
        <v>442.62888677466998</v>
      </c>
      <c r="AC223" s="398">
        <f t="shared" ca="1" si="41"/>
        <v>365.6999862532324</v>
      </c>
      <c r="AD223" s="398">
        <f t="shared" ca="1" si="41"/>
        <v>302.14132864242066</v>
      </c>
      <c r="AE223" s="398">
        <f t="shared" ca="1" si="41"/>
        <v>249.62916572436794</v>
      </c>
      <c r="AF223" s="398">
        <f t="shared" ca="1" si="41"/>
        <v>206.24361672147285</v>
      </c>
      <c r="AG223" s="398">
        <f t="shared" ca="1" si="41"/>
        <v>170.39847613528087</v>
      </c>
      <c r="AH223" s="398">
        <f t="shared" ca="1" si="41"/>
        <v>140.78322098296906</v>
      </c>
      <c r="AI223" s="398">
        <f t="shared" ca="1" si="41"/>
        <v>116.31509717612906</v>
      </c>
      <c r="AJ223" s="398">
        <f t="shared" ca="1" si="41"/>
        <v>96.099533286917818</v>
      </c>
      <c r="AK223" s="398">
        <f t="shared" ca="1" si="41"/>
        <v>79.397434401651509</v>
      </c>
      <c r="AL223" s="398">
        <f t="shared" ca="1" si="41"/>
        <v>65.598160302644459</v>
      </c>
      <c r="AM223" s="398">
        <f t="shared" ca="1" si="41"/>
        <v>54.197200042044869</v>
      </c>
      <c r="AN223" s="398">
        <f t="shared" ca="1" si="41"/>
        <v>44.777726674737472</v>
      </c>
      <c r="AO223" s="398">
        <f t="shared" ca="1" si="41"/>
        <v>36.995357778668108</v>
      </c>
      <c r="AP223" s="398">
        <f t="shared" ca="1" si="41"/>
        <v>0</v>
      </c>
      <c r="AQ223" s="398">
        <f t="shared" ca="1" si="41"/>
        <v>0</v>
      </c>
      <c r="AR223" s="398">
        <f t="shared" ca="1" si="41"/>
        <v>0</v>
      </c>
      <c r="AS223" s="398">
        <f t="shared" ca="1" si="41"/>
        <v>0</v>
      </c>
      <c r="AT223" s="398">
        <f t="shared" ca="1" si="41"/>
        <v>0</v>
      </c>
      <c r="AU223" s="398">
        <f t="shared" ca="1" si="41"/>
        <v>0</v>
      </c>
      <c r="AV223" s="398">
        <f t="shared" ca="1" si="41"/>
        <v>0</v>
      </c>
      <c r="AW223" s="398">
        <f t="shared" ca="1" si="41"/>
        <v>0</v>
      </c>
      <c r="AX223" s="398">
        <f t="shared" ca="1" si="41"/>
        <v>0</v>
      </c>
    </row>
    <row r="224" spans="1:50" ht="15" customHeight="1" x14ac:dyDescent="0.25">
      <c r="A224" s="241"/>
      <c r="B224" s="675"/>
      <c r="C224" s="615"/>
      <c r="D224" s="64"/>
      <c r="E224" s="402"/>
      <c r="F224" s="534"/>
      <c r="G224" s="402"/>
      <c r="H224" s="48"/>
      <c r="I224" s="48"/>
      <c r="J224" s="48"/>
      <c r="K224" s="48"/>
      <c r="L224" s="48"/>
      <c r="M224" s="48"/>
      <c r="N224" s="48"/>
      <c r="O224" s="48"/>
      <c r="P224" s="48"/>
      <c r="Q224" s="48"/>
      <c r="R224" s="48"/>
      <c r="S224" s="48"/>
      <c r="T224" s="48"/>
      <c r="U224" s="48"/>
      <c r="V224" s="48"/>
      <c r="W224" s="48"/>
      <c r="X224" s="48"/>
      <c r="Y224" s="48"/>
      <c r="Z224" s="48"/>
      <c r="AA224" s="48"/>
      <c r="AB224" s="48"/>
      <c r="AC224" s="48"/>
      <c r="AD224" s="48"/>
      <c r="AE224" s="48"/>
      <c r="AF224" s="48"/>
      <c r="AG224" s="48"/>
      <c r="AH224" s="48"/>
      <c r="AI224" s="48"/>
      <c r="AJ224" s="48"/>
      <c r="AK224" s="48"/>
      <c r="AL224" s="48"/>
      <c r="AM224" s="48"/>
      <c r="AN224" s="48"/>
      <c r="AO224" s="48"/>
      <c r="AP224" s="48"/>
      <c r="AQ224" s="48"/>
      <c r="AR224" s="48"/>
      <c r="AS224" s="48"/>
      <c r="AT224" s="48"/>
      <c r="AU224" s="48"/>
      <c r="AV224" s="48"/>
      <c r="AW224" s="48"/>
      <c r="AX224" s="48"/>
    </row>
    <row r="225" spans="1:50" ht="15" customHeight="1" x14ac:dyDescent="0.25">
      <c r="A225" s="202" t="str">
        <f xml:space="preserve"> Translate!E$136</f>
        <v>Carbon tax</v>
      </c>
      <c r="B225" s="781"/>
      <c r="C225" s="610"/>
      <c r="D225" s="204"/>
      <c r="E225" s="202"/>
      <c r="F225" s="204"/>
      <c r="G225" s="202"/>
      <c r="H225" s="202"/>
      <c r="I225" s="202"/>
      <c r="J225" s="202"/>
      <c r="K225" s="202"/>
      <c r="L225" s="202"/>
      <c r="M225" s="202"/>
      <c r="N225" s="202"/>
      <c r="O225" s="202"/>
      <c r="P225" s="202"/>
      <c r="Q225" s="202"/>
      <c r="R225" s="202"/>
      <c r="S225" s="202"/>
      <c r="T225" s="202"/>
      <c r="U225" s="202"/>
      <c r="V225" s="202"/>
      <c r="W225" s="202"/>
      <c r="X225" s="202"/>
      <c r="Y225" s="202"/>
      <c r="Z225" s="202"/>
      <c r="AA225" s="202"/>
      <c r="AB225" s="202"/>
      <c r="AC225" s="202"/>
      <c r="AD225" s="202"/>
      <c r="AE225" s="202"/>
      <c r="AF225" s="202"/>
      <c r="AG225" s="202"/>
      <c r="AH225" s="202"/>
      <c r="AI225" s="202"/>
      <c r="AJ225" s="202"/>
      <c r="AK225" s="202"/>
      <c r="AL225" s="202"/>
      <c r="AM225" s="202"/>
      <c r="AN225" s="202"/>
      <c r="AO225" s="202"/>
      <c r="AP225" s="202"/>
      <c r="AQ225" s="202"/>
      <c r="AR225" s="202"/>
      <c r="AS225" s="202"/>
      <c r="AT225" s="202"/>
      <c r="AU225" s="202"/>
      <c r="AV225" s="202"/>
      <c r="AW225" s="202"/>
      <c r="AX225" s="202"/>
    </row>
    <row r="226" spans="1:50" s="48" customFormat="1" ht="15" customHeight="1" x14ac:dyDescent="0.25">
      <c r="A226" s="220"/>
      <c r="B226" s="102"/>
      <c r="C226" s="611"/>
      <c r="D226" s="221"/>
      <c r="E226" s="220"/>
      <c r="F226" s="221"/>
      <c r="G226" s="220"/>
      <c r="H226" s="220"/>
      <c r="I226" s="220"/>
      <c r="J226" s="220"/>
      <c r="K226" s="220"/>
      <c r="L226" s="220"/>
      <c r="M226" s="220"/>
      <c r="N226" s="220"/>
      <c r="O226" s="220"/>
      <c r="P226" s="220"/>
      <c r="Q226" s="220"/>
      <c r="R226" s="220"/>
      <c r="S226" s="220"/>
      <c r="T226" s="220"/>
      <c r="U226" s="220"/>
      <c r="V226" s="220"/>
      <c r="W226" s="220"/>
      <c r="X226" s="220"/>
      <c r="Y226" s="220"/>
      <c r="Z226" s="220"/>
      <c r="AA226" s="220"/>
      <c r="AB226" s="220"/>
      <c r="AC226" s="220"/>
      <c r="AD226" s="220"/>
      <c r="AE226" s="220"/>
      <c r="AF226" s="220"/>
      <c r="AG226" s="220"/>
      <c r="AH226" s="220"/>
      <c r="AI226" s="220"/>
      <c r="AJ226" s="220"/>
      <c r="AK226" s="220"/>
      <c r="AL226" s="220"/>
      <c r="AM226" s="220"/>
      <c r="AN226" s="220"/>
      <c r="AO226" s="220"/>
      <c r="AP226" s="220"/>
      <c r="AQ226" s="220"/>
      <c r="AR226" s="220"/>
      <c r="AS226" s="220"/>
      <c r="AT226" s="220"/>
      <c r="AU226" s="220"/>
      <c r="AV226" s="220"/>
      <c r="AW226" s="220"/>
      <c r="AX226" s="220"/>
    </row>
    <row r="227" spans="1:50" s="48" customFormat="1" ht="15" customHeight="1" x14ac:dyDescent="0.25">
      <c r="A227" s="220"/>
      <c r="B227" s="102" t="str">
        <f>Translate!$E$419</f>
        <v>Determination of tax base</v>
      </c>
      <c r="C227" s="611"/>
      <c r="D227" s="221"/>
      <c r="E227" s="220"/>
      <c r="F227" s="221"/>
      <c r="G227" s="220"/>
      <c r="H227" s="220"/>
      <c r="I227" s="220"/>
      <c r="J227" s="220"/>
      <c r="K227" s="220"/>
      <c r="L227" s="220"/>
      <c r="M227" s="220"/>
      <c r="N227" s="220"/>
      <c r="O227" s="220"/>
      <c r="P227" s="220"/>
      <c r="Q227" s="220"/>
      <c r="R227" s="220"/>
      <c r="S227" s="220"/>
      <c r="T227" s="220"/>
      <c r="U227" s="220"/>
      <c r="V227" s="220"/>
      <c r="W227" s="220"/>
      <c r="X227" s="220"/>
      <c r="Y227" s="220"/>
      <c r="Z227" s="220"/>
      <c r="AA227" s="220"/>
      <c r="AB227" s="220"/>
      <c r="AC227" s="220"/>
      <c r="AD227" s="220"/>
      <c r="AE227" s="220"/>
      <c r="AF227" s="220"/>
      <c r="AG227" s="220"/>
      <c r="AH227" s="220"/>
      <c r="AI227" s="220"/>
      <c r="AJ227" s="220"/>
      <c r="AK227" s="220"/>
      <c r="AL227" s="220"/>
      <c r="AM227" s="220"/>
      <c r="AN227" s="220"/>
      <c r="AO227" s="220"/>
      <c r="AP227" s="220"/>
      <c r="AQ227" s="220"/>
      <c r="AR227" s="220"/>
      <c r="AS227" s="220"/>
      <c r="AT227" s="220"/>
      <c r="AU227" s="220"/>
      <c r="AV227" s="220"/>
      <c r="AW227" s="220"/>
      <c r="AX227" s="220"/>
    </row>
    <row r="228" spans="1:50" s="48" customFormat="1" ht="15" customHeight="1" x14ac:dyDescent="0.25">
      <c r="A228" s="220"/>
      <c r="B228" s="102"/>
      <c r="C228" s="611"/>
      <c r="D228" s="221"/>
      <c r="E228" s="490" t="str">
        <f>E$34</f>
        <v>Carbon tax imposed on scope 3 emissions levied on investor</v>
      </c>
      <c r="F228" s="408" t="str">
        <f>F$34</f>
        <v>no</v>
      </c>
      <c r="G228" s="490" t="str">
        <f>G$34</f>
        <v>Option</v>
      </c>
      <c r="H228" s="220"/>
      <c r="I228" s="220"/>
      <c r="J228" s="220"/>
      <c r="K228" s="220"/>
      <c r="L228" s="220"/>
      <c r="M228" s="220"/>
      <c r="N228" s="220"/>
      <c r="O228" s="220"/>
      <c r="P228" s="220"/>
      <c r="Q228" s="220"/>
      <c r="R228" s="220"/>
      <c r="S228" s="220"/>
      <c r="T228" s="220"/>
      <c r="U228" s="220"/>
      <c r="V228" s="220"/>
      <c r="W228" s="220"/>
      <c r="X228" s="220"/>
      <c r="Y228" s="220"/>
      <c r="Z228" s="220"/>
      <c r="AA228" s="220"/>
      <c r="AB228" s="220"/>
      <c r="AC228" s="220"/>
      <c r="AD228" s="220"/>
      <c r="AE228" s="220"/>
      <c r="AF228" s="220"/>
      <c r="AG228" s="220"/>
      <c r="AH228" s="220"/>
      <c r="AI228" s="220"/>
      <c r="AJ228" s="220"/>
      <c r="AK228" s="220"/>
      <c r="AL228" s="220"/>
      <c r="AM228" s="220"/>
      <c r="AN228" s="220"/>
      <c r="AO228" s="220"/>
      <c r="AP228" s="220"/>
      <c r="AQ228" s="220"/>
      <c r="AR228" s="220"/>
      <c r="AS228" s="220"/>
      <c r="AT228" s="220"/>
      <c r="AU228" s="220"/>
      <c r="AV228" s="220"/>
      <c r="AW228" s="220"/>
      <c r="AX228" s="220"/>
    </row>
    <row r="229" spans="1:50" ht="15" customHeight="1" x14ac:dyDescent="0.25">
      <c r="B229" s="675"/>
      <c r="C229" s="615"/>
      <c r="D229" s="48"/>
      <c r="E229" s="222" t="str">
        <f>Inputs!E$87</f>
        <v>Label: yes</v>
      </c>
      <c r="F229" s="533" t="str">
        <f>Inputs!F$87</f>
        <v>yes</v>
      </c>
      <c r="G229" s="222" t="str">
        <f>Inputs!G$87</f>
        <v>Label</v>
      </c>
      <c r="H229" s="48"/>
      <c r="I229" s="48"/>
    </row>
    <row r="230" spans="1:50" ht="15" customHeight="1" x14ac:dyDescent="0.25">
      <c r="B230" s="675"/>
      <c r="C230" s="615"/>
      <c r="D230" s="48"/>
      <c r="E230" s="222" t="str">
        <f>Inputs!E$88</f>
        <v>Label: no</v>
      </c>
      <c r="F230" s="533" t="str">
        <f>Inputs!F$88</f>
        <v>no</v>
      </c>
      <c r="G230" s="222" t="str">
        <f>Inputs!G$88</f>
        <v>Label</v>
      </c>
      <c r="H230" s="48"/>
      <c r="I230" s="48"/>
    </row>
    <row r="231" spans="1:50" s="40" customFormat="1" ht="15" customHeight="1" x14ac:dyDescent="0.25">
      <c r="A231" s="139"/>
      <c r="B231" s="235"/>
      <c r="C231" s="613"/>
      <c r="D231" s="351"/>
      <c r="E231" s="140" t="str">
        <f xml:space="preserve"> ProjectCashflows!E$279</f>
        <v>Scope 1: Upstream GHG emissions</v>
      </c>
      <c r="F231" s="540">
        <f xml:space="preserve"> ProjectCashflows!F$279</f>
        <v>0</v>
      </c>
      <c r="G231" s="140" t="str">
        <f xml:space="preserve"> ProjectCashflows!G$279</f>
        <v>Mn t CO2 eq</v>
      </c>
      <c r="H231" s="140">
        <f xml:space="preserve"> ProjectCashflows!H$279</f>
        <v>0</v>
      </c>
      <c r="I231" s="140">
        <f ca="1" xml:space="preserve"> ProjectCashflows!I$279</f>
        <v>50.546876586222226</v>
      </c>
      <c r="J231" s="140">
        <f xml:space="preserve"> ProjectCashflows!J$279</f>
        <v>0</v>
      </c>
      <c r="K231" s="140">
        <f ca="1" xml:space="preserve"> ProjectCashflows!K$279</f>
        <v>0</v>
      </c>
      <c r="L231" s="140">
        <f ca="1" xml:space="preserve"> ProjectCashflows!L$279</f>
        <v>0</v>
      </c>
      <c r="M231" s="140">
        <f ca="1" xml:space="preserve"> ProjectCashflows!M$279</f>
        <v>0</v>
      </c>
      <c r="N231" s="140">
        <f ca="1" xml:space="preserve"> ProjectCashflows!N$279</f>
        <v>0</v>
      </c>
      <c r="O231" s="140">
        <f ca="1" xml:space="preserve"> ProjectCashflows!O$279</f>
        <v>0.21966138664082679</v>
      </c>
      <c r="P231" s="140">
        <f ca="1" xml:space="preserve"> ProjectCashflows!P$279</f>
        <v>1.7256105000000002</v>
      </c>
      <c r="Q231" s="140">
        <f ca="1" xml:space="preserve"> ProjectCashflows!Q$279</f>
        <v>3.4512210000000003</v>
      </c>
      <c r="R231" s="140">
        <f ca="1" xml:space="preserve"> ProjectCashflows!R$279</f>
        <v>3.4512210000000003</v>
      </c>
      <c r="S231" s="140">
        <f ca="1" xml:space="preserve"> ProjectCashflows!S$279</f>
        <v>3.4512210000000003</v>
      </c>
      <c r="T231" s="140">
        <f ca="1" xml:space="preserve"> ProjectCashflows!T$279</f>
        <v>3.4512210000000003</v>
      </c>
      <c r="U231" s="140">
        <f ca="1" xml:space="preserve"> ProjectCashflows!U$279</f>
        <v>3.4512210000000003</v>
      </c>
      <c r="V231" s="140">
        <f ca="1" xml:space="preserve"> ProjectCashflows!V$279</f>
        <v>3.4512210000000003</v>
      </c>
      <c r="W231" s="140">
        <f ca="1" xml:space="preserve"> ProjectCashflows!W$279</f>
        <v>3.4512210000000003</v>
      </c>
      <c r="X231" s="140">
        <f ca="1" xml:space="preserve"> ProjectCashflows!X$279</f>
        <v>3.4512210000000003</v>
      </c>
      <c r="Y231" s="140">
        <f ca="1" xml:space="preserve"> ProjectCashflows!Y$279</f>
        <v>3.4512210000000003</v>
      </c>
      <c r="Z231" s="140">
        <f ca="1" xml:space="preserve"> ProjectCashflows!Z$279</f>
        <v>3.4512210000000003</v>
      </c>
      <c r="AA231" s="140">
        <f ca="1" xml:space="preserve"> ProjectCashflows!AA$279</f>
        <v>2.7954890100000007</v>
      </c>
      <c r="AB231" s="140">
        <f ca="1" xml:space="preserve"> ProjectCashflows!AB$279</f>
        <v>2.2643460981000003</v>
      </c>
      <c r="AC231" s="140">
        <f ca="1" xml:space="preserve"> ProjectCashflows!AC$279</f>
        <v>1.8341203394610006</v>
      </c>
      <c r="AD231" s="140">
        <f ca="1" xml:space="preserve"> ProjectCashflows!AD$279</f>
        <v>1.4856374749634109</v>
      </c>
      <c r="AE231" s="140">
        <f ca="1" xml:space="preserve"> ProjectCashflows!AE$279</f>
        <v>1.203366354720363</v>
      </c>
      <c r="AF231" s="140">
        <f ca="1" xml:space="preserve"> ProjectCashflows!AF$279</f>
        <v>0.97472674732349396</v>
      </c>
      <c r="AG231" s="140">
        <f ca="1" xml:space="preserve"> ProjectCashflows!AG$279</f>
        <v>0.78952866533203026</v>
      </c>
      <c r="AH231" s="140">
        <f ca="1" xml:space="preserve"> ProjectCashflows!AH$279</f>
        <v>0.63951821891894456</v>
      </c>
      <c r="AI231" s="140">
        <f ca="1" xml:space="preserve"> ProjectCashflows!AI$279</f>
        <v>0.51800975732434507</v>
      </c>
      <c r="AJ231" s="140">
        <f ca="1" xml:space="preserve"> ProjectCashflows!AJ$279</f>
        <v>0.41958790343271951</v>
      </c>
      <c r="AK231" s="140">
        <f ca="1" xml:space="preserve"> ProjectCashflows!AK$279</f>
        <v>0.33986620178050286</v>
      </c>
      <c r="AL231" s="140">
        <f ca="1" xml:space="preserve"> ProjectCashflows!AL$279</f>
        <v>0.27529162344220726</v>
      </c>
      <c r="AM231" s="140">
        <f ca="1" xml:space="preserve"> ProjectCashflows!AM$279</f>
        <v>0.22298621498818788</v>
      </c>
      <c r="AN231" s="140">
        <f ca="1" xml:space="preserve"> ProjectCashflows!AN$279</f>
        <v>0.18061883414043217</v>
      </c>
      <c r="AO231" s="140">
        <f ca="1" xml:space="preserve"> ProjectCashflows!AO$279</f>
        <v>0.14630125565375013</v>
      </c>
      <c r="AP231" s="140">
        <f ca="1" xml:space="preserve"> ProjectCashflows!AP$279</f>
        <v>0</v>
      </c>
      <c r="AQ231" s="140">
        <f ca="1" xml:space="preserve"> ProjectCashflows!AQ$279</f>
        <v>0</v>
      </c>
      <c r="AR231" s="140">
        <f ca="1" xml:space="preserve"> ProjectCashflows!AR$279</f>
        <v>0</v>
      </c>
      <c r="AS231" s="140">
        <f ca="1" xml:space="preserve"> ProjectCashflows!AS$279</f>
        <v>0</v>
      </c>
      <c r="AT231" s="140">
        <f ca="1" xml:space="preserve"> ProjectCashflows!AT$279</f>
        <v>0</v>
      </c>
      <c r="AU231" s="140">
        <f ca="1" xml:space="preserve"> ProjectCashflows!AU$279</f>
        <v>0</v>
      </c>
      <c r="AV231" s="140">
        <f ca="1" xml:space="preserve"> ProjectCashflows!AV$279</f>
        <v>0</v>
      </c>
      <c r="AW231" s="140">
        <f ca="1" xml:space="preserve"> ProjectCashflows!AW$279</f>
        <v>0</v>
      </c>
      <c r="AX231" s="140">
        <f ca="1" xml:space="preserve"> ProjectCashflows!AX$279</f>
        <v>0</v>
      </c>
    </row>
    <row r="232" spans="1:50" s="40" customFormat="1" ht="15" customHeight="1" x14ac:dyDescent="0.25">
      <c r="A232" s="139"/>
      <c r="B232" s="235"/>
      <c r="C232" s="613"/>
      <c r="D232" s="351"/>
      <c r="E232" s="140" t="str">
        <f xml:space="preserve"> ProjectCashflows!E$284</f>
        <v>Scope 3: GHG emissions from oil consumed</v>
      </c>
      <c r="F232" s="540">
        <f xml:space="preserve"> ProjectCashflows!F$284</f>
        <v>0</v>
      </c>
      <c r="G232" s="140" t="str">
        <f xml:space="preserve"> ProjectCashflows!G$284</f>
        <v>Mn t CO2 eq</v>
      </c>
      <c r="H232" s="140">
        <f xml:space="preserve"> ProjectCashflows!H$284</f>
        <v>0</v>
      </c>
      <c r="I232" s="140">
        <f ca="1" xml:space="preserve"> ProjectCashflows!I$284</f>
        <v>344.80545929430093</v>
      </c>
      <c r="J232" s="140">
        <f xml:space="preserve"> ProjectCashflows!J$284</f>
        <v>0</v>
      </c>
      <c r="K232" s="140">
        <f ca="1" xml:space="preserve"> ProjectCashflows!K$284</f>
        <v>0</v>
      </c>
      <c r="L232" s="140">
        <f ca="1" xml:space="preserve"> ProjectCashflows!L$284</f>
        <v>0</v>
      </c>
      <c r="M232" s="140">
        <f ca="1" xml:space="preserve"> ProjectCashflows!M$284</f>
        <v>0</v>
      </c>
      <c r="N232" s="140">
        <f ca="1" xml:space="preserve"> ProjectCashflows!N$284</f>
        <v>0</v>
      </c>
      <c r="O232" s="140">
        <f ca="1" xml:space="preserve"> ProjectCashflows!O$284</f>
        <v>1.4984198911027908</v>
      </c>
      <c r="P232" s="140">
        <f ca="1" xml:space="preserve"> ProjectCashflows!P$284</f>
        <v>11.77125</v>
      </c>
      <c r="Q232" s="140">
        <f ca="1" xml:space="preserve"> ProjectCashflows!Q$284</f>
        <v>23.5425</v>
      </c>
      <c r="R232" s="140">
        <f ca="1" xml:space="preserve"> ProjectCashflows!R$284</f>
        <v>23.5425</v>
      </c>
      <c r="S232" s="140">
        <f ca="1" xml:space="preserve"> ProjectCashflows!S$284</f>
        <v>23.5425</v>
      </c>
      <c r="T232" s="140">
        <f ca="1" xml:space="preserve"> ProjectCashflows!T$284</f>
        <v>23.5425</v>
      </c>
      <c r="U232" s="140">
        <f ca="1" xml:space="preserve"> ProjectCashflows!U$284</f>
        <v>23.5425</v>
      </c>
      <c r="V232" s="140">
        <f ca="1" xml:space="preserve"> ProjectCashflows!V$284</f>
        <v>23.5425</v>
      </c>
      <c r="W232" s="140">
        <f ca="1" xml:space="preserve"> ProjectCashflows!W$284</f>
        <v>23.5425</v>
      </c>
      <c r="X232" s="140">
        <f ca="1" xml:space="preserve"> ProjectCashflows!X$284</f>
        <v>23.5425</v>
      </c>
      <c r="Y232" s="140">
        <f ca="1" xml:space="preserve"> ProjectCashflows!Y$284</f>
        <v>23.5425</v>
      </c>
      <c r="Z232" s="140">
        <f ca="1" xml:space="preserve"> ProjectCashflows!Z$284</f>
        <v>23.5425</v>
      </c>
      <c r="AA232" s="140">
        <f ca="1" xml:space="preserve"> ProjectCashflows!AA$284</f>
        <v>19.069425000000006</v>
      </c>
      <c r="AB232" s="140">
        <f ca="1" xml:space="preserve"> ProjectCashflows!AB$284</f>
        <v>15.446234250000003</v>
      </c>
      <c r="AC232" s="140">
        <f ca="1" xml:space="preserve"> ProjectCashflows!AC$284</f>
        <v>12.511449742500004</v>
      </c>
      <c r="AD232" s="140">
        <f ca="1" xml:space="preserve"> ProjectCashflows!AD$284</f>
        <v>10.134274291425005</v>
      </c>
      <c r="AE232" s="140">
        <f ca="1" xml:space="preserve"> ProjectCashflows!AE$284</f>
        <v>8.208762176054254</v>
      </c>
      <c r="AF232" s="140">
        <f ca="1" xml:space="preserve"> ProjectCashflows!AF$284</f>
        <v>6.6490973626039462</v>
      </c>
      <c r="AG232" s="140">
        <f ca="1" xml:space="preserve"> ProjectCashflows!AG$284</f>
        <v>5.3857688637091972</v>
      </c>
      <c r="AH232" s="140">
        <f ca="1" xml:space="preserve"> ProjectCashflows!AH$284</f>
        <v>4.3624727796044507</v>
      </c>
      <c r="AI232" s="140">
        <f ca="1" xml:space="preserve"> ProjectCashflows!AI$284</f>
        <v>3.5336029514796046</v>
      </c>
      <c r="AJ232" s="140">
        <f ca="1" xml:space="preserve"> ProjectCashflows!AJ$284</f>
        <v>2.8622183906984797</v>
      </c>
      <c r="AK232" s="140">
        <f ca="1" xml:space="preserve"> ProjectCashflows!AK$284</f>
        <v>2.3183968964657691</v>
      </c>
      <c r="AL232" s="140">
        <f ca="1" xml:space="preserve"> ProjectCashflows!AL$284</f>
        <v>1.8779014861372725</v>
      </c>
      <c r="AM232" s="140">
        <f ca="1" xml:space="preserve"> ProjectCashflows!AM$284</f>
        <v>1.5211002037711907</v>
      </c>
      <c r="AN232" s="140">
        <f ca="1" xml:space="preserve"> ProjectCashflows!AN$284</f>
        <v>1.2320911650546646</v>
      </c>
      <c r="AO232" s="140">
        <f ca="1" xml:space="preserve"> ProjectCashflows!AO$284</f>
        <v>0.99799384369427857</v>
      </c>
      <c r="AP232" s="140">
        <f ca="1" xml:space="preserve"> ProjectCashflows!AP$284</f>
        <v>0</v>
      </c>
      <c r="AQ232" s="140">
        <f ca="1" xml:space="preserve"> ProjectCashflows!AQ$284</f>
        <v>0</v>
      </c>
      <c r="AR232" s="140">
        <f ca="1" xml:space="preserve"> ProjectCashflows!AR$284</f>
        <v>0</v>
      </c>
      <c r="AS232" s="140">
        <f ca="1" xml:space="preserve"> ProjectCashflows!AS$284</f>
        <v>0</v>
      </c>
      <c r="AT232" s="140">
        <f ca="1" xml:space="preserve"> ProjectCashflows!AT$284</f>
        <v>0</v>
      </c>
      <c r="AU232" s="140">
        <f ca="1" xml:space="preserve"> ProjectCashflows!AU$284</f>
        <v>0</v>
      </c>
      <c r="AV232" s="140">
        <f ca="1" xml:space="preserve"> ProjectCashflows!AV$284</f>
        <v>0</v>
      </c>
      <c r="AW232" s="140">
        <f ca="1" xml:space="preserve"> ProjectCashflows!AW$284</f>
        <v>0</v>
      </c>
      <c r="AX232" s="140">
        <f ca="1" xml:space="preserve"> ProjectCashflows!AX$284</f>
        <v>0</v>
      </c>
    </row>
    <row r="233" spans="1:50" s="7" customFormat="1" ht="15" customHeight="1" x14ac:dyDescent="0.25">
      <c r="A233" s="178"/>
      <c r="B233" s="102"/>
      <c r="C233" s="127"/>
      <c r="D233" s="151"/>
      <c r="E233" s="52" t="str">
        <f xml:space="preserve"> Translate!E$242</f>
        <v>Total GHG emissions applicable for carbon tax</v>
      </c>
      <c r="F233" s="151"/>
      <c r="G233" s="52" t="str">
        <f>G232</f>
        <v>Mn t CO2 eq</v>
      </c>
      <c r="H233" s="52"/>
      <c r="I233" s="56">
        <f ca="1" xml:space="preserve"> SUM(K233:AX233)</f>
        <v>50.546876586222226</v>
      </c>
      <c r="J233" s="56"/>
      <c r="K233" s="56">
        <f t="shared" ref="K233:AX233" ca="1" si="42" xml:space="preserve"> K231 + K232 * ($F228 = $F229)</f>
        <v>0</v>
      </c>
      <c r="L233" s="56">
        <f t="shared" ca="1" si="42"/>
        <v>0</v>
      </c>
      <c r="M233" s="56">
        <f t="shared" ca="1" si="42"/>
        <v>0</v>
      </c>
      <c r="N233" s="56">
        <f t="shared" ca="1" si="42"/>
        <v>0</v>
      </c>
      <c r="O233" s="56">
        <f t="shared" ca="1" si="42"/>
        <v>0.21966138664082679</v>
      </c>
      <c r="P233" s="56">
        <f t="shared" ca="1" si="42"/>
        <v>1.7256105000000002</v>
      </c>
      <c r="Q233" s="56">
        <f t="shared" ca="1" si="42"/>
        <v>3.4512210000000003</v>
      </c>
      <c r="R233" s="56">
        <f t="shared" ca="1" si="42"/>
        <v>3.4512210000000003</v>
      </c>
      <c r="S233" s="56">
        <f t="shared" ca="1" si="42"/>
        <v>3.4512210000000003</v>
      </c>
      <c r="T233" s="56">
        <f t="shared" ca="1" si="42"/>
        <v>3.4512210000000003</v>
      </c>
      <c r="U233" s="56">
        <f t="shared" ca="1" si="42"/>
        <v>3.4512210000000003</v>
      </c>
      <c r="V233" s="56">
        <f t="shared" ca="1" si="42"/>
        <v>3.4512210000000003</v>
      </c>
      <c r="W233" s="56">
        <f t="shared" ca="1" si="42"/>
        <v>3.4512210000000003</v>
      </c>
      <c r="X233" s="56">
        <f t="shared" ca="1" si="42"/>
        <v>3.4512210000000003</v>
      </c>
      <c r="Y233" s="56">
        <f t="shared" ca="1" si="42"/>
        <v>3.4512210000000003</v>
      </c>
      <c r="Z233" s="56">
        <f t="shared" ca="1" si="42"/>
        <v>3.4512210000000003</v>
      </c>
      <c r="AA233" s="56">
        <f t="shared" ca="1" si="42"/>
        <v>2.7954890100000007</v>
      </c>
      <c r="AB233" s="56">
        <f t="shared" ca="1" si="42"/>
        <v>2.2643460981000003</v>
      </c>
      <c r="AC233" s="56">
        <f t="shared" ca="1" si="42"/>
        <v>1.8341203394610006</v>
      </c>
      <c r="AD233" s="56">
        <f t="shared" ca="1" si="42"/>
        <v>1.4856374749634109</v>
      </c>
      <c r="AE233" s="56">
        <f t="shared" ca="1" si="42"/>
        <v>1.203366354720363</v>
      </c>
      <c r="AF233" s="56">
        <f t="shared" ca="1" si="42"/>
        <v>0.97472674732349396</v>
      </c>
      <c r="AG233" s="56">
        <f t="shared" ca="1" si="42"/>
        <v>0.78952866533203026</v>
      </c>
      <c r="AH233" s="56">
        <f t="shared" ca="1" si="42"/>
        <v>0.63951821891894456</v>
      </c>
      <c r="AI233" s="56">
        <f t="shared" ca="1" si="42"/>
        <v>0.51800975732434507</v>
      </c>
      <c r="AJ233" s="56">
        <f t="shared" ca="1" si="42"/>
        <v>0.41958790343271951</v>
      </c>
      <c r="AK233" s="56">
        <f t="shared" ca="1" si="42"/>
        <v>0.33986620178050286</v>
      </c>
      <c r="AL233" s="56">
        <f t="shared" ca="1" si="42"/>
        <v>0.27529162344220726</v>
      </c>
      <c r="AM233" s="56">
        <f t="shared" ca="1" si="42"/>
        <v>0.22298621498818788</v>
      </c>
      <c r="AN233" s="56">
        <f t="shared" ca="1" si="42"/>
        <v>0.18061883414043217</v>
      </c>
      <c r="AO233" s="56">
        <f t="shared" ca="1" si="42"/>
        <v>0.14630125565375013</v>
      </c>
      <c r="AP233" s="56">
        <f t="shared" ca="1" si="42"/>
        <v>0</v>
      </c>
      <c r="AQ233" s="56">
        <f t="shared" ca="1" si="42"/>
        <v>0</v>
      </c>
      <c r="AR233" s="56">
        <f t="shared" ca="1" si="42"/>
        <v>0</v>
      </c>
      <c r="AS233" s="56">
        <f t="shared" ca="1" si="42"/>
        <v>0</v>
      </c>
      <c r="AT233" s="56">
        <f t="shared" ca="1" si="42"/>
        <v>0</v>
      </c>
      <c r="AU233" s="56">
        <f t="shared" ca="1" si="42"/>
        <v>0</v>
      </c>
      <c r="AV233" s="56">
        <f t="shared" ca="1" si="42"/>
        <v>0</v>
      </c>
      <c r="AW233" s="56">
        <f t="shared" ca="1" si="42"/>
        <v>0</v>
      </c>
      <c r="AX233" s="56">
        <f t="shared" ca="1" si="42"/>
        <v>0</v>
      </c>
    </row>
    <row r="234" spans="1:50" ht="15" customHeight="1" x14ac:dyDescent="0.25">
      <c r="A234" s="86"/>
      <c r="B234" s="235"/>
      <c r="C234" s="604"/>
      <c r="D234" s="162"/>
      <c r="E234" s="52"/>
      <c r="F234" s="151"/>
      <c r="G234" s="52"/>
      <c r="H234" s="52"/>
      <c r="I234" s="89"/>
      <c r="J234" s="56"/>
      <c r="K234" s="56"/>
      <c r="L234" s="56"/>
      <c r="M234" s="56"/>
      <c r="N234" s="56"/>
      <c r="O234" s="56"/>
      <c r="P234" s="56"/>
      <c r="Q234" s="56"/>
      <c r="R234" s="56"/>
      <c r="S234" s="56"/>
      <c r="T234" s="56"/>
      <c r="U234" s="56"/>
      <c r="V234" s="56"/>
      <c r="W234" s="56"/>
      <c r="X234" s="56"/>
      <c r="Y234" s="56"/>
      <c r="Z234" s="56"/>
      <c r="AA234" s="56"/>
      <c r="AB234" s="56"/>
      <c r="AC234" s="56"/>
      <c r="AD234" s="56"/>
      <c r="AE234" s="56"/>
      <c r="AF234" s="56"/>
      <c r="AG234" s="56"/>
      <c r="AH234" s="56"/>
      <c r="AI234" s="56"/>
      <c r="AJ234" s="56"/>
      <c r="AK234" s="56"/>
      <c r="AL234" s="56"/>
      <c r="AM234" s="56"/>
      <c r="AN234" s="56"/>
      <c r="AO234" s="56"/>
      <c r="AP234" s="56"/>
      <c r="AQ234" s="56"/>
      <c r="AR234" s="56"/>
      <c r="AS234" s="56"/>
      <c r="AT234" s="56"/>
      <c r="AU234" s="56"/>
      <c r="AV234" s="56"/>
      <c r="AW234" s="56"/>
      <c r="AX234" s="56"/>
    </row>
    <row r="235" spans="1:50" s="7" customFormat="1" ht="14.5" x14ac:dyDescent="0.25">
      <c r="A235" s="3"/>
      <c r="B235" s="282" t="str">
        <f>Translate!$E$420</f>
        <v>Tax applicable</v>
      </c>
      <c r="C235" s="50"/>
      <c r="D235" s="44"/>
      <c r="E235" s="3"/>
      <c r="F235" s="44"/>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row>
    <row r="236" spans="1:50" s="793" customFormat="1" ht="14.5" x14ac:dyDescent="0.25">
      <c r="A236" s="742"/>
      <c r="B236" s="791"/>
      <c r="C236" s="792"/>
      <c r="D236" s="742"/>
      <c r="E236" s="742" t="str">
        <f xml:space="preserve"> ProjectCashflows!E$34</f>
        <v>Model calendar years</v>
      </c>
      <c r="F236" s="742">
        <f xml:space="preserve"> ProjectCashflows!F$34</f>
        <v>0</v>
      </c>
      <c r="G236" s="742" t="str">
        <f xml:space="preserve"> ProjectCashflows!G$34</f>
        <v>Year</v>
      </c>
      <c r="H236" s="742">
        <f xml:space="preserve"> ProjectCashflows!H$34</f>
        <v>0</v>
      </c>
      <c r="I236" s="742">
        <f xml:space="preserve"> ProjectCashflows!I$34</f>
        <v>0</v>
      </c>
      <c r="J236" s="742">
        <f xml:space="preserve"> ProjectCashflows!J$34</f>
        <v>0</v>
      </c>
      <c r="K236" s="742">
        <f xml:space="preserve"> ProjectCashflows!K$34</f>
        <v>2021</v>
      </c>
      <c r="L236" s="742">
        <f xml:space="preserve"> ProjectCashflows!L$34</f>
        <v>2022</v>
      </c>
      <c r="M236" s="742">
        <f xml:space="preserve"> ProjectCashflows!M$34</f>
        <v>2023</v>
      </c>
      <c r="N236" s="742">
        <f xml:space="preserve"> ProjectCashflows!N$34</f>
        <v>2024</v>
      </c>
      <c r="O236" s="742">
        <f xml:space="preserve"> ProjectCashflows!O$34</f>
        <v>2025</v>
      </c>
      <c r="P236" s="742">
        <f xml:space="preserve"> ProjectCashflows!P$34</f>
        <v>2026</v>
      </c>
      <c r="Q236" s="742">
        <f xml:space="preserve"> ProjectCashflows!Q$34</f>
        <v>2027</v>
      </c>
      <c r="R236" s="742">
        <f xml:space="preserve"> ProjectCashflows!R$34</f>
        <v>2028</v>
      </c>
      <c r="S236" s="742">
        <f xml:space="preserve"> ProjectCashflows!S$34</f>
        <v>2029</v>
      </c>
      <c r="T236" s="742">
        <f xml:space="preserve"> ProjectCashflows!T$34</f>
        <v>2030</v>
      </c>
      <c r="U236" s="742">
        <f xml:space="preserve"> ProjectCashflows!U$34</f>
        <v>2031</v>
      </c>
      <c r="V236" s="742">
        <f xml:space="preserve"> ProjectCashflows!V$34</f>
        <v>2032</v>
      </c>
      <c r="W236" s="742">
        <f xml:space="preserve"> ProjectCashflows!W$34</f>
        <v>2033</v>
      </c>
      <c r="X236" s="742">
        <f xml:space="preserve"> ProjectCashflows!X$34</f>
        <v>2034</v>
      </c>
      <c r="Y236" s="742">
        <f xml:space="preserve"> ProjectCashflows!Y$34</f>
        <v>2035</v>
      </c>
      <c r="Z236" s="742">
        <f xml:space="preserve"> ProjectCashflows!Z$34</f>
        <v>2036</v>
      </c>
      <c r="AA236" s="742">
        <f xml:space="preserve"> ProjectCashflows!AA$34</f>
        <v>2037</v>
      </c>
      <c r="AB236" s="742">
        <f xml:space="preserve"> ProjectCashflows!AB$34</f>
        <v>2038</v>
      </c>
      <c r="AC236" s="742">
        <f xml:space="preserve"> ProjectCashflows!AC$34</f>
        <v>2039</v>
      </c>
      <c r="AD236" s="742">
        <f xml:space="preserve"> ProjectCashflows!AD$34</f>
        <v>2040</v>
      </c>
      <c r="AE236" s="742">
        <f xml:space="preserve"> ProjectCashflows!AE$34</f>
        <v>2041</v>
      </c>
      <c r="AF236" s="742">
        <f xml:space="preserve"> ProjectCashflows!AF$34</f>
        <v>2042</v>
      </c>
      <c r="AG236" s="742">
        <f xml:space="preserve"> ProjectCashflows!AG$34</f>
        <v>2043</v>
      </c>
      <c r="AH236" s="742">
        <f xml:space="preserve"> ProjectCashflows!AH$34</f>
        <v>2044</v>
      </c>
      <c r="AI236" s="742">
        <f xml:space="preserve"> ProjectCashflows!AI$34</f>
        <v>2045</v>
      </c>
      <c r="AJ236" s="742">
        <f xml:space="preserve"> ProjectCashflows!AJ$34</f>
        <v>2046</v>
      </c>
      <c r="AK236" s="742">
        <f xml:space="preserve"> ProjectCashflows!AK$34</f>
        <v>2047</v>
      </c>
      <c r="AL236" s="742">
        <f xml:space="preserve"> ProjectCashflows!AL$34</f>
        <v>2048</v>
      </c>
      <c r="AM236" s="742">
        <f xml:space="preserve"> ProjectCashflows!AM$34</f>
        <v>2049</v>
      </c>
      <c r="AN236" s="742">
        <f xml:space="preserve"> ProjectCashflows!AN$34</f>
        <v>2050</v>
      </c>
      <c r="AO236" s="742">
        <f xml:space="preserve"> ProjectCashflows!AO$34</f>
        <v>2051</v>
      </c>
      <c r="AP236" s="742">
        <f xml:space="preserve"> ProjectCashflows!AP$34</f>
        <v>2052</v>
      </c>
      <c r="AQ236" s="742">
        <f xml:space="preserve"> ProjectCashflows!AQ$34</f>
        <v>2053</v>
      </c>
      <c r="AR236" s="742">
        <f xml:space="preserve"> ProjectCashflows!AR$34</f>
        <v>2054</v>
      </c>
      <c r="AS236" s="742">
        <f xml:space="preserve"> ProjectCashflows!AS$34</f>
        <v>2055</v>
      </c>
      <c r="AT236" s="742">
        <f xml:space="preserve"> ProjectCashflows!AT$34</f>
        <v>2056</v>
      </c>
      <c r="AU236" s="742">
        <f xml:space="preserve"> ProjectCashflows!AU$34</f>
        <v>2057</v>
      </c>
      <c r="AV236" s="742">
        <f xml:space="preserve"> ProjectCashflows!AV$34</f>
        <v>2058</v>
      </c>
      <c r="AW236" s="742">
        <f xml:space="preserve"> ProjectCashflows!AW$34</f>
        <v>2059</v>
      </c>
      <c r="AX236" s="742">
        <f xml:space="preserve"> ProjectCashflows!AX$34</f>
        <v>2060</v>
      </c>
    </row>
    <row r="237" spans="1:50" s="774" customFormat="1" ht="14.5" x14ac:dyDescent="0.25">
      <c r="A237" s="741"/>
      <c r="B237" s="739"/>
      <c r="C237" s="740"/>
      <c r="D237" s="741"/>
      <c r="E237" s="794" t="str">
        <f xml:space="preserve"> E$28</f>
        <v>Start year of carbon tax (0=from beginning)</v>
      </c>
      <c r="F237" s="794">
        <f xml:space="preserve"> F$28</f>
        <v>0</v>
      </c>
      <c r="G237" s="794" t="str">
        <f xml:space="preserve"> G$28</f>
        <v>Calendar year</v>
      </c>
      <c r="H237" s="741"/>
      <c r="I237" s="741"/>
      <c r="J237" s="741"/>
      <c r="K237" s="741"/>
      <c r="L237" s="741"/>
      <c r="M237" s="741"/>
      <c r="N237" s="741"/>
      <c r="O237" s="741"/>
      <c r="P237" s="741"/>
      <c r="Q237" s="741"/>
      <c r="R237" s="741"/>
      <c r="S237" s="741"/>
      <c r="T237" s="741"/>
      <c r="U237" s="741"/>
      <c r="V237" s="741"/>
      <c r="W237" s="741"/>
      <c r="X237" s="741"/>
      <c r="Y237" s="741"/>
      <c r="Z237" s="741"/>
      <c r="AA237" s="741"/>
      <c r="AB237" s="741"/>
      <c r="AC237" s="741"/>
      <c r="AD237" s="741"/>
      <c r="AE237" s="741"/>
      <c r="AF237" s="741"/>
      <c r="AG237" s="741"/>
      <c r="AH237" s="741"/>
      <c r="AI237" s="741"/>
      <c r="AJ237" s="741"/>
      <c r="AK237" s="741"/>
      <c r="AL237" s="741"/>
      <c r="AM237" s="741"/>
      <c r="AN237" s="741"/>
      <c r="AO237" s="741"/>
      <c r="AP237" s="741"/>
      <c r="AQ237" s="741"/>
      <c r="AR237" s="741"/>
      <c r="AS237" s="741"/>
      <c r="AT237" s="741"/>
      <c r="AU237" s="741"/>
      <c r="AV237" s="741"/>
      <c r="AW237" s="741"/>
      <c r="AX237" s="741"/>
    </row>
    <row r="238" spans="1:50" s="798" customFormat="1" ht="14.5" x14ac:dyDescent="0.25">
      <c r="A238" s="745"/>
      <c r="B238" s="795"/>
      <c r="C238" s="796"/>
      <c r="D238" s="745"/>
      <c r="E238" s="745" t="str">
        <f>E237 &amp; " " &amp; Translate!E532</f>
        <v>Start year of carbon tax (0=from beginning) adjusted</v>
      </c>
      <c r="F238" s="797">
        <f xml:space="preserve"> IF( F237 = 0, K236, F237)</f>
        <v>2021</v>
      </c>
      <c r="G238" s="745" t="str">
        <f>G237</f>
        <v>Calendar year</v>
      </c>
      <c r="H238" s="745"/>
      <c r="I238" s="745"/>
      <c r="J238" s="745"/>
      <c r="K238" s="745"/>
      <c r="L238" s="745"/>
      <c r="M238" s="745"/>
      <c r="N238" s="745"/>
      <c r="O238" s="745"/>
      <c r="P238" s="745"/>
      <c r="Q238" s="745"/>
      <c r="R238" s="745"/>
      <c r="S238" s="745"/>
      <c r="T238" s="745"/>
      <c r="U238" s="745"/>
      <c r="V238" s="745"/>
      <c r="W238" s="745"/>
      <c r="X238" s="745"/>
      <c r="Y238" s="745"/>
      <c r="Z238" s="745"/>
      <c r="AA238" s="745"/>
      <c r="AB238" s="745"/>
      <c r="AC238" s="745"/>
      <c r="AD238" s="745"/>
      <c r="AE238" s="745"/>
      <c r="AF238" s="745"/>
      <c r="AG238" s="745"/>
      <c r="AH238" s="745"/>
      <c r="AI238" s="745"/>
      <c r="AJ238" s="745"/>
      <c r="AK238" s="745"/>
      <c r="AL238" s="745"/>
      <c r="AM238" s="745"/>
      <c r="AN238" s="745"/>
      <c r="AO238" s="745"/>
      <c r="AP238" s="745"/>
      <c r="AQ238" s="745"/>
      <c r="AR238" s="745"/>
      <c r="AS238" s="745"/>
      <c r="AT238" s="745"/>
      <c r="AU238" s="745"/>
      <c r="AV238" s="745"/>
      <c r="AW238" s="745"/>
      <c r="AX238" s="745"/>
    </row>
    <row r="239" spans="1:50" s="55" customFormat="1" ht="14.5" x14ac:dyDescent="0.25">
      <c r="A239" s="48"/>
      <c r="B239" s="145"/>
      <c r="C239" s="146"/>
      <c r="D239" s="147"/>
      <c r="E239" s="48" t="str">
        <f xml:space="preserve"> Translate!E$243</f>
        <v>Carbon tax rate applicable</v>
      </c>
      <c r="F239" s="147"/>
      <c r="G239" s="48" t="str">
        <f>Translate!$E$405</f>
        <v>Flag</v>
      </c>
      <c r="H239" s="48"/>
      <c r="I239" s="48">
        <f xml:space="preserve"> SUM(K239:AX239)</f>
        <v>40</v>
      </c>
      <c r="J239" s="48"/>
      <c r="K239" s="48">
        <f xml:space="preserve"> (K236 &gt;= $F238) * 1</f>
        <v>1</v>
      </c>
      <c r="L239" s="48">
        <f t="shared" ref="L239:AX239" si="43" xml:space="preserve"> (L236 &gt;= $F238) * 1</f>
        <v>1</v>
      </c>
      <c r="M239" s="48">
        <f t="shared" si="43"/>
        <v>1</v>
      </c>
      <c r="N239" s="48">
        <f t="shared" si="43"/>
        <v>1</v>
      </c>
      <c r="O239" s="48">
        <f t="shared" si="43"/>
        <v>1</v>
      </c>
      <c r="P239" s="48">
        <f t="shared" si="43"/>
        <v>1</v>
      </c>
      <c r="Q239" s="48">
        <f t="shared" si="43"/>
        <v>1</v>
      </c>
      <c r="R239" s="48">
        <f t="shared" si="43"/>
        <v>1</v>
      </c>
      <c r="S239" s="48">
        <f t="shared" si="43"/>
        <v>1</v>
      </c>
      <c r="T239" s="48">
        <f t="shared" si="43"/>
        <v>1</v>
      </c>
      <c r="U239" s="48">
        <f t="shared" si="43"/>
        <v>1</v>
      </c>
      <c r="V239" s="48">
        <f t="shared" si="43"/>
        <v>1</v>
      </c>
      <c r="W239" s="48">
        <f t="shared" si="43"/>
        <v>1</v>
      </c>
      <c r="X239" s="48">
        <f t="shared" si="43"/>
        <v>1</v>
      </c>
      <c r="Y239" s="48">
        <f t="shared" si="43"/>
        <v>1</v>
      </c>
      <c r="Z239" s="48">
        <f t="shared" si="43"/>
        <v>1</v>
      </c>
      <c r="AA239" s="48">
        <f t="shared" si="43"/>
        <v>1</v>
      </c>
      <c r="AB239" s="48">
        <f t="shared" si="43"/>
        <v>1</v>
      </c>
      <c r="AC239" s="48">
        <f t="shared" si="43"/>
        <v>1</v>
      </c>
      <c r="AD239" s="48">
        <f t="shared" si="43"/>
        <v>1</v>
      </c>
      <c r="AE239" s="48">
        <f t="shared" si="43"/>
        <v>1</v>
      </c>
      <c r="AF239" s="48">
        <f t="shared" si="43"/>
        <v>1</v>
      </c>
      <c r="AG239" s="48">
        <f t="shared" si="43"/>
        <v>1</v>
      </c>
      <c r="AH239" s="48">
        <f t="shared" si="43"/>
        <v>1</v>
      </c>
      <c r="AI239" s="48">
        <f t="shared" si="43"/>
        <v>1</v>
      </c>
      <c r="AJ239" s="48">
        <f t="shared" si="43"/>
        <v>1</v>
      </c>
      <c r="AK239" s="48">
        <f t="shared" si="43"/>
        <v>1</v>
      </c>
      <c r="AL239" s="48">
        <f t="shared" si="43"/>
        <v>1</v>
      </c>
      <c r="AM239" s="48">
        <f t="shared" si="43"/>
        <v>1</v>
      </c>
      <c r="AN239" s="48">
        <f t="shared" si="43"/>
        <v>1</v>
      </c>
      <c r="AO239" s="48">
        <f t="shared" si="43"/>
        <v>1</v>
      </c>
      <c r="AP239" s="48">
        <f t="shared" si="43"/>
        <v>1</v>
      </c>
      <c r="AQ239" s="48">
        <f t="shared" si="43"/>
        <v>1</v>
      </c>
      <c r="AR239" s="48">
        <f t="shared" si="43"/>
        <v>1</v>
      </c>
      <c r="AS239" s="48">
        <f t="shared" si="43"/>
        <v>1</v>
      </c>
      <c r="AT239" s="48">
        <f t="shared" si="43"/>
        <v>1</v>
      </c>
      <c r="AU239" s="48">
        <f t="shared" si="43"/>
        <v>1</v>
      </c>
      <c r="AV239" s="48">
        <f t="shared" si="43"/>
        <v>1</v>
      </c>
      <c r="AW239" s="48">
        <f t="shared" si="43"/>
        <v>1</v>
      </c>
      <c r="AX239" s="48">
        <f t="shared" si="43"/>
        <v>1</v>
      </c>
    </row>
    <row r="240" spans="1:50" s="7" customFormat="1" ht="14.5" x14ac:dyDescent="0.25">
      <c r="A240" s="3"/>
      <c r="B240" s="282"/>
      <c r="C240" s="50"/>
      <c r="D240" s="44"/>
      <c r="E240" s="3" t="str">
        <f xml:space="preserve"> Translate!E$244</f>
        <v>Year of carbon tax</v>
      </c>
      <c r="F240" s="44"/>
      <c r="G240" s="3" t="str">
        <f>Translate!$E$405</f>
        <v>Flag</v>
      </c>
      <c r="H240" s="3"/>
      <c r="I240" s="3"/>
      <c r="J240" s="542"/>
      <c r="K240" s="3">
        <f xml:space="preserve"> K236 - $F238 + 1</f>
        <v>1</v>
      </c>
      <c r="L240" s="3">
        <f t="shared" ref="L240:AX240" si="44" xml:space="preserve"> L236 - $F238 + 1</f>
        <v>2</v>
      </c>
      <c r="M240" s="3">
        <f t="shared" si="44"/>
        <v>3</v>
      </c>
      <c r="N240" s="3">
        <f t="shared" si="44"/>
        <v>4</v>
      </c>
      <c r="O240" s="3">
        <f t="shared" si="44"/>
        <v>5</v>
      </c>
      <c r="P240" s="3">
        <f t="shared" si="44"/>
        <v>6</v>
      </c>
      <c r="Q240" s="3">
        <f t="shared" si="44"/>
        <v>7</v>
      </c>
      <c r="R240" s="3">
        <f t="shared" si="44"/>
        <v>8</v>
      </c>
      <c r="S240" s="3">
        <f t="shared" si="44"/>
        <v>9</v>
      </c>
      <c r="T240" s="3">
        <f t="shared" si="44"/>
        <v>10</v>
      </c>
      <c r="U240" s="3">
        <f t="shared" si="44"/>
        <v>11</v>
      </c>
      <c r="V240" s="3">
        <f t="shared" si="44"/>
        <v>12</v>
      </c>
      <c r="W240" s="3">
        <f t="shared" si="44"/>
        <v>13</v>
      </c>
      <c r="X240" s="3">
        <f t="shared" si="44"/>
        <v>14</v>
      </c>
      <c r="Y240" s="3">
        <f t="shared" si="44"/>
        <v>15</v>
      </c>
      <c r="Z240" s="3">
        <f t="shared" si="44"/>
        <v>16</v>
      </c>
      <c r="AA240" s="3">
        <f t="shared" si="44"/>
        <v>17</v>
      </c>
      <c r="AB240" s="3">
        <f t="shared" si="44"/>
        <v>18</v>
      </c>
      <c r="AC240" s="3">
        <f t="shared" si="44"/>
        <v>19</v>
      </c>
      <c r="AD240" s="3">
        <f t="shared" si="44"/>
        <v>20</v>
      </c>
      <c r="AE240" s="3">
        <f t="shared" si="44"/>
        <v>21</v>
      </c>
      <c r="AF240" s="3">
        <f t="shared" si="44"/>
        <v>22</v>
      </c>
      <c r="AG240" s="3">
        <f t="shared" si="44"/>
        <v>23</v>
      </c>
      <c r="AH240" s="3">
        <f t="shared" si="44"/>
        <v>24</v>
      </c>
      <c r="AI240" s="3">
        <f t="shared" si="44"/>
        <v>25</v>
      </c>
      <c r="AJ240" s="3">
        <f t="shared" si="44"/>
        <v>26</v>
      </c>
      <c r="AK240" s="3">
        <f t="shared" si="44"/>
        <v>27</v>
      </c>
      <c r="AL240" s="3">
        <f t="shared" si="44"/>
        <v>28</v>
      </c>
      <c r="AM240" s="3">
        <f t="shared" si="44"/>
        <v>29</v>
      </c>
      <c r="AN240" s="3">
        <f t="shared" si="44"/>
        <v>30</v>
      </c>
      <c r="AO240" s="3">
        <f t="shared" si="44"/>
        <v>31</v>
      </c>
      <c r="AP240" s="3">
        <f t="shared" si="44"/>
        <v>32</v>
      </c>
      <c r="AQ240" s="3">
        <f t="shared" si="44"/>
        <v>33</v>
      </c>
      <c r="AR240" s="3">
        <f t="shared" si="44"/>
        <v>34</v>
      </c>
      <c r="AS240" s="3">
        <f t="shared" si="44"/>
        <v>35</v>
      </c>
      <c r="AT240" s="3">
        <f t="shared" si="44"/>
        <v>36</v>
      </c>
      <c r="AU240" s="3">
        <f t="shared" si="44"/>
        <v>37</v>
      </c>
      <c r="AV240" s="3">
        <f t="shared" si="44"/>
        <v>38</v>
      </c>
      <c r="AW240" s="3">
        <f t="shared" si="44"/>
        <v>39</v>
      </c>
      <c r="AX240" s="3">
        <f t="shared" si="44"/>
        <v>40</v>
      </c>
    </row>
    <row r="241" spans="1:50" s="7" customFormat="1" ht="14.5" x14ac:dyDescent="0.25">
      <c r="A241" s="3"/>
      <c r="B241" s="282"/>
      <c r="C241" s="50"/>
      <c r="D241" s="44"/>
      <c r="E241" s="3"/>
      <c r="F241" s="44"/>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row>
    <row r="242" spans="1:50" s="7" customFormat="1" ht="14.5" x14ac:dyDescent="0.25">
      <c r="A242" s="3"/>
      <c r="B242" s="282" t="str">
        <f>Translate!$E$421</f>
        <v>Tax inflation index</v>
      </c>
      <c r="C242" s="50"/>
      <c r="D242" s="44"/>
      <c r="E242" s="3"/>
      <c r="F242" s="44"/>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row>
    <row r="243" spans="1:50" s="774" customFormat="1" ht="14.5" x14ac:dyDescent="0.25">
      <c r="A243" s="741"/>
      <c r="B243" s="739"/>
      <c r="C243" s="740"/>
      <c r="D243" s="741"/>
      <c r="E243" s="794" t="str">
        <f xml:space="preserve"> E$29</f>
        <v>Carbon tax in real or nominal terms</v>
      </c>
      <c r="F243" s="826" t="str">
        <f xml:space="preserve"> F$29</f>
        <v>nominal</v>
      </c>
      <c r="G243" s="794" t="str">
        <f xml:space="preserve"> G$29</f>
        <v>Option</v>
      </c>
      <c r="H243" s="794" t="str">
        <f xml:space="preserve"> H$29</f>
        <v>Real, Nominal; assumed nominal if empty</v>
      </c>
      <c r="I243" s="741"/>
      <c r="J243" s="741"/>
      <c r="K243" s="741"/>
      <c r="L243" s="741"/>
      <c r="M243" s="741"/>
      <c r="N243" s="741"/>
      <c r="O243" s="741"/>
      <c r="P243" s="741"/>
      <c r="Q243" s="741"/>
      <c r="R243" s="741"/>
      <c r="S243" s="741"/>
      <c r="T243" s="741"/>
      <c r="U243" s="741"/>
      <c r="V243" s="741"/>
      <c r="W243" s="741"/>
      <c r="X243" s="741"/>
      <c r="Y243" s="741"/>
      <c r="Z243" s="741"/>
      <c r="AA243" s="741"/>
      <c r="AB243" s="741"/>
      <c r="AC243" s="741"/>
      <c r="AD243" s="741"/>
      <c r="AE243" s="741"/>
      <c r="AF243" s="741"/>
      <c r="AG243" s="741"/>
      <c r="AH243" s="741"/>
      <c r="AI243" s="741"/>
      <c r="AJ243" s="741"/>
      <c r="AK243" s="741"/>
      <c r="AL243" s="741"/>
      <c r="AM243" s="741"/>
      <c r="AN243" s="741"/>
      <c r="AO243" s="741"/>
      <c r="AP243" s="741"/>
      <c r="AQ243" s="741"/>
      <c r="AR243" s="741"/>
      <c r="AS243" s="741"/>
      <c r="AT243" s="741"/>
      <c r="AU243" s="741"/>
      <c r="AV243" s="741"/>
      <c r="AW243" s="741"/>
      <c r="AX243" s="741"/>
    </row>
    <row r="244" spans="1:50" s="7" customFormat="1" ht="14.5" x14ac:dyDescent="0.25">
      <c r="A244" s="3"/>
      <c r="B244" s="282"/>
      <c r="C244" s="50"/>
      <c r="D244" s="44"/>
      <c r="E244" s="3" t="str">
        <f xml:space="preserve"> Translate!E$245</f>
        <v>Carbon tax - inflation option 1</v>
      </c>
      <c r="F244" s="799" t="str">
        <f xml:space="preserve"> Inputs!F$92</f>
        <v>nominal</v>
      </c>
      <c r="G244" s="3" t="str">
        <f xml:space="preserve"> Translate!E$103</f>
        <v>Option</v>
      </c>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row>
    <row r="245" spans="1:50" s="7" customFormat="1" ht="14.5" x14ac:dyDescent="0.25">
      <c r="A245" s="3"/>
      <c r="B245" s="282"/>
      <c r="C245" s="50"/>
      <c r="D245" s="44"/>
      <c r="E245" s="3" t="str">
        <f xml:space="preserve"> Translate!E$246</f>
        <v>Carbon tax - inflation option 2</v>
      </c>
      <c r="F245" s="799" t="str">
        <f xml:space="preserve"> Inputs!F$91</f>
        <v>real</v>
      </c>
      <c r="G245" s="3" t="str">
        <f xml:space="preserve"> Translate!E$103</f>
        <v>Option</v>
      </c>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row>
    <row r="246" spans="1:50" s="7" customFormat="1" ht="14.5" x14ac:dyDescent="0.25">
      <c r="A246" s="3"/>
      <c r="B246" s="282"/>
      <c r="C246" s="50"/>
      <c r="D246" s="44"/>
      <c r="E246" s="3"/>
      <c r="F246" s="44"/>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row>
    <row r="247" spans="1:50" s="793" customFormat="1" ht="14.5" x14ac:dyDescent="0.25">
      <c r="A247" s="742"/>
      <c r="B247" s="791"/>
      <c r="C247" s="792"/>
      <c r="D247" s="742"/>
      <c r="E247" s="742" t="str">
        <f xml:space="preserve"> ProjectCashflows!E$34</f>
        <v>Model calendar years</v>
      </c>
      <c r="F247" s="742">
        <f xml:space="preserve"> ProjectCashflows!F$34</f>
        <v>0</v>
      </c>
      <c r="G247" s="742" t="str">
        <f xml:space="preserve"> ProjectCashflows!G$34</f>
        <v>Year</v>
      </c>
      <c r="H247" s="742">
        <f xml:space="preserve"> ProjectCashflows!H$34</f>
        <v>0</v>
      </c>
      <c r="I247" s="742">
        <f xml:space="preserve"> ProjectCashflows!I$34</f>
        <v>0</v>
      </c>
      <c r="J247" s="742">
        <f xml:space="preserve"> ProjectCashflows!J$34</f>
        <v>0</v>
      </c>
      <c r="K247" s="742">
        <f xml:space="preserve"> ProjectCashflows!K$34</f>
        <v>2021</v>
      </c>
      <c r="L247" s="742">
        <f xml:space="preserve"> ProjectCashflows!L$34</f>
        <v>2022</v>
      </c>
      <c r="M247" s="742">
        <f xml:space="preserve"> ProjectCashflows!M$34</f>
        <v>2023</v>
      </c>
      <c r="N247" s="742">
        <f xml:space="preserve"> ProjectCashflows!N$34</f>
        <v>2024</v>
      </c>
      <c r="O247" s="742">
        <f xml:space="preserve"> ProjectCashflows!O$34</f>
        <v>2025</v>
      </c>
      <c r="P247" s="742">
        <f xml:space="preserve"> ProjectCashflows!P$34</f>
        <v>2026</v>
      </c>
      <c r="Q247" s="742">
        <f xml:space="preserve"> ProjectCashflows!Q$34</f>
        <v>2027</v>
      </c>
      <c r="R247" s="742">
        <f xml:space="preserve"> ProjectCashflows!R$34</f>
        <v>2028</v>
      </c>
      <c r="S247" s="742">
        <f xml:space="preserve"> ProjectCashflows!S$34</f>
        <v>2029</v>
      </c>
      <c r="T247" s="742">
        <f xml:space="preserve"> ProjectCashflows!T$34</f>
        <v>2030</v>
      </c>
      <c r="U247" s="742">
        <f xml:space="preserve"> ProjectCashflows!U$34</f>
        <v>2031</v>
      </c>
      <c r="V247" s="742">
        <f xml:space="preserve"> ProjectCashflows!V$34</f>
        <v>2032</v>
      </c>
      <c r="W247" s="742">
        <f xml:space="preserve"> ProjectCashflows!W$34</f>
        <v>2033</v>
      </c>
      <c r="X247" s="742">
        <f xml:space="preserve"> ProjectCashflows!X$34</f>
        <v>2034</v>
      </c>
      <c r="Y247" s="742">
        <f xml:space="preserve"> ProjectCashflows!Y$34</f>
        <v>2035</v>
      </c>
      <c r="Z247" s="742">
        <f xml:space="preserve"> ProjectCashflows!Z$34</f>
        <v>2036</v>
      </c>
      <c r="AA247" s="742">
        <f xml:space="preserve"> ProjectCashflows!AA$34</f>
        <v>2037</v>
      </c>
      <c r="AB247" s="742">
        <f xml:space="preserve"> ProjectCashflows!AB$34</f>
        <v>2038</v>
      </c>
      <c r="AC247" s="742">
        <f xml:space="preserve"> ProjectCashflows!AC$34</f>
        <v>2039</v>
      </c>
      <c r="AD247" s="742">
        <f xml:space="preserve"> ProjectCashflows!AD$34</f>
        <v>2040</v>
      </c>
      <c r="AE247" s="742">
        <f xml:space="preserve"> ProjectCashflows!AE$34</f>
        <v>2041</v>
      </c>
      <c r="AF247" s="742">
        <f xml:space="preserve"> ProjectCashflows!AF$34</f>
        <v>2042</v>
      </c>
      <c r="AG247" s="742">
        <f xml:space="preserve"> ProjectCashflows!AG$34</f>
        <v>2043</v>
      </c>
      <c r="AH247" s="742">
        <f xml:space="preserve"> ProjectCashflows!AH$34</f>
        <v>2044</v>
      </c>
      <c r="AI247" s="742">
        <f xml:space="preserve"> ProjectCashflows!AI$34</f>
        <v>2045</v>
      </c>
      <c r="AJ247" s="742">
        <f xml:space="preserve"> ProjectCashflows!AJ$34</f>
        <v>2046</v>
      </c>
      <c r="AK247" s="742">
        <f xml:space="preserve"> ProjectCashflows!AK$34</f>
        <v>2047</v>
      </c>
      <c r="AL247" s="742">
        <f xml:space="preserve"> ProjectCashflows!AL$34</f>
        <v>2048</v>
      </c>
      <c r="AM247" s="742">
        <f xml:space="preserve"> ProjectCashflows!AM$34</f>
        <v>2049</v>
      </c>
      <c r="AN247" s="742">
        <f xml:space="preserve"> ProjectCashflows!AN$34</f>
        <v>2050</v>
      </c>
      <c r="AO247" s="742">
        <f xml:space="preserve"> ProjectCashflows!AO$34</f>
        <v>2051</v>
      </c>
      <c r="AP247" s="742">
        <f xml:space="preserve"> ProjectCashflows!AP$34</f>
        <v>2052</v>
      </c>
      <c r="AQ247" s="742">
        <f xml:space="preserve"> ProjectCashflows!AQ$34</f>
        <v>2053</v>
      </c>
      <c r="AR247" s="742">
        <f xml:space="preserve"> ProjectCashflows!AR$34</f>
        <v>2054</v>
      </c>
      <c r="AS247" s="742">
        <f xml:space="preserve"> ProjectCashflows!AS$34</f>
        <v>2055</v>
      </c>
      <c r="AT247" s="742">
        <f xml:space="preserve"> ProjectCashflows!AT$34</f>
        <v>2056</v>
      </c>
      <c r="AU247" s="742">
        <f xml:space="preserve"> ProjectCashflows!AU$34</f>
        <v>2057</v>
      </c>
      <c r="AV247" s="742">
        <f xml:space="preserve"> ProjectCashflows!AV$34</f>
        <v>2058</v>
      </c>
      <c r="AW247" s="742">
        <f xml:space="preserve"> ProjectCashflows!AW$34</f>
        <v>2059</v>
      </c>
      <c r="AX247" s="742">
        <f xml:space="preserve"> ProjectCashflows!AX$34</f>
        <v>2060</v>
      </c>
    </row>
    <row r="248" spans="1:50" s="803" customFormat="1" ht="14.5" x14ac:dyDescent="0.25">
      <c r="A248" s="800"/>
      <c r="B248" s="801"/>
      <c r="C248" s="802"/>
      <c r="D248" s="800"/>
      <c r="E248" s="800" t="str">
        <f xml:space="preserve"> ProjectCashflows!E$200</f>
        <v>Inflation index</v>
      </c>
      <c r="F248" s="800">
        <f xml:space="preserve"> ProjectCashflows!F$200</f>
        <v>0</v>
      </c>
      <c r="G248" s="800" t="str">
        <f xml:space="preserve"> ProjectCashflows!G$200</f>
        <v>Index</v>
      </c>
      <c r="H248" s="800" t="str">
        <f xml:space="preserve"> ProjectCashflows!H$200</f>
        <v>base year is first project year</v>
      </c>
      <c r="I248" s="800">
        <f xml:space="preserve"> ProjectCashflows!I$200</f>
        <v>0</v>
      </c>
      <c r="J248" s="800">
        <f xml:space="preserve"> ProjectCashflows!J$200</f>
        <v>0</v>
      </c>
      <c r="K248" s="800">
        <f ca="1" xml:space="preserve"> ProjectCashflows!K$200</f>
        <v>1</v>
      </c>
      <c r="L248" s="800">
        <f ca="1" xml:space="preserve"> ProjectCashflows!L$200</f>
        <v>1.02</v>
      </c>
      <c r="M248" s="800">
        <f ca="1" xml:space="preserve"> ProjectCashflows!M$200</f>
        <v>1.0404</v>
      </c>
      <c r="N248" s="800">
        <f ca="1" xml:space="preserve"> ProjectCashflows!N$200</f>
        <v>1.0612079999999999</v>
      </c>
      <c r="O248" s="800">
        <f ca="1" xml:space="preserve"> ProjectCashflows!O$200</f>
        <v>1.08243216</v>
      </c>
      <c r="P248" s="800">
        <f ca="1" xml:space="preserve"> ProjectCashflows!P$200</f>
        <v>1.1040808032</v>
      </c>
      <c r="Q248" s="800">
        <f ca="1" xml:space="preserve"> ProjectCashflows!Q$200</f>
        <v>1.1261624192640001</v>
      </c>
      <c r="R248" s="800">
        <f ca="1" xml:space="preserve"> ProjectCashflows!R$200</f>
        <v>1.14868566764928</v>
      </c>
      <c r="S248" s="800">
        <f ca="1" xml:space="preserve"> ProjectCashflows!S$200</f>
        <v>1.1716593810022657</v>
      </c>
      <c r="T248" s="800">
        <f ca="1" xml:space="preserve"> ProjectCashflows!T$200</f>
        <v>1.1950925686223111</v>
      </c>
      <c r="U248" s="800">
        <f ca="1" xml:space="preserve"> ProjectCashflows!U$200</f>
        <v>1.2189944199947573</v>
      </c>
      <c r="V248" s="800">
        <f ca="1" xml:space="preserve"> ProjectCashflows!V$200</f>
        <v>1.2433743083946525</v>
      </c>
      <c r="W248" s="800">
        <f ca="1" xml:space="preserve"> ProjectCashflows!W$200</f>
        <v>1.2682417945625455</v>
      </c>
      <c r="X248" s="800">
        <f ca="1" xml:space="preserve"> ProjectCashflows!X$200</f>
        <v>1.2936066304537963</v>
      </c>
      <c r="Y248" s="800">
        <f ca="1" xml:space="preserve"> ProjectCashflows!Y$200</f>
        <v>1.3194787630628724</v>
      </c>
      <c r="Z248" s="800">
        <f ca="1" xml:space="preserve"> ProjectCashflows!Z$200</f>
        <v>1.3458683383241299</v>
      </c>
      <c r="AA248" s="800">
        <f ca="1" xml:space="preserve"> ProjectCashflows!AA$200</f>
        <v>1.3727857050906125</v>
      </c>
      <c r="AB248" s="800">
        <f ca="1" xml:space="preserve"> ProjectCashflows!AB$200</f>
        <v>1.4002414191924248</v>
      </c>
      <c r="AC248" s="800">
        <f ca="1" xml:space="preserve"> ProjectCashflows!AC$200</f>
        <v>1.4282462475762734</v>
      </c>
      <c r="AD248" s="800">
        <f ca="1" xml:space="preserve"> ProjectCashflows!AD$200</f>
        <v>1.4568111725277988</v>
      </c>
      <c r="AE248" s="800">
        <f ca="1" xml:space="preserve"> ProjectCashflows!AE$200</f>
        <v>1.4859473959783549</v>
      </c>
      <c r="AF248" s="800">
        <f ca="1" xml:space="preserve"> ProjectCashflows!AF$200</f>
        <v>1.5156663438979221</v>
      </c>
      <c r="AG248" s="800">
        <f ca="1" xml:space="preserve"> ProjectCashflows!AG$200</f>
        <v>1.5459796707758806</v>
      </c>
      <c r="AH248" s="800">
        <f ca="1" xml:space="preserve"> ProjectCashflows!AH$200</f>
        <v>1.5768992641913981</v>
      </c>
      <c r="AI248" s="800">
        <f ca="1" xml:space="preserve"> ProjectCashflows!AI$200</f>
        <v>1.6084372494752261</v>
      </c>
      <c r="AJ248" s="800">
        <f ca="1" xml:space="preserve"> ProjectCashflows!AJ$200</f>
        <v>1.6406059944647307</v>
      </c>
      <c r="AK248" s="800">
        <f ca="1" xml:space="preserve"> ProjectCashflows!AK$200</f>
        <v>1.6734181143540252</v>
      </c>
      <c r="AL248" s="800">
        <f ca="1" xml:space="preserve"> ProjectCashflows!AL$200</f>
        <v>1.7068864766411058</v>
      </c>
      <c r="AM248" s="800">
        <f ca="1" xml:space="preserve"> ProjectCashflows!AM$200</f>
        <v>1.7410242061739281</v>
      </c>
      <c r="AN248" s="800">
        <f ca="1" xml:space="preserve"> ProjectCashflows!AN$200</f>
        <v>1.7758446902974065</v>
      </c>
      <c r="AO248" s="800">
        <f ca="1" xml:space="preserve"> ProjectCashflows!AO$200</f>
        <v>1.8113615841033548</v>
      </c>
      <c r="AP248" s="800">
        <f ca="1" xml:space="preserve"> ProjectCashflows!AP$200</f>
        <v>1.8475888157854219</v>
      </c>
      <c r="AQ248" s="800">
        <f ca="1" xml:space="preserve"> ProjectCashflows!AQ$200</f>
        <v>1.8845405921011305</v>
      </c>
      <c r="AR248" s="800">
        <f ca="1" xml:space="preserve"> ProjectCashflows!AR$200</f>
        <v>1</v>
      </c>
      <c r="AS248" s="800">
        <f ca="1" xml:space="preserve"> ProjectCashflows!AS$200</f>
        <v>1</v>
      </c>
      <c r="AT248" s="800">
        <f ca="1" xml:space="preserve"> ProjectCashflows!AT$200</f>
        <v>1</v>
      </c>
      <c r="AU248" s="800">
        <f ca="1" xml:space="preserve"> ProjectCashflows!AU$200</f>
        <v>1</v>
      </c>
      <c r="AV248" s="800">
        <f ca="1" xml:space="preserve"> ProjectCashflows!AV$200</f>
        <v>1</v>
      </c>
      <c r="AW248" s="800">
        <f ca="1" xml:space="preserve"> ProjectCashflows!AW$200</f>
        <v>1</v>
      </c>
      <c r="AX248" s="800">
        <f ca="1" xml:space="preserve"> ProjectCashflows!AX$200</f>
        <v>1</v>
      </c>
    </row>
    <row r="249" spans="1:50" s="803" customFormat="1" ht="14.5" x14ac:dyDescent="0.25">
      <c r="A249" s="800"/>
      <c r="B249" s="801"/>
      <c r="C249" s="802"/>
      <c r="D249" s="800"/>
      <c r="E249" s="800"/>
      <c r="F249" s="804"/>
      <c r="G249" s="800"/>
      <c r="H249" s="800"/>
      <c r="I249" s="800"/>
      <c r="J249" s="800"/>
      <c r="K249" s="800"/>
      <c r="L249" s="800"/>
      <c r="M249" s="800"/>
      <c r="N249" s="800"/>
      <c r="O249" s="800"/>
      <c r="P249" s="800"/>
      <c r="Q249" s="800"/>
      <c r="R249" s="800"/>
      <c r="S249" s="800"/>
      <c r="T249" s="800"/>
      <c r="U249" s="800"/>
      <c r="V249" s="800"/>
      <c r="W249" s="800"/>
      <c r="X249" s="800"/>
      <c r="Y249" s="800"/>
      <c r="Z249" s="800"/>
      <c r="AA249" s="800"/>
      <c r="AB249" s="800"/>
      <c r="AC249" s="800"/>
      <c r="AD249" s="800"/>
      <c r="AE249" s="800"/>
      <c r="AF249" s="800"/>
      <c r="AG249" s="800"/>
      <c r="AH249" s="800"/>
      <c r="AI249" s="800"/>
      <c r="AJ249" s="800"/>
      <c r="AK249" s="800"/>
      <c r="AL249" s="800"/>
      <c r="AM249" s="800"/>
      <c r="AN249" s="800"/>
      <c r="AO249" s="800"/>
      <c r="AP249" s="800"/>
      <c r="AQ249" s="800"/>
      <c r="AR249" s="800"/>
      <c r="AS249" s="800"/>
      <c r="AT249" s="800"/>
      <c r="AU249" s="800"/>
      <c r="AV249" s="800"/>
      <c r="AW249" s="800"/>
      <c r="AX249" s="800"/>
    </row>
    <row r="250" spans="1:50" s="808" customFormat="1" ht="14.5" x14ac:dyDescent="0.25">
      <c r="A250" s="805"/>
      <c r="B250" s="806"/>
      <c r="C250" s="807"/>
      <c r="D250" s="805"/>
      <c r="E250" s="74" t="str">
        <f xml:space="preserve"> Inputs!E$45</f>
        <v>Inflation rate</v>
      </c>
      <c r="F250" s="74">
        <f xml:space="preserve"> Inputs!F$45</f>
        <v>0.02</v>
      </c>
      <c r="G250" s="74" t="str">
        <f xml:space="preserve"> Inputs!G$45</f>
        <v>%</v>
      </c>
      <c r="H250" s="805" t="str">
        <f>Translate!E517</f>
        <v>assume this is the inflation rate if the carbon tax start year if before the model start year</v>
      </c>
      <c r="I250" s="805"/>
      <c r="J250" s="805"/>
      <c r="K250" s="805"/>
      <c r="L250" s="805"/>
      <c r="M250" s="805"/>
      <c r="N250" s="805"/>
      <c r="O250" s="805"/>
      <c r="P250" s="805"/>
      <c r="Q250" s="805"/>
      <c r="R250" s="805"/>
      <c r="S250" s="805"/>
      <c r="T250" s="805"/>
      <c r="U250" s="805"/>
      <c r="V250" s="805"/>
      <c r="W250" s="805"/>
      <c r="X250" s="805"/>
      <c r="Y250" s="805"/>
      <c r="Z250" s="805"/>
      <c r="AA250" s="805"/>
      <c r="AB250" s="805"/>
      <c r="AC250" s="805"/>
      <c r="AD250" s="805"/>
      <c r="AE250" s="805"/>
      <c r="AF250" s="805"/>
      <c r="AG250" s="805"/>
      <c r="AH250" s="805"/>
      <c r="AI250" s="805"/>
      <c r="AJ250" s="805"/>
      <c r="AK250" s="805"/>
      <c r="AL250" s="805"/>
      <c r="AM250" s="805"/>
      <c r="AN250" s="805"/>
      <c r="AO250" s="805"/>
      <c r="AP250" s="805"/>
      <c r="AQ250" s="805"/>
      <c r="AR250" s="805"/>
      <c r="AS250" s="805"/>
      <c r="AT250" s="805"/>
      <c r="AU250" s="805"/>
      <c r="AV250" s="805"/>
      <c r="AW250" s="805"/>
      <c r="AX250" s="805"/>
    </row>
    <row r="251" spans="1:50" s="808" customFormat="1" ht="14.5" x14ac:dyDescent="0.25">
      <c r="A251" s="805"/>
      <c r="B251" s="806"/>
      <c r="C251" s="807"/>
      <c r="D251" s="805"/>
      <c r="E251" s="805" t="str">
        <f xml:space="preserve"> Translate!E$247</f>
        <v>Inflation since carbon tax start year</v>
      </c>
      <c r="F251" s="805">
        <f xml:space="preserve"> MIN( 1, 1 / (1 + F250) ^ (K247 - F238))</f>
        <v>1</v>
      </c>
      <c r="G251" s="805" t="str">
        <f>Translate!E407</f>
        <v>Index</v>
      </c>
      <c r="H251" s="805"/>
      <c r="I251" s="805"/>
      <c r="J251" s="805"/>
      <c r="K251" s="805"/>
      <c r="L251" s="805"/>
      <c r="M251" s="805"/>
      <c r="N251" s="805"/>
      <c r="O251" s="805"/>
      <c r="P251" s="805"/>
      <c r="Q251" s="805"/>
      <c r="R251" s="805"/>
      <c r="S251" s="805"/>
      <c r="T251" s="805"/>
      <c r="U251" s="805"/>
      <c r="V251" s="805"/>
      <c r="W251" s="805"/>
      <c r="X251" s="805"/>
      <c r="Y251" s="805"/>
      <c r="Z251" s="805"/>
      <c r="AA251" s="805"/>
      <c r="AB251" s="805"/>
      <c r="AC251" s="805"/>
      <c r="AD251" s="805"/>
      <c r="AE251" s="805"/>
      <c r="AF251" s="805"/>
      <c r="AG251" s="805"/>
      <c r="AH251" s="805"/>
      <c r="AI251" s="805"/>
      <c r="AJ251" s="805"/>
      <c r="AK251" s="805"/>
      <c r="AL251" s="805"/>
      <c r="AM251" s="805"/>
      <c r="AN251" s="805"/>
      <c r="AO251" s="805"/>
      <c r="AP251" s="805"/>
      <c r="AQ251" s="805"/>
      <c r="AR251" s="805"/>
      <c r="AS251" s="805"/>
      <c r="AT251" s="805"/>
      <c r="AU251" s="805"/>
      <c r="AV251" s="805"/>
      <c r="AW251" s="805"/>
      <c r="AX251" s="805"/>
    </row>
    <row r="252" spans="1:50" s="808" customFormat="1" ht="14.5" x14ac:dyDescent="0.25">
      <c r="A252" s="805"/>
      <c r="B252" s="806"/>
      <c r="C252" s="807"/>
      <c r="D252" s="805"/>
      <c r="E252" s="805" t="str">
        <f xml:space="preserve"> E248 &amp; " " &amp; Translate!E770</f>
        <v>Inflation index in first tax year</v>
      </c>
      <c r="F252" s="805">
        <f ca="1" xml:space="preserve"> INDEX( K248:AX248, MATCH( $F238, K247:AX247, 0))</f>
        <v>1</v>
      </c>
      <c r="G252" s="805" t="str">
        <f>Translate!E407</f>
        <v>Index</v>
      </c>
      <c r="H252" s="805"/>
      <c r="I252" s="805"/>
      <c r="J252" s="805"/>
      <c r="K252" s="805"/>
      <c r="L252" s="805"/>
      <c r="M252" s="805"/>
      <c r="N252" s="805"/>
      <c r="O252" s="805"/>
      <c r="P252" s="805"/>
      <c r="Q252" s="805"/>
      <c r="R252" s="805"/>
      <c r="S252" s="805"/>
      <c r="T252" s="805"/>
      <c r="U252" s="805"/>
      <c r="V252" s="805"/>
      <c r="W252" s="805"/>
      <c r="X252" s="805"/>
      <c r="Y252" s="805"/>
      <c r="Z252" s="805"/>
      <c r="AA252" s="805"/>
      <c r="AB252" s="805"/>
      <c r="AC252" s="805"/>
      <c r="AD252" s="805"/>
      <c r="AE252" s="805"/>
      <c r="AF252" s="805"/>
      <c r="AG252" s="805"/>
      <c r="AH252" s="805"/>
      <c r="AI252" s="805"/>
      <c r="AJ252" s="805"/>
      <c r="AK252" s="805"/>
      <c r="AL252" s="805"/>
      <c r="AM252" s="805"/>
      <c r="AN252" s="805"/>
      <c r="AO252" s="805"/>
      <c r="AP252" s="805"/>
      <c r="AQ252" s="805"/>
      <c r="AR252" s="805"/>
      <c r="AS252" s="805"/>
      <c r="AT252" s="805"/>
      <c r="AU252" s="805"/>
      <c r="AV252" s="805"/>
      <c r="AW252" s="805"/>
      <c r="AX252" s="805"/>
    </row>
    <row r="253" spans="1:50" s="808" customFormat="1" ht="14.5" x14ac:dyDescent="0.25">
      <c r="A253" s="805"/>
      <c r="B253" s="806"/>
      <c r="C253" s="807"/>
      <c r="D253" s="805"/>
      <c r="E253" s="805"/>
      <c r="F253" s="805"/>
      <c r="G253" s="805"/>
      <c r="H253" s="805"/>
      <c r="I253" s="805"/>
      <c r="J253" s="805"/>
      <c r="K253" s="805"/>
      <c r="L253" s="805"/>
      <c r="M253" s="805"/>
      <c r="N253" s="805"/>
      <c r="O253" s="805"/>
      <c r="P253" s="805"/>
      <c r="Q253" s="805"/>
      <c r="R253" s="805"/>
      <c r="S253" s="805"/>
      <c r="T253" s="805"/>
      <c r="U253" s="805"/>
      <c r="V253" s="805"/>
      <c r="W253" s="805"/>
      <c r="X253" s="805"/>
      <c r="Y253" s="805"/>
      <c r="Z253" s="805"/>
      <c r="AA253" s="805"/>
      <c r="AB253" s="805"/>
      <c r="AC253" s="805"/>
      <c r="AD253" s="805"/>
      <c r="AE253" s="805"/>
      <c r="AF253" s="805"/>
      <c r="AG253" s="805"/>
      <c r="AH253" s="805"/>
      <c r="AI253" s="805"/>
      <c r="AJ253" s="805"/>
      <c r="AK253" s="805"/>
      <c r="AL253" s="805"/>
      <c r="AM253" s="805"/>
      <c r="AN253" s="805"/>
      <c r="AO253" s="805"/>
      <c r="AP253" s="805"/>
      <c r="AQ253" s="805"/>
      <c r="AR253" s="805"/>
      <c r="AS253" s="805"/>
      <c r="AT253" s="805"/>
      <c r="AU253" s="805"/>
      <c r="AV253" s="805"/>
      <c r="AW253" s="805"/>
      <c r="AX253" s="805"/>
    </row>
    <row r="254" spans="1:50" s="810" customFormat="1" ht="14.5" x14ac:dyDescent="0.25">
      <c r="A254" s="723"/>
      <c r="B254" s="724"/>
      <c r="C254" s="725"/>
      <c r="D254" s="723"/>
      <c r="E254" s="723" t="str">
        <f xml:space="preserve"> Translate!E$248</f>
        <v>Carbon tax inflation index</v>
      </c>
      <c r="F254" s="809"/>
      <c r="G254" s="723" t="str">
        <f>Translate!E407</f>
        <v>Index</v>
      </c>
      <c r="H254" s="723"/>
      <c r="I254" s="723"/>
      <c r="J254" s="723"/>
      <c r="K254" s="723">
        <f ca="1" xml:space="preserve"> K248 / IF( $F238 &lt; $K247, $F251, $F252)</f>
        <v>1</v>
      </c>
      <c r="L254" s="723">
        <f t="shared" ref="L254:AX254" ca="1" si="45" xml:space="preserve"> L248 / IF( $F238 &lt; $K247, $F251, $F252)</f>
        <v>1.02</v>
      </c>
      <c r="M254" s="723">
        <f t="shared" ca="1" si="45"/>
        <v>1.0404</v>
      </c>
      <c r="N254" s="723">
        <f t="shared" ca="1" si="45"/>
        <v>1.0612079999999999</v>
      </c>
      <c r="O254" s="723">
        <f t="shared" ca="1" si="45"/>
        <v>1.08243216</v>
      </c>
      <c r="P254" s="723">
        <f t="shared" ca="1" si="45"/>
        <v>1.1040808032</v>
      </c>
      <c r="Q254" s="723">
        <f t="shared" ca="1" si="45"/>
        <v>1.1261624192640001</v>
      </c>
      <c r="R254" s="723">
        <f t="shared" ca="1" si="45"/>
        <v>1.14868566764928</v>
      </c>
      <c r="S254" s="723">
        <f t="shared" ca="1" si="45"/>
        <v>1.1716593810022657</v>
      </c>
      <c r="T254" s="723">
        <f t="shared" ca="1" si="45"/>
        <v>1.1950925686223111</v>
      </c>
      <c r="U254" s="723">
        <f t="shared" ca="1" si="45"/>
        <v>1.2189944199947573</v>
      </c>
      <c r="V254" s="723">
        <f t="shared" ca="1" si="45"/>
        <v>1.2433743083946525</v>
      </c>
      <c r="W254" s="723">
        <f t="shared" ca="1" si="45"/>
        <v>1.2682417945625455</v>
      </c>
      <c r="X254" s="723">
        <f t="shared" ca="1" si="45"/>
        <v>1.2936066304537963</v>
      </c>
      <c r="Y254" s="723">
        <f t="shared" ca="1" si="45"/>
        <v>1.3194787630628724</v>
      </c>
      <c r="Z254" s="723">
        <f t="shared" ca="1" si="45"/>
        <v>1.3458683383241299</v>
      </c>
      <c r="AA254" s="723">
        <f t="shared" ca="1" si="45"/>
        <v>1.3727857050906125</v>
      </c>
      <c r="AB254" s="723">
        <f t="shared" ca="1" si="45"/>
        <v>1.4002414191924248</v>
      </c>
      <c r="AC254" s="723">
        <f t="shared" ca="1" si="45"/>
        <v>1.4282462475762734</v>
      </c>
      <c r="AD254" s="723">
        <f t="shared" ca="1" si="45"/>
        <v>1.4568111725277988</v>
      </c>
      <c r="AE254" s="723">
        <f t="shared" ca="1" si="45"/>
        <v>1.4859473959783549</v>
      </c>
      <c r="AF254" s="723">
        <f t="shared" ca="1" si="45"/>
        <v>1.5156663438979221</v>
      </c>
      <c r="AG254" s="723">
        <f t="shared" ca="1" si="45"/>
        <v>1.5459796707758806</v>
      </c>
      <c r="AH254" s="723">
        <f t="shared" ca="1" si="45"/>
        <v>1.5768992641913981</v>
      </c>
      <c r="AI254" s="723">
        <f t="shared" ca="1" si="45"/>
        <v>1.6084372494752261</v>
      </c>
      <c r="AJ254" s="723">
        <f t="shared" ca="1" si="45"/>
        <v>1.6406059944647307</v>
      </c>
      <c r="AK254" s="723">
        <f t="shared" ca="1" si="45"/>
        <v>1.6734181143540252</v>
      </c>
      <c r="AL254" s="723">
        <f t="shared" ca="1" si="45"/>
        <v>1.7068864766411058</v>
      </c>
      <c r="AM254" s="723">
        <f t="shared" ca="1" si="45"/>
        <v>1.7410242061739281</v>
      </c>
      <c r="AN254" s="723">
        <f t="shared" ca="1" si="45"/>
        <v>1.7758446902974065</v>
      </c>
      <c r="AO254" s="723">
        <f t="shared" ca="1" si="45"/>
        <v>1.8113615841033548</v>
      </c>
      <c r="AP254" s="723">
        <f t="shared" ca="1" si="45"/>
        <v>1.8475888157854219</v>
      </c>
      <c r="AQ254" s="723">
        <f t="shared" ca="1" si="45"/>
        <v>1.8845405921011305</v>
      </c>
      <c r="AR254" s="723">
        <f t="shared" ca="1" si="45"/>
        <v>1</v>
      </c>
      <c r="AS254" s="723">
        <f t="shared" ca="1" si="45"/>
        <v>1</v>
      </c>
      <c r="AT254" s="723">
        <f t="shared" ca="1" si="45"/>
        <v>1</v>
      </c>
      <c r="AU254" s="723">
        <f t="shared" ca="1" si="45"/>
        <v>1</v>
      </c>
      <c r="AV254" s="723">
        <f t="shared" ca="1" si="45"/>
        <v>1</v>
      </c>
      <c r="AW254" s="723">
        <f t="shared" ca="1" si="45"/>
        <v>1</v>
      </c>
      <c r="AX254" s="723">
        <f t="shared" ca="1" si="45"/>
        <v>1</v>
      </c>
    </row>
    <row r="255" spans="1:50" s="726" customFormat="1" ht="14.5" x14ac:dyDescent="0.25">
      <c r="A255" s="811"/>
      <c r="B255" s="782"/>
      <c r="C255" s="812"/>
      <c r="D255" s="811"/>
      <c r="E255" s="811" t="str">
        <f xml:space="preserve"> E254 &amp; " " &amp; Translate!E533</f>
        <v>Carbon tax inflation index applicable</v>
      </c>
      <c r="F255" s="813"/>
      <c r="G255" s="811" t="str">
        <f>G254</f>
        <v>Index</v>
      </c>
      <c r="H255" s="811"/>
      <c r="I255" s="811"/>
      <c r="J255" s="811"/>
      <c r="K255" s="811">
        <f t="shared" ref="K255:AX255" si="46" xml:space="preserve"> IF( $F243 = $F245, K254, 1)</f>
        <v>1</v>
      </c>
      <c r="L255" s="811">
        <f t="shared" si="46"/>
        <v>1</v>
      </c>
      <c r="M255" s="811">
        <f t="shared" si="46"/>
        <v>1</v>
      </c>
      <c r="N255" s="811">
        <f t="shared" si="46"/>
        <v>1</v>
      </c>
      <c r="O255" s="811">
        <f t="shared" si="46"/>
        <v>1</v>
      </c>
      <c r="P255" s="811">
        <f t="shared" si="46"/>
        <v>1</v>
      </c>
      <c r="Q255" s="811">
        <f t="shared" si="46"/>
        <v>1</v>
      </c>
      <c r="R255" s="811">
        <f t="shared" si="46"/>
        <v>1</v>
      </c>
      <c r="S255" s="811">
        <f t="shared" si="46"/>
        <v>1</v>
      </c>
      <c r="T255" s="811">
        <f t="shared" si="46"/>
        <v>1</v>
      </c>
      <c r="U255" s="811">
        <f t="shared" si="46"/>
        <v>1</v>
      </c>
      <c r="V255" s="811">
        <f t="shared" si="46"/>
        <v>1</v>
      </c>
      <c r="W255" s="811">
        <f t="shared" si="46"/>
        <v>1</v>
      </c>
      <c r="X255" s="811">
        <f t="shared" si="46"/>
        <v>1</v>
      </c>
      <c r="Y255" s="811">
        <f t="shared" si="46"/>
        <v>1</v>
      </c>
      <c r="Z255" s="811">
        <f t="shared" si="46"/>
        <v>1</v>
      </c>
      <c r="AA255" s="811">
        <f t="shared" si="46"/>
        <v>1</v>
      </c>
      <c r="AB255" s="811">
        <f t="shared" si="46"/>
        <v>1</v>
      </c>
      <c r="AC255" s="811">
        <f t="shared" si="46"/>
        <v>1</v>
      </c>
      <c r="AD255" s="811">
        <f t="shared" si="46"/>
        <v>1</v>
      </c>
      <c r="AE255" s="811">
        <f t="shared" si="46"/>
        <v>1</v>
      </c>
      <c r="AF255" s="811">
        <f t="shared" si="46"/>
        <v>1</v>
      </c>
      <c r="AG255" s="811">
        <f t="shared" si="46"/>
        <v>1</v>
      </c>
      <c r="AH255" s="811">
        <f t="shared" si="46"/>
        <v>1</v>
      </c>
      <c r="AI255" s="811">
        <f t="shared" si="46"/>
        <v>1</v>
      </c>
      <c r="AJ255" s="811">
        <f t="shared" si="46"/>
        <v>1</v>
      </c>
      <c r="AK255" s="811">
        <f t="shared" si="46"/>
        <v>1</v>
      </c>
      <c r="AL255" s="811">
        <f t="shared" si="46"/>
        <v>1</v>
      </c>
      <c r="AM255" s="811">
        <f t="shared" si="46"/>
        <v>1</v>
      </c>
      <c r="AN255" s="811">
        <f t="shared" si="46"/>
        <v>1</v>
      </c>
      <c r="AO255" s="811">
        <f t="shared" si="46"/>
        <v>1</v>
      </c>
      <c r="AP255" s="811">
        <f t="shared" si="46"/>
        <v>1</v>
      </c>
      <c r="AQ255" s="811">
        <f t="shared" si="46"/>
        <v>1</v>
      </c>
      <c r="AR255" s="811">
        <f t="shared" si="46"/>
        <v>1</v>
      </c>
      <c r="AS255" s="811">
        <f t="shared" si="46"/>
        <v>1</v>
      </c>
      <c r="AT255" s="811">
        <f t="shared" si="46"/>
        <v>1</v>
      </c>
      <c r="AU255" s="811">
        <f t="shared" si="46"/>
        <v>1</v>
      </c>
      <c r="AV255" s="811">
        <f t="shared" si="46"/>
        <v>1</v>
      </c>
      <c r="AW255" s="811">
        <f t="shared" si="46"/>
        <v>1</v>
      </c>
      <c r="AX255" s="811">
        <f t="shared" si="46"/>
        <v>1</v>
      </c>
    </row>
    <row r="256" spans="1:50" s="7" customFormat="1" ht="14.5" x14ac:dyDescent="0.25">
      <c r="A256" s="3"/>
      <c r="B256" s="282"/>
      <c r="C256" s="50"/>
      <c r="D256" s="44"/>
      <c r="E256" s="3"/>
      <c r="F256" s="44"/>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row>
    <row r="257" spans="1:50" s="7" customFormat="1" ht="14.5" x14ac:dyDescent="0.25">
      <c r="A257" s="3"/>
      <c r="B257" s="282" t="str">
        <f>Translate!$E$422</f>
        <v>Tax rate - Percentage</v>
      </c>
      <c r="C257" s="50"/>
      <c r="D257" s="44"/>
      <c r="E257" s="3"/>
      <c r="F257" s="44"/>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row>
    <row r="258" spans="1:50" s="7" customFormat="1" ht="14.5" x14ac:dyDescent="0.25">
      <c r="A258" s="3"/>
      <c r="B258" s="282"/>
      <c r="C258" s="50"/>
      <c r="D258" s="44"/>
      <c r="E258" s="3" t="str">
        <f>E$240</f>
        <v>Year of carbon tax</v>
      </c>
      <c r="F258" s="3">
        <f t="shared" ref="F258:AX258" si="47">F$240</f>
        <v>0</v>
      </c>
      <c r="G258" s="3" t="str">
        <f t="shared" si="47"/>
        <v>Flag</v>
      </c>
      <c r="H258" s="3">
        <f t="shared" si="47"/>
        <v>0</v>
      </c>
      <c r="I258" s="3">
        <f t="shared" si="47"/>
        <v>0</v>
      </c>
      <c r="J258" s="3">
        <f t="shared" si="47"/>
        <v>0</v>
      </c>
      <c r="K258" s="3">
        <f t="shared" si="47"/>
        <v>1</v>
      </c>
      <c r="L258" s="3">
        <f t="shared" si="47"/>
        <v>2</v>
      </c>
      <c r="M258" s="3">
        <f t="shared" si="47"/>
        <v>3</v>
      </c>
      <c r="N258" s="3">
        <f t="shared" si="47"/>
        <v>4</v>
      </c>
      <c r="O258" s="3">
        <f t="shared" si="47"/>
        <v>5</v>
      </c>
      <c r="P258" s="3">
        <f t="shared" si="47"/>
        <v>6</v>
      </c>
      <c r="Q258" s="3">
        <f t="shared" si="47"/>
        <v>7</v>
      </c>
      <c r="R258" s="3">
        <f t="shared" si="47"/>
        <v>8</v>
      </c>
      <c r="S258" s="3">
        <f t="shared" si="47"/>
        <v>9</v>
      </c>
      <c r="T258" s="3">
        <f t="shared" si="47"/>
        <v>10</v>
      </c>
      <c r="U258" s="3">
        <f t="shared" si="47"/>
        <v>11</v>
      </c>
      <c r="V258" s="3">
        <f t="shared" si="47"/>
        <v>12</v>
      </c>
      <c r="W258" s="3">
        <f t="shared" si="47"/>
        <v>13</v>
      </c>
      <c r="X258" s="3">
        <f t="shared" si="47"/>
        <v>14</v>
      </c>
      <c r="Y258" s="3">
        <f t="shared" si="47"/>
        <v>15</v>
      </c>
      <c r="Z258" s="3">
        <f t="shared" si="47"/>
        <v>16</v>
      </c>
      <c r="AA258" s="3">
        <f t="shared" si="47"/>
        <v>17</v>
      </c>
      <c r="AB258" s="3">
        <f t="shared" si="47"/>
        <v>18</v>
      </c>
      <c r="AC258" s="3">
        <f t="shared" si="47"/>
        <v>19</v>
      </c>
      <c r="AD258" s="3">
        <f t="shared" si="47"/>
        <v>20</v>
      </c>
      <c r="AE258" s="3">
        <f t="shared" si="47"/>
        <v>21</v>
      </c>
      <c r="AF258" s="3">
        <f t="shared" si="47"/>
        <v>22</v>
      </c>
      <c r="AG258" s="3">
        <f t="shared" si="47"/>
        <v>23</v>
      </c>
      <c r="AH258" s="3">
        <f t="shared" si="47"/>
        <v>24</v>
      </c>
      <c r="AI258" s="3">
        <f t="shared" si="47"/>
        <v>25</v>
      </c>
      <c r="AJ258" s="3">
        <f t="shared" si="47"/>
        <v>26</v>
      </c>
      <c r="AK258" s="3">
        <f t="shared" si="47"/>
        <v>27</v>
      </c>
      <c r="AL258" s="3">
        <f t="shared" si="47"/>
        <v>28</v>
      </c>
      <c r="AM258" s="3">
        <f t="shared" si="47"/>
        <v>29</v>
      </c>
      <c r="AN258" s="3">
        <f t="shared" si="47"/>
        <v>30</v>
      </c>
      <c r="AO258" s="3">
        <f t="shared" si="47"/>
        <v>31</v>
      </c>
      <c r="AP258" s="3">
        <f t="shared" si="47"/>
        <v>32</v>
      </c>
      <c r="AQ258" s="3">
        <f t="shared" si="47"/>
        <v>33</v>
      </c>
      <c r="AR258" s="3">
        <f t="shared" si="47"/>
        <v>34</v>
      </c>
      <c r="AS258" s="3">
        <f t="shared" si="47"/>
        <v>35</v>
      </c>
      <c r="AT258" s="3">
        <f t="shared" si="47"/>
        <v>36</v>
      </c>
      <c r="AU258" s="3">
        <f t="shared" si="47"/>
        <v>37</v>
      </c>
      <c r="AV258" s="3">
        <f t="shared" si="47"/>
        <v>38</v>
      </c>
      <c r="AW258" s="3">
        <f t="shared" si="47"/>
        <v>39</v>
      </c>
      <c r="AX258" s="3">
        <f t="shared" si="47"/>
        <v>40</v>
      </c>
    </row>
    <row r="259" spans="1:50" s="7" customFormat="1" ht="14.5" x14ac:dyDescent="0.25">
      <c r="A259" s="3"/>
      <c r="B259" s="282"/>
      <c r="C259" s="50"/>
      <c r="D259" s="44"/>
      <c r="E259" s="747" t="str">
        <f xml:space="preserve"> E$27</f>
        <v>Tax per ton of CO2 eq emitted in start year</v>
      </c>
      <c r="F259" s="747">
        <f xml:space="preserve"> F$27</f>
        <v>20</v>
      </c>
      <c r="G259" s="747" t="str">
        <f xml:space="preserve"> G$27</f>
        <v>US$ / t CO2 eq</v>
      </c>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row>
    <row r="260" spans="1:50" s="521" customFormat="1" ht="14.5" x14ac:dyDescent="0.25">
      <c r="A260" s="59"/>
      <c r="B260" s="376"/>
      <c r="C260" s="814"/>
      <c r="D260" s="59"/>
      <c r="E260" s="815" t="str">
        <f xml:space="preserve"> E$31</f>
        <v>Percentage - Annual increase above inflation</v>
      </c>
      <c r="F260" s="815">
        <f xml:space="preserve"> F$31</f>
        <v>0</v>
      </c>
      <c r="G260" s="815" t="str">
        <f xml:space="preserve"> G$31</f>
        <v>%</v>
      </c>
      <c r="H260" s="59"/>
      <c r="I260" s="59"/>
      <c r="J260" s="59"/>
      <c r="K260" s="59"/>
      <c r="L260" s="59"/>
      <c r="M260" s="59"/>
      <c r="N260" s="59"/>
      <c r="O260" s="59"/>
      <c r="P260" s="59"/>
      <c r="Q260" s="59"/>
      <c r="R260" s="59"/>
      <c r="S260" s="59"/>
      <c r="T260" s="59"/>
      <c r="U260" s="59"/>
      <c r="V260" s="59"/>
      <c r="W260" s="59"/>
      <c r="X260" s="59"/>
      <c r="Y260" s="59"/>
      <c r="Z260" s="59"/>
      <c r="AA260" s="59"/>
      <c r="AB260" s="59"/>
      <c r="AC260" s="59"/>
      <c r="AD260" s="59"/>
      <c r="AE260" s="59"/>
      <c r="AF260" s="59"/>
      <c r="AG260" s="59"/>
      <c r="AH260" s="59"/>
      <c r="AI260" s="59"/>
      <c r="AJ260" s="59"/>
      <c r="AK260" s="59"/>
      <c r="AL260" s="59"/>
      <c r="AM260" s="59"/>
      <c r="AN260" s="59"/>
      <c r="AO260" s="59"/>
      <c r="AP260" s="59"/>
      <c r="AQ260" s="59"/>
      <c r="AR260" s="59"/>
      <c r="AS260" s="59"/>
      <c r="AT260" s="59"/>
      <c r="AU260" s="59"/>
      <c r="AV260" s="59"/>
      <c r="AW260" s="59"/>
      <c r="AX260" s="59"/>
    </row>
    <row r="261" spans="1:50" s="411" customFormat="1" ht="14.5" x14ac:dyDescent="0.25">
      <c r="A261" s="398"/>
      <c r="B261" s="816"/>
      <c r="C261" s="817"/>
      <c r="D261" s="506"/>
      <c r="E261" s="398" t="str">
        <f xml:space="preserve"> Translate!E$249</f>
        <v>Carbon tax - Percentage method; before inflation adjustment</v>
      </c>
      <c r="F261" s="506"/>
      <c r="G261" s="398" t="str">
        <f xml:space="preserve"> Translate!E$610</f>
        <v>US$ / t CO2 eq</v>
      </c>
      <c r="H261" s="398"/>
      <c r="I261" s="398"/>
      <c r="J261" s="398"/>
      <c r="K261" s="398">
        <f t="shared" ref="K261:AX261" si="48" xml:space="preserve"> $F259 * (1 + $F260) ^ (K258 - 1) * (K258 &gt; 0)</f>
        <v>20</v>
      </c>
      <c r="L261" s="398">
        <f t="shared" si="48"/>
        <v>20</v>
      </c>
      <c r="M261" s="398">
        <f t="shared" si="48"/>
        <v>20</v>
      </c>
      <c r="N261" s="398">
        <f t="shared" si="48"/>
        <v>20</v>
      </c>
      <c r="O261" s="398">
        <f t="shared" si="48"/>
        <v>20</v>
      </c>
      <c r="P261" s="398">
        <f t="shared" si="48"/>
        <v>20</v>
      </c>
      <c r="Q261" s="398">
        <f t="shared" si="48"/>
        <v>20</v>
      </c>
      <c r="R261" s="398">
        <f t="shared" si="48"/>
        <v>20</v>
      </c>
      <c r="S261" s="398">
        <f t="shared" si="48"/>
        <v>20</v>
      </c>
      <c r="T261" s="398">
        <f t="shared" si="48"/>
        <v>20</v>
      </c>
      <c r="U261" s="398">
        <f t="shared" si="48"/>
        <v>20</v>
      </c>
      <c r="V261" s="398">
        <f t="shared" si="48"/>
        <v>20</v>
      </c>
      <c r="W261" s="398">
        <f t="shared" si="48"/>
        <v>20</v>
      </c>
      <c r="X261" s="398">
        <f t="shared" si="48"/>
        <v>20</v>
      </c>
      <c r="Y261" s="398">
        <f t="shared" si="48"/>
        <v>20</v>
      </c>
      <c r="Z261" s="398">
        <f t="shared" si="48"/>
        <v>20</v>
      </c>
      <c r="AA261" s="398">
        <f t="shared" si="48"/>
        <v>20</v>
      </c>
      <c r="AB261" s="398">
        <f t="shared" si="48"/>
        <v>20</v>
      </c>
      <c r="AC261" s="398">
        <f t="shared" si="48"/>
        <v>20</v>
      </c>
      <c r="AD261" s="398">
        <f t="shared" si="48"/>
        <v>20</v>
      </c>
      <c r="AE261" s="398">
        <f t="shared" si="48"/>
        <v>20</v>
      </c>
      <c r="AF261" s="398">
        <f t="shared" si="48"/>
        <v>20</v>
      </c>
      <c r="AG261" s="398">
        <f t="shared" si="48"/>
        <v>20</v>
      </c>
      <c r="AH261" s="398">
        <f t="shared" si="48"/>
        <v>20</v>
      </c>
      <c r="AI261" s="398">
        <f t="shared" si="48"/>
        <v>20</v>
      </c>
      <c r="AJ261" s="398">
        <f t="shared" si="48"/>
        <v>20</v>
      </c>
      <c r="AK261" s="398">
        <f t="shared" si="48"/>
        <v>20</v>
      </c>
      <c r="AL261" s="398">
        <f t="shared" si="48"/>
        <v>20</v>
      </c>
      <c r="AM261" s="398">
        <f t="shared" si="48"/>
        <v>20</v>
      </c>
      <c r="AN261" s="398">
        <f t="shared" si="48"/>
        <v>20</v>
      </c>
      <c r="AO261" s="398">
        <f t="shared" si="48"/>
        <v>20</v>
      </c>
      <c r="AP261" s="398">
        <f t="shared" si="48"/>
        <v>20</v>
      </c>
      <c r="AQ261" s="398">
        <f t="shared" si="48"/>
        <v>20</v>
      </c>
      <c r="AR261" s="398">
        <f t="shared" si="48"/>
        <v>20</v>
      </c>
      <c r="AS261" s="398">
        <f t="shared" si="48"/>
        <v>20</v>
      </c>
      <c r="AT261" s="398">
        <f t="shared" si="48"/>
        <v>20</v>
      </c>
      <c r="AU261" s="398">
        <f t="shared" si="48"/>
        <v>20</v>
      </c>
      <c r="AV261" s="398">
        <f t="shared" si="48"/>
        <v>20</v>
      </c>
      <c r="AW261" s="398">
        <f t="shared" si="48"/>
        <v>20</v>
      </c>
      <c r="AX261" s="398">
        <f t="shared" si="48"/>
        <v>20</v>
      </c>
    </row>
    <row r="262" spans="1:50" s="810" customFormat="1" ht="14.5" x14ac:dyDescent="0.25">
      <c r="A262" s="723"/>
      <c r="B262" s="724"/>
      <c r="C262" s="725"/>
      <c r="D262" s="723"/>
      <c r="E262" s="723"/>
      <c r="F262" s="809"/>
      <c r="G262" s="723"/>
      <c r="H262" s="723"/>
      <c r="I262" s="723"/>
      <c r="J262" s="723"/>
      <c r="K262" s="723"/>
      <c r="L262" s="723"/>
      <c r="M262" s="723"/>
      <c r="N262" s="723"/>
      <c r="O262" s="723"/>
      <c r="P262" s="723"/>
      <c r="Q262" s="723"/>
      <c r="R262" s="723"/>
      <c r="S262" s="723"/>
      <c r="T262" s="723"/>
      <c r="U262" s="723"/>
      <c r="V262" s="723"/>
      <c r="W262" s="723"/>
      <c r="X262" s="723"/>
      <c r="Y262" s="723"/>
      <c r="Z262" s="723"/>
      <c r="AA262" s="723"/>
      <c r="AB262" s="723"/>
      <c r="AC262" s="723"/>
      <c r="AD262" s="723"/>
      <c r="AE262" s="723"/>
      <c r="AF262" s="723"/>
      <c r="AG262" s="723"/>
      <c r="AH262" s="723"/>
      <c r="AI262" s="723"/>
      <c r="AJ262" s="723"/>
      <c r="AK262" s="723"/>
      <c r="AL262" s="723"/>
      <c r="AM262" s="723"/>
      <c r="AN262" s="723"/>
      <c r="AO262" s="723"/>
      <c r="AP262" s="723"/>
      <c r="AQ262" s="723"/>
      <c r="AR262" s="723"/>
      <c r="AS262" s="723"/>
      <c r="AT262" s="723"/>
      <c r="AU262" s="723"/>
      <c r="AV262" s="723"/>
      <c r="AW262" s="723"/>
      <c r="AX262" s="723"/>
    </row>
    <row r="263" spans="1:50" s="810" customFormat="1" ht="14.5" x14ac:dyDescent="0.25">
      <c r="A263" s="723"/>
      <c r="B263" s="724" t="str">
        <f>Translate!$E$423</f>
        <v>Tax rate - Target Year</v>
      </c>
      <c r="C263" s="725"/>
      <c r="D263" s="723"/>
      <c r="E263" s="723"/>
      <c r="F263" s="809"/>
      <c r="G263" s="723"/>
      <c r="H263" s="723"/>
      <c r="I263" s="723"/>
      <c r="J263" s="723"/>
      <c r="K263" s="723"/>
      <c r="L263" s="723"/>
      <c r="M263" s="723"/>
      <c r="N263" s="723"/>
      <c r="O263" s="723"/>
      <c r="P263" s="723"/>
      <c r="Q263" s="723"/>
      <c r="R263" s="723"/>
      <c r="S263" s="723"/>
      <c r="T263" s="723"/>
      <c r="U263" s="723"/>
      <c r="V263" s="723"/>
      <c r="W263" s="723"/>
      <c r="X263" s="723"/>
      <c r="Y263" s="723"/>
      <c r="Z263" s="723"/>
      <c r="AA263" s="723"/>
      <c r="AB263" s="723"/>
      <c r="AC263" s="723"/>
      <c r="AD263" s="723"/>
      <c r="AE263" s="723"/>
      <c r="AF263" s="723"/>
      <c r="AG263" s="723"/>
      <c r="AH263" s="723"/>
      <c r="AI263" s="723"/>
      <c r="AJ263" s="723"/>
      <c r="AK263" s="723"/>
      <c r="AL263" s="723"/>
      <c r="AM263" s="723"/>
      <c r="AN263" s="723"/>
      <c r="AO263" s="723"/>
      <c r="AP263" s="723"/>
      <c r="AQ263" s="723"/>
      <c r="AR263" s="723"/>
      <c r="AS263" s="723"/>
      <c r="AT263" s="723"/>
      <c r="AU263" s="723"/>
      <c r="AV263" s="723"/>
      <c r="AW263" s="723"/>
      <c r="AX263" s="723"/>
    </row>
    <row r="264" spans="1:50" s="7" customFormat="1" ht="14.5" x14ac:dyDescent="0.25">
      <c r="A264" s="3"/>
      <c r="B264" s="282"/>
      <c r="C264" s="50"/>
      <c r="D264" s="3"/>
      <c r="E264" s="745" t="str">
        <f>E238</f>
        <v>Start year of carbon tax (0=from beginning) adjusted</v>
      </c>
      <c r="F264" s="797">
        <f>F238</f>
        <v>2021</v>
      </c>
      <c r="G264" s="745" t="str">
        <f>G238</f>
        <v>Calendar year</v>
      </c>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row>
    <row r="265" spans="1:50" s="7" customFormat="1" ht="14.5" x14ac:dyDescent="0.25">
      <c r="A265" s="3"/>
      <c r="B265" s="282"/>
      <c r="C265" s="50"/>
      <c r="D265" s="3"/>
      <c r="E265" s="794" t="str">
        <f xml:space="preserve"> E$33</f>
        <v>TargetYear - Year in which Tax reaches target level</v>
      </c>
      <c r="F265" s="794">
        <f xml:space="preserve"> F$33</f>
        <v>0</v>
      </c>
      <c r="G265" s="794" t="str">
        <f xml:space="preserve"> G$33</f>
        <v>Calendar year</v>
      </c>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row>
    <row r="266" spans="1:50" s="798" customFormat="1" ht="14.5" x14ac:dyDescent="0.25">
      <c r="A266" s="745"/>
      <c r="B266" s="795"/>
      <c r="C266" s="796"/>
      <c r="D266" s="745"/>
      <c r="E266" s="745" t="str">
        <f>E265 &amp; " " &amp; Translate!E532</f>
        <v>TargetYear - Year in which Tax reaches target level adjusted</v>
      </c>
      <c r="F266" s="797">
        <f xml:space="preserve"> IF( F265 = 0, K236, F265)</f>
        <v>2021</v>
      </c>
      <c r="G266" s="745" t="str">
        <f>G265</f>
        <v>Calendar year</v>
      </c>
      <c r="H266" s="745"/>
      <c r="I266" s="745"/>
      <c r="J266" s="745"/>
      <c r="K266" s="745"/>
      <c r="L266" s="745"/>
      <c r="M266" s="745"/>
      <c r="N266" s="745"/>
      <c r="O266" s="745"/>
      <c r="P266" s="745"/>
      <c r="Q266" s="745"/>
      <c r="R266" s="745"/>
      <c r="S266" s="745"/>
      <c r="T266" s="745"/>
      <c r="U266" s="745"/>
      <c r="V266" s="745"/>
      <c r="W266" s="745"/>
      <c r="X266" s="745"/>
      <c r="Y266" s="745"/>
      <c r="Z266" s="745"/>
      <c r="AA266" s="745"/>
      <c r="AB266" s="745"/>
      <c r="AC266" s="745"/>
      <c r="AD266" s="745"/>
      <c r="AE266" s="745"/>
      <c r="AF266" s="745"/>
      <c r="AG266" s="745"/>
      <c r="AH266" s="745"/>
      <c r="AI266" s="745"/>
      <c r="AJ266" s="745"/>
      <c r="AK266" s="745"/>
      <c r="AL266" s="745"/>
      <c r="AM266" s="745"/>
      <c r="AN266" s="745"/>
      <c r="AO266" s="745"/>
      <c r="AP266" s="745"/>
      <c r="AQ266" s="745"/>
      <c r="AR266" s="745"/>
      <c r="AS266" s="745"/>
      <c r="AT266" s="745"/>
      <c r="AU266" s="745"/>
      <c r="AV266" s="745"/>
      <c r="AW266" s="745"/>
      <c r="AX266" s="745"/>
    </row>
    <row r="267" spans="1:50" s="810" customFormat="1" ht="14.5" x14ac:dyDescent="0.25">
      <c r="A267" s="723"/>
      <c r="B267" s="724"/>
      <c r="C267" s="725"/>
      <c r="D267" s="723"/>
      <c r="E267" s="723" t="str">
        <f xml:space="preserve"> Translate!E$250</f>
        <v>Years of carbon tax until it reaches target level</v>
      </c>
      <c r="F267" s="44">
        <f xml:space="preserve"> F266 - F264</f>
        <v>0</v>
      </c>
      <c r="G267" s="723" t="str">
        <f xml:space="preserve"> Translate!E$608</f>
        <v>Year</v>
      </c>
      <c r="H267" s="723"/>
      <c r="I267" s="723"/>
      <c r="J267" s="723"/>
      <c r="K267" s="723"/>
      <c r="L267" s="723"/>
      <c r="M267" s="723"/>
      <c r="N267" s="723"/>
      <c r="O267" s="723"/>
      <c r="P267" s="723"/>
      <c r="Q267" s="723"/>
      <c r="R267" s="723"/>
      <c r="S267" s="723"/>
      <c r="T267" s="723"/>
      <c r="U267" s="723"/>
      <c r="V267" s="723"/>
      <c r="W267" s="723"/>
      <c r="X267" s="723"/>
      <c r="Y267" s="723"/>
      <c r="Z267" s="723"/>
      <c r="AA267" s="723"/>
      <c r="AB267" s="723"/>
      <c r="AC267" s="723"/>
      <c r="AD267" s="723"/>
      <c r="AE267" s="723"/>
      <c r="AF267" s="723"/>
      <c r="AG267" s="723"/>
      <c r="AH267" s="723"/>
      <c r="AI267" s="723"/>
      <c r="AJ267" s="723"/>
      <c r="AK267" s="723"/>
      <c r="AL267" s="723"/>
      <c r="AM267" s="723"/>
      <c r="AN267" s="723"/>
      <c r="AO267" s="723"/>
      <c r="AP267" s="723"/>
      <c r="AQ267" s="723"/>
      <c r="AR267" s="723"/>
      <c r="AS267" s="723"/>
      <c r="AT267" s="723"/>
      <c r="AU267" s="723"/>
      <c r="AV267" s="723"/>
      <c r="AW267" s="723"/>
      <c r="AX267" s="723"/>
    </row>
    <row r="268" spans="1:50" s="810" customFormat="1" ht="14.5" x14ac:dyDescent="0.25">
      <c r="A268" s="723"/>
      <c r="B268" s="724"/>
      <c r="C268" s="725"/>
      <c r="D268" s="723"/>
      <c r="E268" s="723"/>
      <c r="F268" s="809"/>
      <c r="G268" s="723"/>
      <c r="H268" s="723"/>
      <c r="I268" s="723"/>
      <c r="J268" s="723"/>
      <c r="K268" s="723"/>
      <c r="L268" s="723"/>
      <c r="M268" s="723"/>
      <c r="N268" s="723"/>
      <c r="O268" s="723"/>
      <c r="P268" s="723"/>
      <c r="Q268" s="723"/>
      <c r="R268" s="723"/>
      <c r="S268" s="723"/>
      <c r="T268" s="723"/>
      <c r="U268" s="723"/>
      <c r="V268" s="723"/>
      <c r="W268" s="723"/>
      <c r="X268" s="723"/>
      <c r="Y268" s="723"/>
      <c r="Z268" s="723"/>
      <c r="AA268" s="723"/>
      <c r="AB268" s="723"/>
      <c r="AC268" s="723"/>
      <c r="AD268" s="723"/>
      <c r="AE268" s="723"/>
      <c r="AF268" s="723"/>
      <c r="AG268" s="723"/>
      <c r="AH268" s="723"/>
      <c r="AI268" s="723"/>
      <c r="AJ268" s="723"/>
      <c r="AK268" s="723"/>
      <c r="AL268" s="723"/>
      <c r="AM268" s="723"/>
      <c r="AN268" s="723"/>
      <c r="AO268" s="723"/>
      <c r="AP268" s="723"/>
      <c r="AQ268" s="723"/>
      <c r="AR268" s="723"/>
      <c r="AS268" s="723"/>
      <c r="AT268" s="723"/>
      <c r="AU268" s="723"/>
      <c r="AV268" s="723"/>
      <c r="AW268" s="723"/>
      <c r="AX268" s="723"/>
    </row>
    <row r="269" spans="1:50" s="7" customFormat="1" ht="14.5" x14ac:dyDescent="0.25">
      <c r="A269" s="3"/>
      <c r="B269" s="282"/>
      <c r="C269" s="50"/>
      <c r="D269" s="44"/>
      <c r="E269" s="747" t="str">
        <f xml:space="preserve"> E$27</f>
        <v>Tax per ton of CO2 eq emitted in start year</v>
      </c>
      <c r="F269" s="747">
        <f xml:space="preserve"> F$27</f>
        <v>20</v>
      </c>
      <c r="G269" s="747" t="str">
        <f xml:space="preserve"> G$27</f>
        <v>US$ / t CO2 eq</v>
      </c>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row>
    <row r="270" spans="1:50" s="810" customFormat="1" ht="14.5" x14ac:dyDescent="0.25">
      <c r="A270" s="723"/>
      <c r="B270" s="724"/>
      <c r="C270" s="725"/>
      <c r="D270" s="723"/>
      <c r="E270" s="747" t="str">
        <f xml:space="preserve"> E$32</f>
        <v>TargetYear - Tax per CO2 eq emitted in future year</v>
      </c>
      <c r="F270" s="747">
        <f xml:space="preserve"> F$32</f>
        <v>0</v>
      </c>
      <c r="G270" s="747" t="str">
        <f xml:space="preserve"> G$32</f>
        <v>US$ / t CO2 eq</v>
      </c>
      <c r="H270" s="723"/>
      <c r="I270" s="723"/>
      <c r="J270" s="723"/>
      <c r="K270" s="723"/>
      <c r="L270" s="723"/>
      <c r="M270" s="723"/>
      <c r="N270" s="723"/>
      <c r="O270" s="723"/>
      <c r="P270" s="723"/>
      <c r="Q270" s="723"/>
      <c r="R270" s="723"/>
      <c r="S270" s="723"/>
      <c r="T270" s="723"/>
      <c r="U270" s="723"/>
      <c r="V270" s="723"/>
      <c r="W270" s="723"/>
      <c r="X270" s="723"/>
      <c r="Y270" s="723"/>
      <c r="Z270" s="723"/>
      <c r="AA270" s="723"/>
      <c r="AB270" s="723"/>
      <c r="AC270" s="723"/>
      <c r="AD270" s="723"/>
      <c r="AE270" s="723"/>
      <c r="AF270" s="723"/>
      <c r="AG270" s="723"/>
      <c r="AH270" s="723"/>
      <c r="AI270" s="723"/>
      <c r="AJ270" s="723"/>
      <c r="AK270" s="723"/>
      <c r="AL270" s="723"/>
      <c r="AM270" s="723"/>
      <c r="AN270" s="723"/>
      <c r="AO270" s="723"/>
      <c r="AP270" s="723"/>
      <c r="AQ270" s="723"/>
      <c r="AR270" s="723"/>
      <c r="AS270" s="723"/>
      <c r="AT270" s="723"/>
      <c r="AU270" s="723"/>
      <c r="AV270" s="723"/>
      <c r="AW270" s="723"/>
      <c r="AX270" s="723"/>
    </row>
    <row r="271" spans="1:50" s="7" customFormat="1" ht="14.5" x14ac:dyDescent="0.25">
      <c r="A271" s="3"/>
      <c r="B271" s="282"/>
      <c r="C271" s="50"/>
      <c r="D271" s="3"/>
      <c r="E271" s="3" t="str">
        <f xml:space="preserve"> Translate!E$251</f>
        <v>Change in carbon tax between start and future year</v>
      </c>
      <c r="F271" s="44">
        <f xml:space="preserve"> F270 - F269</f>
        <v>-20</v>
      </c>
      <c r="G271" s="3" t="str">
        <f>G270</f>
        <v>US$ / t CO2 eq</v>
      </c>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row>
    <row r="272" spans="1:50" s="810" customFormat="1" ht="14.5" x14ac:dyDescent="0.25">
      <c r="A272" s="723"/>
      <c r="B272" s="724"/>
      <c r="C272" s="725"/>
      <c r="D272" s="723"/>
      <c r="E272" s="723"/>
      <c r="F272" s="809"/>
      <c r="G272" s="723"/>
      <c r="H272" s="723"/>
      <c r="I272" s="723"/>
      <c r="J272" s="723"/>
      <c r="K272" s="723"/>
      <c r="L272" s="723"/>
      <c r="M272" s="723"/>
      <c r="N272" s="723"/>
      <c r="O272" s="723"/>
      <c r="P272" s="723"/>
      <c r="Q272" s="723"/>
      <c r="R272" s="723"/>
      <c r="S272" s="723"/>
      <c r="T272" s="723"/>
      <c r="U272" s="723"/>
      <c r="V272" s="723"/>
      <c r="W272" s="723"/>
      <c r="X272" s="723"/>
      <c r="Y272" s="723"/>
      <c r="Z272" s="723"/>
      <c r="AA272" s="723"/>
      <c r="AB272" s="723"/>
      <c r="AC272" s="723"/>
      <c r="AD272" s="723"/>
      <c r="AE272" s="723"/>
      <c r="AF272" s="723"/>
      <c r="AG272" s="723"/>
      <c r="AH272" s="723"/>
      <c r="AI272" s="723"/>
      <c r="AJ272" s="723"/>
      <c r="AK272" s="723"/>
      <c r="AL272" s="723"/>
      <c r="AM272" s="723"/>
      <c r="AN272" s="723"/>
      <c r="AO272" s="723"/>
      <c r="AP272" s="723"/>
      <c r="AQ272" s="723"/>
      <c r="AR272" s="723"/>
      <c r="AS272" s="723"/>
      <c r="AT272" s="723"/>
      <c r="AU272" s="723"/>
      <c r="AV272" s="723"/>
      <c r="AW272" s="723"/>
      <c r="AX272" s="723"/>
    </row>
    <row r="273" spans="1:50" s="7" customFormat="1" ht="14.5" x14ac:dyDescent="0.25">
      <c r="A273" s="3"/>
      <c r="B273" s="282"/>
      <c r="C273" s="50"/>
      <c r="D273" s="3"/>
      <c r="E273" s="3" t="str">
        <f>E271</f>
        <v>Change in carbon tax between start and future year</v>
      </c>
      <c r="F273" s="44">
        <f>F271</f>
        <v>-20</v>
      </c>
      <c r="G273" s="3" t="str">
        <f>G271</f>
        <v>US$ / t CO2 eq</v>
      </c>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row>
    <row r="274" spans="1:50" s="7" customFormat="1" ht="14.5" x14ac:dyDescent="0.25">
      <c r="A274" s="3"/>
      <c r="B274" s="282"/>
      <c r="C274" s="50"/>
      <c r="D274" s="3"/>
      <c r="E274" s="3" t="str">
        <f>E267</f>
        <v>Years of carbon tax until it reaches target level</v>
      </c>
      <c r="F274" s="44">
        <f>F267</f>
        <v>0</v>
      </c>
      <c r="G274" s="3" t="str">
        <f>G267</f>
        <v>Year</v>
      </c>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row>
    <row r="275" spans="1:50" s="821" customFormat="1" ht="14.5" x14ac:dyDescent="0.25">
      <c r="A275" s="818"/>
      <c r="B275" s="819"/>
      <c r="C275" s="820"/>
      <c r="D275" s="818"/>
      <c r="E275" s="818" t="str">
        <f xml:space="preserve"> Translate!E$252</f>
        <v>Annual increase in carbon tax</v>
      </c>
      <c r="F275" s="489">
        <f xml:space="preserve"> IF( F274 = 0, 0, F273 / F274)</f>
        <v>0</v>
      </c>
      <c r="G275" s="818" t="str">
        <f>G273</f>
        <v>US$ / t CO2 eq</v>
      </c>
      <c r="H275" s="818"/>
      <c r="I275" s="818"/>
      <c r="J275" s="818"/>
      <c r="K275" s="818"/>
      <c r="L275" s="818"/>
      <c r="M275" s="818"/>
      <c r="N275" s="818"/>
      <c r="O275" s="818"/>
      <c r="P275" s="818"/>
      <c r="Q275" s="818"/>
      <c r="R275" s="818"/>
      <c r="S275" s="818"/>
      <c r="T275" s="818"/>
      <c r="U275" s="818"/>
      <c r="V275" s="818"/>
      <c r="W275" s="818"/>
      <c r="X275" s="818"/>
      <c r="Y275" s="818"/>
      <c r="Z275" s="818"/>
      <c r="AA275" s="818"/>
      <c r="AB275" s="818"/>
      <c r="AC275" s="818"/>
      <c r="AD275" s="818"/>
      <c r="AE275" s="818"/>
      <c r="AF275" s="818"/>
      <c r="AG275" s="818"/>
      <c r="AH275" s="818"/>
      <c r="AI275" s="818"/>
      <c r="AJ275" s="818"/>
      <c r="AK275" s="818"/>
      <c r="AL275" s="818"/>
      <c r="AM275" s="818"/>
      <c r="AN275" s="818"/>
      <c r="AO275" s="818"/>
      <c r="AP275" s="818"/>
      <c r="AQ275" s="818"/>
      <c r="AR275" s="818"/>
      <c r="AS275" s="818"/>
      <c r="AT275" s="818"/>
      <c r="AU275" s="818"/>
      <c r="AV275" s="818"/>
      <c r="AW275" s="818"/>
      <c r="AX275" s="818"/>
    </row>
    <row r="276" spans="1:50" s="810" customFormat="1" ht="14.5" x14ac:dyDescent="0.25">
      <c r="A276" s="723"/>
      <c r="B276" s="724"/>
      <c r="C276" s="725"/>
      <c r="D276" s="723"/>
      <c r="E276" s="723"/>
      <c r="F276" s="809"/>
      <c r="G276" s="723"/>
      <c r="H276" s="723"/>
      <c r="I276" s="723"/>
      <c r="J276" s="723"/>
      <c r="K276" s="723"/>
      <c r="L276" s="723"/>
      <c r="M276" s="723"/>
      <c r="N276" s="723"/>
      <c r="O276" s="723"/>
      <c r="P276" s="723"/>
      <c r="Q276" s="723"/>
      <c r="R276" s="723"/>
      <c r="S276" s="723"/>
      <c r="T276" s="723"/>
      <c r="U276" s="723"/>
      <c r="V276" s="723"/>
      <c r="W276" s="723"/>
      <c r="X276" s="723"/>
      <c r="Y276" s="723"/>
      <c r="Z276" s="723"/>
      <c r="AA276" s="723"/>
      <c r="AB276" s="723"/>
      <c r="AC276" s="723"/>
      <c r="AD276" s="723"/>
      <c r="AE276" s="723"/>
      <c r="AF276" s="723"/>
      <c r="AG276" s="723"/>
      <c r="AH276" s="723"/>
      <c r="AI276" s="723"/>
      <c r="AJ276" s="723"/>
      <c r="AK276" s="723"/>
      <c r="AL276" s="723"/>
      <c r="AM276" s="723"/>
      <c r="AN276" s="723"/>
      <c r="AO276" s="723"/>
      <c r="AP276" s="723"/>
      <c r="AQ276" s="723"/>
      <c r="AR276" s="723"/>
      <c r="AS276" s="723"/>
      <c r="AT276" s="723"/>
      <c r="AU276" s="723"/>
      <c r="AV276" s="723"/>
      <c r="AW276" s="723"/>
      <c r="AX276" s="723"/>
    </row>
    <row r="277" spans="1:50" s="7" customFormat="1" ht="14.5" x14ac:dyDescent="0.25">
      <c r="A277" s="3"/>
      <c r="B277" s="282"/>
      <c r="C277" s="50"/>
      <c r="D277" s="3"/>
      <c r="E277" s="3" t="str">
        <f t="shared" ref="E277:AX278" si="49">E239</f>
        <v>Carbon tax rate applicable</v>
      </c>
      <c r="F277" s="44">
        <f t="shared" si="49"/>
        <v>0</v>
      </c>
      <c r="G277" s="3" t="str">
        <f t="shared" si="49"/>
        <v>Flag</v>
      </c>
      <c r="H277" s="3">
        <f t="shared" si="49"/>
        <v>0</v>
      </c>
      <c r="I277" s="3">
        <f t="shared" si="49"/>
        <v>40</v>
      </c>
      <c r="J277" s="3">
        <f t="shared" si="49"/>
        <v>0</v>
      </c>
      <c r="K277" s="3">
        <f t="shared" si="49"/>
        <v>1</v>
      </c>
      <c r="L277" s="3">
        <f t="shared" si="49"/>
        <v>1</v>
      </c>
      <c r="M277" s="3">
        <f t="shared" si="49"/>
        <v>1</v>
      </c>
      <c r="N277" s="3">
        <f t="shared" si="49"/>
        <v>1</v>
      </c>
      <c r="O277" s="3">
        <f t="shared" si="49"/>
        <v>1</v>
      </c>
      <c r="P277" s="3">
        <f t="shared" si="49"/>
        <v>1</v>
      </c>
      <c r="Q277" s="3">
        <f t="shared" si="49"/>
        <v>1</v>
      </c>
      <c r="R277" s="3">
        <f t="shared" si="49"/>
        <v>1</v>
      </c>
      <c r="S277" s="3">
        <f t="shared" si="49"/>
        <v>1</v>
      </c>
      <c r="T277" s="3">
        <f t="shared" si="49"/>
        <v>1</v>
      </c>
      <c r="U277" s="3">
        <f t="shared" si="49"/>
        <v>1</v>
      </c>
      <c r="V277" s="3">
        <f t="shared" si="49"/>
        <v>1</v>
      </c>
      <c r="W277" s="3">
        <f t="shared" si="49"/>
        <v>1</v>
      </c>
      <c r="X277" s="3">
        <f t="shared" si="49"/>
        <v>1</v>
      </c>
      <c r="Y277" s="3">
        <f t="shared" si="49"/>
        <v>1</v>
      </c>
      <c r="Z277" s="3">
        <f t="shared" si="49"/>
        <v>1</v>
      </c>
      <c r="AA277" s="3">
        <f t="shared" si="49"/>
        <v>1</v>
      </c>
      <c r="AB277" s="3">
        <f t="shared" si="49"/>
        <v>1</v>
      </c>
      <c r="AC277" s="3">
        <f t="shared" si="49"/>
        <v>1</v>
      </c>
      <c r="AD277" s="3">
        <f t="shared" si="49"/>
        <v>1</v>
      </c>
      <c r="AE277" s="3">
        <f t="shared" si="49"/>
        <v>1</v>
      </c>
      <c r="AF277" s="3">
        <f t="shared" si="49"/>
        <v>1</v>
      </c>
      <c r="AG277" s="3">
        <f t="shared" si="49"/>
        <v>1</v>
      </c>
      <c r="AH277" s="3">
        <f t="shared" si="49"/>
        <v>1</v>
      </c>
      <c r="AI277" s="3">
        <f t="shared" si="49"/>
        <v>1</v>
      </c>
      <c r="AJ277" s="3">
        <f t="shared" si="49"/>
        <v>1</v>
      </c>
      <c r="AK277" s="3">
        <f t="shared" si="49"/>
        <v>1</v>
      </c>
      <c r="AL277" s="3">
        <f t="shared" si="49"/>
        <v>1</v>
      </c>
      <c r="AM277" s="3">
        <f t="shared" si="49"/>
        <v>1</v>
      </c>
      <c r="AN277" s="3">
        <f t="shared" si="49"/>
        <v>1</v>
      </c>
      <c r="AO277" s="3">
        <f t="shared" si="49"/>
        <v>1</v>
      </c>
      <c r="AP277" s="3">
        <f t="shared" si="49"/>
        <v>1</v>
      </c>
      <c r="AQ277" s="3">
        <f t="shared" si="49"/>
        <v>1</v>
      </c>
      <c r="AR277" s="3">
        <f t="shared" si="49"/>
        <v>1</v>
      </c>
      <c r="AS277" s="3">
        <f t="shared" si="49"/>
        <v>1</v>
      </c>
      <c r="AT277" s="3">
        <f t="shared" si="49"/>
        <v>1</v>
      </c>
      <c r="AU277" s="3">
        <f t="shared" si="49"/>
        <v>1</v>
      </c>
      <c r="AV277" s="3">
        <f t="shared" si="49"/>
        <v>1</v>
      </c>
      <c r="AW277" s="3">
        <f t="shared" si="49"/>
        <v>1</v>
      </c>
      <c r="AX277" s="3">
        <f t="shared" si="49"/>
        <v>1</v>
      </c>
    </row>
    <row r="278" spans="1:50" s="7" customFormat="1" ht="14.5" x14ac:dyDescent="0.25">
      <c r="A278" s="3"/>
      <c r="B278" s="282"/>
      <c r="C278" s="50"/>
      <c r="D278" s="3"/>
      <c r="E278" s="3" t="str">
        <f t="shared" si="49"/>
        <v>Year of carbon tax</v>
      </c>
      <c r="F278" s="44">
        <f t="shared" si="49"/>
        <v>0</v>
      </c>
      <c r="G278" s="3" t="str">
        <f t="shared" si="49"/>
        <v>Flag</v>
      </c>
      <c r="H278" s="3">
        <f t="shared" si="49"/>
        <v>0</v>
      </c>
      <c r="I278" s="3">
        <f t="shared" si="49"/>
        <v>0</v>
      </c>
      <c r="J278" s="3">
        <f t="shared" si="49"/>
        <v>0</v>
      </c>
      <c r="K278" s="3">
        <f t="shared" si="49"/>
        <v>1</v>
      </c>
      <c r="L278" s="3">
        <f t="shared" si="49"/>
        <v>2</v>
      </c>
      <c r="M278" s="3">
        <f t="shared" si="49"/>
        <v>3</v>
      </c>
      <c r="N278" s="3">
        <f t="shared" si="49"/>
        <v>4</v>
      </c>
      <c r="O278" s="3">
        <f t="shared" si="49"/>
        <v>5</v>
      </c>
      <c r="P278" s="3">
        <f t="shared" si="49"/>
        <v>6</v>
      </c>
      <c r="Q278" s="3">
        <f t="shared" si="49"/>
        <v>7</v>
      </c>
      <c r="R278" s="3">
        <f t="shared" si="49"/>
        <v>8</v>
      </c>
      <c r="S278" s="3">
        <f t="shared" si="49"/>
        <v>9</v>
      </c>
      <c r="T278" s="3">
        <f t="shared" si="49"/>
        <v>10</v>
      </c>
      <c r="U278" s="3">
        <f t="shared" si="49"/>
        <v>11</v>
      </c>
      <c r="V278" s="3">
        <f t="shared" si="49"/>
        <v>12</v>
      </c>
      <c r="W278" s="3">
        <f t="shared" si="49"/>
        <v>13</v>
      </c>
      <c r="X278" s="3">
        <f t="shared" si="49"/>
        <v>14</v>
      </c>
      <c r="Y278" s="3">
        <f t="shared" si="49"/>
        <v>15</v>
      </c>
      <c r="Z278" s="3">
        <f t="shared" si="49"/>
        <v>16</v>
      </c>
      <c r="AA278" s="3">
        <f t="shared" si="49"/>
        <v>17</v>
      </c>
      <c r="AB278" s="3">
        <f t="shared" si="49"/>
        <v>18</v>
      </c>
      <c r="AC278" s="3">
        <f t="shared" si="49"/>
        <v>19</v>
      </c>
      <c r="AD278" s="3">
        <f t="shared" si="49"/>
        <v>20</v>
      </c>
      <c r="AE278" s="3">
        <f t="shared" si="49"/>
        <v>21</v>
      </c>
      <c r="AF278" s="3">
        <f t="shared" si="49"/>
        <v>22</v>
      </c>
      <c r="AG278" s="3">
        <f t="shared" si="49"/>
        <v>23</v>
      </c>
      <c r="AH278" s="3">
        <f t="shared" si="49"/>
        <v>24</v>
      </c>
      <c r="AI278" s="3">
        <f t="shared" si="49"/>
        <v>25</v>
      </c>
      <c r="AJ278" s="3">
        <f t="shared" si="49"/>
        <v>26</v>
      </c>
      <c r="AK278" s="3">
        <f t="shared" si="49"/>
        <v>27</v>
      </c>
      <c r="AL278" s="3">
        <f t="shared" si="49"/>
        <v>28</v>
      </c>
      <c r="AM278" s="3">
        <f t="shared" si="49"/>
        <v>29</v>
      </c>
      <c r="AN278" s="3">
        <f t="shared" si="49"/>
        <v>30</v>
      </c>
      <c r="AO278" s="3">
        <f t="shared" si="49"/>
        <v>31</v>
      </c>
      <c r="AP278" s="3">
        <f t="shared" si="49"/>
        <v>32</v>
      </c>
      <c r="AQ278" s="3">
        <f t="shared" si="49"/>
        <v>33</v>
      </c>
      <c r="AR278" s="3">
        <f t="shared" si="49"/>
        <v>34</v>
      </c>
      <c r="AS278" s="3">
        <f t="shared" si="49"/>
        <v>35</v>
      </c>
      <c r="AT278" s="3">
        <f t="shared" si="49"/>
        <v>36</v>
      </c>
      <c r="AU278" s="3">
        <f t="shared" si="49"/>
        <v>37</v>
      </c>
      <c r="AV278" s="3">
        <f t="shared" si="49"/>
        <v>38</v>
      </c>
      <c r="AW278" s="3">
        <f t="shared" si="49"/>
        <v>39</v>
      </c>
      <c r="AX278" s="3">
        <f t="shared" si="49"/>
        <v>40</v>
      </c>
    </row>
    <row r="279" spans="1:50" s="7" customFormat="1" ht="14.5" x14ac:dyDescent="0.25">
      <c r="A279" s="3"/>
      <c r="B279" s="282"/>
      <c r="C279" s="50"/>
      <c r="D279" s="3"/>
      <c r="E279" s="3" t="str">
        <f xml:space="preserve"> Translate!E$253</f>
        <v>Carbon tax - Target level/year; before inflation adjustment</v>
      </c>
      <c r="F279" s="44"/>
      <c r="G279" s="3" t="str">
        <f xml:space="preserve"> Translate!E$610</f>
        <v>US$ / t CO2 eq</v>
      </c>
      <c r="H279" s="3"/>
      <c r="I279" s="3"/>
      <c r="J279" s="3"/>
      <c r="K279" s="3">
        <f xml:space="preserve"> IF( K278 &gt; $F267, $F270, $F269 + (K278 - 1) * $F275) * K277</f>
        <v>0</v>
      </c>
      <c r="L279" s="3">
        <f t="shared" ref="L279:AX279" si="50" xml:space="preserve"> IF( L278 &gt; $F267, $F270, $F269 + (L278 - 1) * $F275) * L277</f>
        <v>0</v>
      </c>
      <c r="M279" s="3">
        <f t="shared" si="50"/>
        <v>0</v>
      </c>
      <c r="N279" s="3">
        <f t="shared" si="50"/>
        <v>0</v>
      </c>
      <c r="O279" s="3">
        <f t="shared" si="50"/>
        <v>0</v>
      </c>
      <c r="P279" s="3">
        <f t="shared" si="50"/>
        <v>0</v>
      </c>
      <c r="Q279" s="3">
        <f t="shared" si="50"/>
        <v>0</v>
      </c>
      <c r="R279" s="3">
        <f t="shared" si="50"/>
        <v>0</v>
      </c>
      <c r="S279" s="3">
        <f t="shared" si="50"/>
        <v>0</v>
      </c>
      <c r="T279" s="3">
        <f xml:space="preserve"> IF( T278 &gt; $F267, $F270, $F269 + (T278 - 1) * $F275) * T277</f>
        <v>0</v>
      </c>
      <c r="U279" s="3">
        <f t="shared" si="50"/>
        <v>0</v>
      </c>
      <c r="V279" s="3">
        <f t="shared" si="50"/>
        <v>0</v>
      </c>
      <c r="W279" s="3">
        <f t="shared" si="50"/>
        <v>0</v>
      </c>
      <c r="X279" s="3">
        <f t="shared" si="50"/>
        <v>0</v>
      </c>
      <c r="Y279" s="3">
        <f t="shared" si="50"/>
        <v>0</v>
      </c>
      <c r="Z279" s="3">
        <f t="shared" si="50"/>
        <v>0</v>
      </c>
      <c r="AA279" s="3">
        <f t="shared" si="50"/>
        <v>0</v>
      </c>
      <c r="AB279" s="3">
        <f t="shared" si="50"/>
        <v>0</v>
      </c>
      <c r="AC279" s="3">
        <f t="shared" si="50"/>
        <v>0</v>
      </c>
      <c r="AD279" s="3">
        <f t="shared" si="50"/>
        <v>0</v>
      </c>
      <c r="AE279" s="3">
        <f t="shared" si="50"/>
        <v>0</v>
      </c>
      <c r="AF279" s="3">
        <f t="shared" si="50"/>
        <v>0</v>
      </c>
      <c r="AG279" s="3">
        <f t="shared" si="50"/>
        <v>0</v>
      </c>
      <c r="AH279" s="3">
        <f t="shared" si="50"/>
        <v>0</v>
      </c>
      <c r="AI279" s="3">
        <f t="shared" si="50"/>
        <v>0</v>
      </c>
      <c r="AJ279" s="3">
        <f t="shared" si="50"/>
        <v>0</v>
      </c>
      <c r="AK279" s="3">
        <f t="shared" si="50"/>
        <v>0</v>
      </c>
      <c r="AL279" s="3">
        <f t="shared" si="50"/>
        <v>0</v>
      </c>
      <c r="AM279" s="3">
        <f t="shared" si="50"/>
        <v>0</v>
      </c>
      <c r="AN279" s="3">
        <f t="shared" si="50"/>
        <v>0</v>
      </c>
      <c r="AO279" s="3">
        <f t="shared" si="50"/>
        <v>0</v>
      </c>
      <c r="AP279" s="3">
        <f t="shared" si="50"/>
        <v>0</v>
      </c>
      <c r="AQ279" s="3">
        <f t="shared" si="50"/>
        <v>0</v>
      </c>
      <c r="AR279" s="3">
        <f t="shared" si="50"/>
        <v>0</v>
      </c>
      <c r="AS279" s="3">
        <f t="shared" si="50"/>
        <v>0</v>
      </c>
      <c r="AT279" s="3">
        <f t="shared" si="50"/>
        <v>0</v>
      </c>
      <c r="AU279" s="3">
        <f t="shared" si="50"/>
        <v>0</v>
      </c>
      <c r="AV279" s="3">
        <f t="shared" si="50"/>
        <v>0</v>
      </c>
      <c r="AW279" s="3">
        <f t="shared" si="50"/>
        <v>0</v>
      </c>
      <c r="AX279" s="3">
        <f t="shared" si="50"/>
        <v>0</v>
      </c>
    </row>
    <row r="280" spans="1:50" s="810" customFormat="1" ht="14.5" x14ac:dyDescent="0.25">
      <c r="A280" s="723"/>
      <c r="B280" s="724"/>
      <c r="C280" s="725"/>
      <c r="D280" s="723"/>
      <c r="E280" s="723"/>
      <c r="F280" s="809"/>
      <c r="G280" s="723"/>
      <c r="H280" s="723"/>
      <c r="I280" s="723"/>
      <c r="J280" s="723"/>
      <c r="K280" s="723"/>
      <c r="L280" s="723"/>
      <c r="M280" s="723"/>
      <c r="N280" s="723"/>
      <c r="O280" s="723"/>
      <c r="P280" s="723"/>
      <c r="Q280" s="723"/>
      <c r="R280" s="723"/>
      <c r="S280" s="723"/>
      <c r="T280" s="723"/>
      <c r="U280" s="723"/>
      <c r="V280" s="723"/>
      <c r="W280" s="723"/>
      <c r="X280" s="723"/>
      <c r="Y280" s="723"/>
      <c r="Z280" s="723"/>
      <c r="AA280" s="723"/>
      <c r="AB280" s="723"/>
      <c r="AC280" s="723"/>
      <c r="AD280" s="723"/>
      <c r="AE280" s="723"/>
      <c r="AF280" s="723"/>
      <c r="AG280" s="723"/>
      <c r="AH280" s="723"/>
      <c r="AI280" s="723"/>
      <c r="AJ280" s="723"/>
      <c r="AK280" s="723"/>
      <c r="AL280" s="723"/>
      <c r="AM280" s="723"/>
      <c r="AN280" s="723"/>
      <c r="AO280" s="723"/>
      <c r="AP280" s="723"/>
      <c r="AQ280" s="723"/>
      <c r="AR280" s="723"/>
      <c r="AS280" s="723"/>
      <c r="AT280" s="723"/>
      <c r="AU280" s="723"/>
      <c r="AV280" s="723"/>
      <c r="AW280" s="723"/>
      <c r="AX280" s="723"/>
    </row>
    <row r="281" spans="1:50" s="810" customFormat="1" ht="14.5" x14ac:dyDescent="0.25">
      <c r="A281" s="723"/>
      <c r="B281" s="724" t="str">
        <f>Translate!$E$424</f>
        <v>Tax rate - select</v>
      </c>
      <c r="C281" s="725"/>
      <c r="D281" s="723"/>
      <c r="E281" s="723"/>
      <c r="F281" s="809"/>
      <c r="G281" s="723"/>
      <c r="H281" s="723"/>
      <c r="I281" s="723"/>
      <c r="J281" s="723"/>
      <c r="K281" s="723"/>
      <c r="L281" s="723"/>
      <c r="M281" s="723"/>
      <c r="N281" s="723"/>
      <c r="O281" s="723"/>
      <c r="P281" s="723"/>
      <c r="Q281" s="723"/>
      <c r="R281" s="723"/>
      <c r="S281" s="723"/>
      <c r="T281" s="723"/>
      <c r="U281" s="723"/>
      <c r="V281" s="723"/>
      <c r="W281" s="723"/>
      <c r="X281" s="723"/>
      <c r="Y281" s="723"/>
      <c r="Z281" s="723"/>
      <c r="AA281" s="723"/>
      <c r="AB281" s="723"/>
      <c r="AC281" s="723"/>
      <c r="AD281" s="723"/>
      <c r="AE281" s="723"/>
      <c r="AF281" s="723"/>
      <c r="AG281" s="723"/>
      <c r="AH281" s="723"/>
      <c r="AI281" s="723"/>
      <c r="AJ281" s="723"/>
      <c r="AK281" s="723"/>
      <c r="AL281" s="723"/>
      <c r="AM281" s="723"/>
      <c r="AN281" s="723"/>
      <c r="AO281" s="723"/>
      <c r="AP281" s="723"/>
      <c r="AQ281" s="723"/>
      <c r="AR281" s="723"/>
      <c r="AS281" s="723"/>
      <c r="AT281" s="723"/>
      <c r="AU281" s="723"/>
      <c r="AV281" s="723"/>
      <c r="AW281" s="723"/>
      <c r="AX281" s="723"/>
    </row>
    <row r="282" spans="1:50" s="810" customFormat="1" ht="14.5" x14ac:dyDescent="0.25">
      <c r="A282" s="723"/>
      <c r="B282" s="724"/>
      <c r="C282" s="725"/>
      <c r="D282" s="723"/>
      <c r="E282" s="747" t="str">
        <f xml:space="preserve"> E$30</f>
        <v>Method to change carbon tax over time</v>
      </c>
      <c r="F282" s="747" t="str">
        <f xml:space="preserve"> F$30</f>
        <v>Percentage</v>
      </c>
      <c r="G282" s="747" t="str">
        <f xml:space="preserve"> G$30</f>
        <v>Option</v>
      </c>
      <c r="H282" s="747">
        <f xml:space="preserve"> H$33</f>
        <v>0</v>
      </c>
      <c r="I282" s="723"/>
      <c r="J282" s="723"/>
      <c r="K282" s="723"/>
      <c r="L282" s="723"/>
      <c r="M282" s="723"/>
      <c r="N282" s="723"/>
      <c r="O282" s="723"/>
      <c r="P282" s="723"/>
      <c r="Q282" s="723"/>
      <c r="R282" s="723"/>
      <c r="S282" s="723"/>
      <c r="T282" s="723"/>
      <c r="U282" s="723"/>
      <c r="V282" s="723"/>
      <c r="W282" s="723"/>
      <c r="X282" s="723"/>
      <c r="Y282" s="723"/>
      <c r="Z282" s="723"/>
      <c r="AA282" s="723"/>
      <c r="AB282" s="723"/>
      <c r="AC282" s="723"/>
      <c r="AD282" s="723"/>
      <c r="AE282" s="723"/>
      <c r="AF282" s="723"/>
      <c r="AG282" s="723"/>
      <c r="AH282" s="723"/>
      <c r="AI282" s="723"/>
      <c r="AJ282" s="723"/>
      <c r="AK282" s="723"/>
      <c r="AL282" s="723"/>
      <c r="AM282" s="723"/>
      <c r="AN282" s="723"/>
      <c r="AO282" s="723"/>
      <c r="AP282" s="723"/>
      <c r="AQ282" s="723"/>
      <c r="AR282" s="723"/>
      <c r="AS282" s="723"/>
      <c r="AT282" s="723"/>
      <c r="AU282" s="723"/>
      <c r="AV282" s="723"/>
      <c r="AW282" s="723"/>
      <c r="AX282" s="723"/>
    </row>
    <row r="283" spans="1:50" s="810" customFormat="1" ht="14.5" x14ac:dyDescent="0.25">
      <c r="A283" s="723"/>
      <c r="B283" s="724"/>
      <c r="C283" s="725"/>
      <c r="D283" s="723"/>
      <c r="E283" s="723" t="str">
        <f xml:space="preserve"> Translate!E$254</f>
        <v>Carbon tax - option 1</v>
      </c>
      <c r="F283" s="822" t="str">
        <f>Translate!$E$740</f>
        <v>Percentage</v>
      </c>
      <c r="G283" s="723" t="str">
        <f xml:space="preserve"> Translate!E$103</f>
        <v>Option</v>
      </c>
      <c r="H283" s="723"/>
      <c r="I283" s="723"/>
      <c r="J283" s="723"/>
      <c r="K283" s="723"/>
      <c r="L283" s="723"/>
      <c r="M283" s="723"/>
      <c r="N283" s="723"/>
      <c r="O283" s="723"/>
      <c r="P283" s="723"/>
      <c r="Q283" s="723"/>
      <c r="R283" s="723"/>
      <c r="S283" s="723"/>
      <c r="T283" s="723"/>
      <c r="U283" s="723"/>
      <c r="V283" s="723"/>
      <c r="W283" s="723"/>
      <c r="X283" s="723"/>
      <c r="Y283" s="723"/>
      <c r="Z283" s="723"/>
      <c r="AA283" s="723"/>
      <c r="AB283" s="723"/>
      <c r="AC283" s="723"/>
      <c r="AD283" s="723"/>
      <c r="AE283" s="723"/>
      <c r="AF283" s="723"/>
      <c r="AG283" s="723"/>
      <c r="AH283" s="723"/>
      <c r="AI283" s="723"/>
      <c r="AJ283" s="723"/>
      <c r="AK283" s="723"/>
      <c r="AL283" s="723"/>
      <c r="AM283" s="723"/>
      <c r="AN283" s="723"/>
      <c r="AO283" s="723"/>
      <c r="AP283" s="723"/>
      <c r="AQ283" s="723"/>
      <c r="AR283" s="723"/>
      <c r="AS283" s="723"/>
      <c r="AT283" s="723"/>
      <c r="AU283" s="723"/>
      <c r="AV283" s="723"/>
      <c r="AW283" s="723"/>
      <c r="AX283" s="723"/>
    </row>
    <row r="284" spans="1:50" s="810" customFormat="1" ht="14.5" x14ac:dyDescent="0.25">
      <c r="A284" s="723"/>
      <c r="B284" s="724"/>
      <c r="C284" s="725"/>
      <c r="D284" s="723"/>
      <c r="E284" s="723" t="str">
        <f xml:space="preserve"> Translate!E$255</f>
        <v>Carbon tax - option 2</v>
      </c>
      <c r="F284" s="822" t="str">
        <f>Translate!$E$741</f>
        <v>TargetYear</v>
      </c>
      <c r="G284" s="723" t="str">
        <f xml:space="preserve"> Translate!E$103</f>
        <v>Option</v>
      </c>
      <c r="H284" s="723"/>
      <c r="I284" s="723"/>
      <c r="J284" s="723"/>
      <c r="K284" s="723"/>
      <c r="L284" s="723"/>
      <c r="M284" s="723"/>
      <c r="N284" s="723"/>
      <c r="O284" s="723"/>
      <c r="P284" s="723"/>
      <c r="Q284" s="723"/>
      <c r="R284" s="723"/>
      <c r="S284" s="723"/>
      <c r="T284" s="723"/>
      <c r="U284" s="723"/>
      <c r="V284" s="723"/>
      <c r="W284" s="723"/>
      <c r="X284" s="723"/>
      <c r="Y284" s="723"/>
      <c r="Z284" s="723"/>
      <c r="AA284" s="723"/>
      <c r="AB284" s="723"/>
      <c r="AC284" s="723"/>
      <c r="AD284" s="723"/>
      <c r="AE284" s="723"/>
      <c r="AF284" s="723"/>
      <c r="AG284" s="723"/>
      <c r="AH284" s="723"/>
      <c r="AI284" s="723"/>
      <c r="AJ284" s="723"/>
      <c r="AK284" s="723"/>
      <c r="AL284" s="723"/>
      <c r="AM284" s="723"/>
      <c r="AN284" s="723"/>
      <c r="AO284" s="723"/>
      <c r="AP284" s="723"/>
      <c r="AQ284" s="723"/>
      <c r="AR284" s="723"/>
      <c r="AS284" s="723"/>
      <c r="AT284" s="723"/>
      <c r="AU284" s="723"/>
      <c r="AV284" s="723"/>
      <c r="AW284" s="723"/>
      <c r="AX284" s="723"/>
    </row>
    <row r="285" spans="1:50" s="810" customFormat="1" ht="14.5" x14ac:dyDescent="0.25">
      <c r="A285" s="723"/>
      <c r="B285" s="724"/>
      <c r="C285" s="725"/>
      <c r="D285" s="723"/>
      <c r="E285" s="723"/>
      <c r="F285" s="809"/>
      <c r="G285" s="723"/>
      <c r="H285" s="723"/>
      <c r="I285" s="723"/>
      <c r="J285" s="723"/>
      <c r="K285" s="723"/>
      <c r="L285" s="723"/>
      <c r="M285" s="723"/>
      <c r="N285" s="723"/>
      <c r="O285" s="723"/>
      <c r="P285" s="723"/>
      <c r="Q285" s="723"/>
      <c r="R285" s="723"/>
      <c r="S285" s="723"/>
      <c r="T285" s="723"/>
      <c r="U285" s="723"/>
      <c r="V285" s="723"/>
      <c r="W285" s="723"/>
      <c r="X285" s="723"/>
      <c r="Y285" s="723"/>
      <c r="Z285" s="723"/>
      <c r="AA285" s="723"/>
      <c r="AB285" s="723"/>
      <c r="AC285" s="723"/>
      <c r="AD285" s="723"/>
      <c r="AE285" s="723"/>
      <c r="AF285" s="723"/>
      <c r="AG285" s="723"/>
      <c r="AH285" s="723"/>
      <c r="AI285" s="723"/>
      <c r="AJ285" s="723"/>
      <c r="AK285" s="723"/>
      <c r="AL285" s="723"/>
      <c r="AM285" s="723"/>
      <c r="AN285" s="723"/>
      <c r="AO285" s="723"/>
      <c r="AP285" s="723"/>
      <c r="AQ285" s="723"/>
      <c r="AR285" s="723"/>
      <c r="AS285" s="723"/>
      <c r="AT285" s="723"/>
      <c r="AU285" s="723"/>
      <c r="AV285" s="723"/>
      <c r="AW285" s="723"/>
      <c r="AX285" s="723"/>
    </row>
    <row r="286" spans="1:50" s="7" customFormat="1" ht="14.5" x14ac:dyDescent="0.25">
      <c r="A286" s="3"/>
      <c r="B286" s="282"/>
      <c r="C286" s="50"/>
      <c r="D286" s="3"/>
      <c r="E286" s="3" t="str">
        <f t="shared" ref="E286:AX286" si="51">E261</f>
        <v>Carbon tax - Percentage method; before inflation adjustment</v>
      </c>
      <c r="F286" s="44">
        <f t="shared" si="51"/>
        <v>0</v>
      </c>
      <c r="G286" s="3" t="str">
        <f t="shared" si="51"/>
        <v>US$ / t CO2 eq</v>
      </c>
      <c r="H286" s="3">
        <f t="shared" si="51"/>
        <v>0</v>
      </c>
      <c r="I286" s="3">
        <f t="shared" si="51"/>
        <v>0</v>
      </c>
      <c r="J286" s="3">
        <f t="shared" si="51"/>
        <v>0</v>
      </c>
      <c r="K286" s="3">
        <f t="shared" si="51"/>
        <v>20</v>
      </c>
      <c r="L286" s="3">
        <f t="shared" si="51"/>
        <v>20</v>
      </c>
      <c r="M286" s="3">
        <f t="shared" si="51"/>
        <v>20</v>
      </c>
      <c r="N286" s="3">
        <f t="shared" si="51"/>
        <v>20</v>
      </c>
      <c r="O286" s="3">
        <f t="shared" si="51"/>
        <v>20</v>
      </c>
      <c r="P286" s="3">
        <f t="shared" si="51"/>
        <v>20</v>
      </c>
      <c r="Q286" s="3">
        <f t="shared" si="51"/>
        <v>20</v>
      </c>
      <c r="R286" s="3">
        <f t="shared" si="51"/>
        <v>20</v>
      </c>
      <c r="S286" s="3">
        <f t="shared" si="51"/>
        <v>20</v>
      </c>
      <c r="T286" s="3">
        <f t="shared" si="51"/>
        <v>20</v>
      </c>
      <c r="U286" s="3">
        <f t="shared" si="51"/>
        <v>20</v>
      </c>
      <c r="V286" s="3">
        <f t="shared" si="51"/>
        <v>20</v>
      </c>
      <c r="W286" s="3">
        <f t="shared" si="51"/>
        <v>20</v>
      </c>
      <c r="X286" s="3">
        <f t="shared" si="51"/>
        <v>20</v>
      </c>
      <c r="Y286" s="3">
        <f t="shared" si="51"/>
        <v>20</v>
      </c>
      <c r="Z286" s="3">
        <f t="shared" si="51"/>
        <v>20</v>
      </c>
      <c r="AA286" s="3">
        <f t="shared" si="51"/>
        <v>20</v>
      </c>
      <c r="AB286" s="3">
        <f t="shared" si="51"/>
        <v>20</v>
      </c>
      <c r="AC286" s="3">
        <f t="shared" si="51"/>
        <v>20</v>
      </c>
      <c r="AD286" s="3">
        <f t="shared" si="51"/>
        <v>20</v>
      </c>
      <c r="AE286" s="3">
        <f t="shared" si="51"/>
        <v>20</v>
      </c>
      <c r="AF286" s="3">
        <f t="shared" si="51"/>
        <v>20</v>
      </c>
      <c r="AG286" s="3">
        <f t="shared" si="51"/>
        <v>20</v>
      </c>
      <c r="AH286" s="3">
        <f t="shared" si="51"/>
        <v>20</v>
      </c>
      <c r="AI286" s="3">
        <f t="shared" si="51"/>
        <v>20</v>
      </c>
      <c r="AJ286" s="3">
        <f t="shared" si="51"/>
        <v>20</v>
      </c>
      <c r="AK286" s="3">
        <f t="shared" si="51"/>
        <v>20</v>
      </c>
      <c r="AL286" s="3">
        <f t="shared" si="51"/>
        <v>20</v>
      </c>
      <c r="AM286" s="3">
        <f t="shared" si="51"/>
        <v>20</v>
      </c>
      <c r="AN286" s="3">
        <f t="shared" si="51"/>
        <v>20</v>
      </c>
      <c r="AO286" s="3">
        <f t="shared" si="51"/>
        <v>20</v>
      </c>
      <c r="AP286" s="3">
        <f t="shared" si="51"/>
        <v>20</v>
      </c>
      <c r="AQ286" s="3">
        <f t="shared" si="51"/>
        <v>20</v>
      </c>
      <c r="AR286" s="3">
        <f t="shared" si="51"/>
        <v>20</v>
      </c>
      <c r="AS286" s="3">
        <f t="shared" si="51"/>
        <v>20</v>
      </c>
      <c r="AT286" s="3">
        <f t="shared" si="51"/>
        <v>20</v>
      </c>
      <c r="AU286" s="3">
        <f t="shared" si="51"/>
        <v>20</v>
      </c>
      <c r="AV286" s="3">
        <f t="shared" si="51"/>
        <v>20</v>
      </c>
      <c r="AW286" s="3">
        <f t="shared" si="51"/>
        <v>20</v>
      </c>
      <c r="AX286" s="3">
        <f t="shared" si="51"/>
        <v>20</v>
      </c>
    </row>
    <row r="287" spans="1:50" s="7" customFormat="1" ht="14.5" x14ac:dyDescent="0.25">
      <c r="A287" s="3"/>
      <c r="B287" s="282"/>
      <c r="C287" s="50"/>
      <c r="D287" s="3"/>
      <c r="E287" s="3" t="str">
        <f t="shared" ref="E287:AX287" si="52">E279</f>
        <v>Carbon tax - Target level/year; before inflation adjustment</v>
      </c>
      <c r="F287" s="44">
        <f t="shared" si="52"/>
        <v>0</v>
      </c>
      <c r="G287" s="3" t="str">
        <f t="shared" si="52"/>
        <v>US$ / t CO2 eq</v>
      </c>
      <c r="H287" s="3">
        <f t="shared" si="52"/>
        <v>0</v>
      </c>
      <c r="I287" s="3">
        <f t="shared" si="52"/>
        <v>0</v>
      </c>
      <c r="J287" s="3">
        <f t="shared" si="52"/>
        <v>0</v>
      </c>
      <c r="K287" s="3">
        <f t="shared" si="52"/>
        <v>0</v>
      </c>
      <c r="L287" s="3">
        <f t="shared" si="52"/>
        <v>0</v>
      </c>
      <c r="M287" s="3">
        <f t="shared" si="52"/>
        <v>0</v>
      </c>
      <c r="N287" s="3">
        <f t="shared" si="52"/>
        <v>0</v>
      </c>
      <c r="O287" s="3">
        <f t="shared" si="52"/>
        <v>0</v>
      </c>
      <c r="P287" s="3">
        <f t="shared" si="52"/>
        <v>0</v>
      </c>
      <c r="Q287" s="3">
        <f t="shared" si="52"/>
        <v>0</v>
      </c>
      <c r="R287" s="3">
        <f t="shared" si="52"/>
        <v>0</v>
      </c>
      <c r="S287" s="3">
        <f t="shared" si="52"/>
        <v>0</v>
      </c>
      <c r="T287" s="3">
        <f t="shared" si="52"/>
        <v>0</v>
      </c>
      <c r="U287" s="3">
        <f t="shared" si="52"/>
        <v>0</v>
      </c>
      <c r="V287" s="3">
        <f t="shared" si="52"/>
        <v>0</v>
      </c>
      <c r="W287" s="3">
        <f t="shared" si="52"/>
        <v>0</v>
      </c>
      <c r="X287" s="3">
        <f t="shared" si="52"/>
        <v>0</v>
      </c>
      <c r="Y287" s="3">
        <f t="shared" si="52"/>
        <v>0</v>
      </c>
      <c r="Z287" s="3">
        <f t="shared" si="52"/>
        <v>0</v>
      </c>
      <c r="AA287" s="3">
        <f t="shared" si="52"/>
        <v>0</v>
      </c>
      <c r="AB287" s="3">
        <f t="shared" si="52"/>
        <v>0</v>
      </c>
      <c r="AC287" s="3">
        <f t="shared" si="52"/>
        <v>0</v>
      </c>
      <c r="AD287" s="3">
        <f t="shared" si="52"/>
        <v>0</v>
      </c>
      <c r="AE287" s="3">
        <f t="shared" si="52"/>
        <v>0</v>
      </c>
      <c r="AF287" s="3">
        <f t="shared" si="52"/>
        <v>0</v>
      </c>
      <c r="AG287" s="3">
        <f t="shared" si="52"/>
        <v>0</v>
      </c>
      <c r="AH287" s="3">
        <f t="shared" si="52"/>
        <v>0</v>
      </c>
      <c r="AI287" s="3">
        <f t="shared" si="52"/>
        <v>0</v>
      </c>
      <c r="AJ287" s="3">
        <f t="shared" si="52"/>
        <v>0</v>
      </c>
      <c r="AK287" s="3">
        <f t="shared" si="52"/>
        <v>0</v>
      </c>
      <c r="AL287" s="3">
        <f t="shared" si="52"/>
        <v>0</v>
      </c>
      <c r="AM287" s="3">
        <f t="shared" si="52"/>
        <v>0</v>
      </c>
      <c r="AN287" s="3">
        <f t="shared" si="52"/>
        <v>0</v>
      </c>
      <c r="AO287" s="3">
        <f t="shared" si="52"/>
        <v>0</v>
      </c>
      <c r="AP287" s="3">
        <f t="shared" si="52"/>
        <v>0</v>
      </c>
      <c r="AQ287" s="3">
        <f t="shared" si="52"/>
        <v>0</v>
      </c>
      <c r="AR287" s="3">
        <f t="shared" si="52"/>
        <v>0</v>
      </c>
      <c r="AS287" s="3">
        <f t="shared" si="52"/>
        <v>0</v>
      </c>
      <c r="AT287" s="3">
        <f t="shared" si="52"/>
        <v>0</v>
      </c>
      <c r="AU287" s="3">
        <f t="shared" si="52"/>
        <v>0</v>
      </c>
      <c r="AV287" s="3">
        <f t="shared" si="52"/>
        <v>0</v>
      </c>
      <c r="AW287" s="3">
        <f t="shared" si="52"/>
        <v>0</v>
      </c>
      <c r="AX287" s="3">
        <f t="shared" si="52"/>
        <v>0</v>
      </c>
    </row>
    <row r="288" spans="1:50" s="810" customFormat="1" ht="14.5" x14ac:dyDescent="0.25">
      <c r="A288" s="723"/>
      <c r="B288" s="724"/>
      <c r="C288" s="725"/>
      <c r="D288" s="723"/>
      <c r="E288" s="723"/>
      <c r="F288" s="809"/>
      <c r="G288" s="723"/>
      <c r="H288" s="723"/>
      <c r="I288" s="723"/>
      <c r="J288" s="723"/>
      <c r="K288" s="723"/>
      <c r="L288" s="723"/>
      <c r="M288" s="723"/>
      <c r="N288" s="723"/>
      <c r="O288" s="723"/>
      <c r="P288" s="723"/>
      <c r="Q288" s="723"/>
      <c r="R288" s="723"/>
      <c r="S288" s="723"/>
      <c r="T288" s="723"/>
      <c r="U288" s="723"/>
      <c r="V288" s="723"/>
      <c r="W288" s="723"/>
      <c r="X288" s="723"/>
      <c r="Y288" s="723"/>
      <c r="Z288" s="723"/>
      <c r="AA288" s="723"/>
      <c r="AB288" s="723"/>
      <c r="AC288" s="723"/>
      <c r="AD288" s="723"/>
      <c r="AE288" s="723"/>
      <c r="AF288" s="723"/>
      <c r="AG288" s="723"/>
      <c r="AH288" s="723"/>
      <c r="AI288" s="723"/>
      <c r="AJ288" s="723"/>
      <c r="AK288" s="723"/>
      <c r="AL288" s="723"/>
      <c r="AM288" s="723"/>
      <c r="AN288" s="723"/>
      <c r="AO288" s="723"/>
      <c r="AP288" s="723"/>
      <c r="AQ288" s="723"/>
      <c r="AR288" s="723"/>
      <c r="AS288" s="723"/>
      <c r="AT288" s="723"/>
      <c r="AU288" s="723"/>
      <c r="AV288" s="723"/>
      <c r="AW288" s="723"/>
      <c r="AX288" s="723"/>
    </row>
    <row r="289" spans="1:50" s="55" customFormat="1" ht="14.5" x14ac:dyDescent="0.25">
      <c r="A289" s="48"/>
      <c r="B289" s="145"/>
      <c r="C289" s="146"/>
      <c r="D289" s="48"/>
      <c r="E289" s="48" t="str">
        <f xml:space="preserve"> IF( $F282 = $F284, E287, E286)</f>
        <v>Carbon tax - Percentage method; before inflation adjustment</v>
      </c>
      <c r="F289" s="147"/>
      <c r="G289" s="48" t="str">
        <f xml:space="preserve"> Translate!E$610</f>
        <v>US$ / t CO2 eq</v>
      </c>
      <c r="H289" s="48"/>
      <c r="I289" s="48"/>
      <c r="J289" s="48"/>
      <c r="K289" s="48">
        <f t="shared" ref="K289:AX289" si="53" xml:space="preserve"> IF( $F282 = $F284, K287, K286)</f>
        <v>20</v>
      </c>
      <c r="L289" s="48">
        <f t="shared" si="53"/>
        <v>20</v>
      </c>
      <c r="M289" s="48">
        <f t="shared" si="53"/>
        <v>20</v>
      </c>
      <c r="N289" s="48">
        <f t="shared" si="53"/>
        <v>20</v>
      </c>
      <c r="O289" s="48">
        <f t="shared" si="53"/>
        <v>20</v>
      </c>
      <c r="P289" s="48">
        <f t="shared" si="53"/>
        <v>20</v>
      </c>
      <c r="Q289" s="48">
        <f t="shared" si="53"/>
        <v>20</v>
      </c>
      <c r="R289" s="48">
        <f t="shared" si="53"/>
        <v>20</v>
      </c>
      <c r="S289" s="48">
        <f t="shared" si="53"/>
        <v>20</v>
      </c>
      <c r="T289" s="48">
        <f t="shared" si="53"/>
        <v>20</v>
      </c>
      <c r="U289" s="48">
        <f t="shared" si="53"/>
        <v>20</v>
      </c>
      <c r="V289" s="48">
        <f t="shared" si="53"/>
        <v>20</v>
      </c>
      <c r="W289" s="48">
        <f t="shared" si="53"/>
        <v>20</v>
      </c>
      <c r="X289" s="48">
        <f t="shared" si="53"/>
        <v>20</v>
      </c>
      <c r="Y289" s="48">
        <f t="shared" si="53"/>
        <v>20</v>
      </c>
      <c r="Z289" s="48">
        <f t="shared" si="53"/>
        <v>20</v>
      </c>
      <c r="AA289" s="48">
        <f t="shared" si="53"/>
        <v>20</v>
      </c>
      <c r="AB289" s="48">
        <f t="shared" si="53"/>
        <v>20</v>
      </c>
      <c r="AC289" s="48">
        <f t="shared" si="53"/>
        <v>20</v>
      </c>
      <c r="AD289" s="48">
        <f t="shared" si="53"/>
        <v>20</v>
      </c>
      <c r="AE289" s="48">
        <f t="shared" si="53"/>
        <v>20</v>
      </c>
      <c r="AF289" s="48">
        <f t="shared" si="53"/>
        <v>20</v>
      </c>
      <c r="AG289" s="48">
        <f t="shared" si="53"/>
        <v>20</v>
      </c>
      <c r="AH289" s="48">
        <f t="shared" si="53"/>
        <v>20</v>
      </c>
      <c r="AI289" s="48">
        <f t="shared" si="53"/>
        <v>20</v>
      </c>
      <c r="AJ289" s="48">
        <f t="shared" si="53"/>
        <v>20</v>
      </c>
      <c r="AK289" s="48">
        <f t="shared" si="53"/>
        <v>20</v>
      </c>
      <c r="AL289" s="48">
        <f t="shared" si="53"/>
        <v>20</v>
      </c>
      <c r="AM289" s="48">
        <f t="shared" si="53"/>
        <v>20</v>
      </c>
      <c r="AN289" s="48">
        <f t="shared" si="53"/>
        <v>20</v>
      </c>
      <c r="AO289" s="48">
        <f t="shared" si="53"/>
        <v>20</v>
      </c>
      <c r="AP289" s="48">
        <f t="shared" si="53"/>
        <v>20</v>
      </c>
      <c r="AQ289" s="48">
        <f t="shared" si="53"/>
        <v>20</v>
      </c>
      <c r="AR289" s="48">
        <f t="shared" si="53"/>
        <v>20</v>
      </c>
      <c r="AS289" s="48">
        <f t="shared" si="53"/>
        <v>20</v>
      </c>
      <c r="AT289" s="48">
        <f t="shared" si="53"/>
        <v>20</v>
      </c>
      <c r="AU289" s="48">
        <f t="shared" si="53"/>
        <v>20</v>
      </c>
      <c r="AV289" s="48">
        <f t="shared" si="53"/>
        <v>20</v>
      </c>
      <c r="AW289" s="48">
        <f t="shared" si="53"/>
        <v>20</v>
      </c>
      <c r="AX289" s="48">
        <f t="shared" si="53"/>
        <v>20</v>
      </c>
    </row>
    <row r="290" spans="1:50" s="810" customFormat="1" ht="14.5" x14ac:dyDescent="0.25">
      <c r="A290" s="723"/>
      <c r="B290" s="724"/>
      <c r="C290" s="725"/>
      <c r="D290" s="723"/>
      <c r="E290" s="723" t="str">
        <f t="shared" ref="E290:AX290" si="54">E255</f>
        <v>Carbon tax inflation index applicable</v>
      </c>
      <c r="F290" s="809">
        <f t="shared" si="54"/>
        <v>0</v>
      </c>
      <c r="G290" s="723" t="str">
        <f t="shared" si="54"/>
        <v>Index</v>
      </c>
      <c r="H290" s="723">
        <f t="shared" si="54"/>
        <v>0</v>
      </c>
      <c r="I290" s="723">
        <f t="shared" si="54"/>
        <v>0</v>
      </c>
      <c r="J290" s="723">
        <f t="shared" si="54"/>
        <v>0</v>
      </c>
      <c r="K290" s="723">
        <f t="shared" si="54"/>
        <v>1</v>
      </c>
      <c r="L290" s="723">
        <f t="shared" si="54"/>
        <v>1</v>
      </c>
      <c r="M290" s="723">
        <f t="shared" si="54"/>
        <v>1</v>
      </c>
      <c r="N290" s="723">
        <f t="shared" si="54"/>
        <v>1</v>
      </c>
      <c r="O290" s="723">
        <f t="shared" si="54"/>
        <v>1</v>
      </c>
      <c r="P290" s="723">
        <f t="shared" si="54"/>
        <v>1</v>
      </c>
      <c r="Q290" s="723">
        <f t="shared" si="54"/>
        <v>1</v>
      </c>
      <c r="R290" s="723">
        <f t="shared" si="54"/>
        <v>1</v>
      </c>
      <c r="S290" s="723">
        <f t="shared" si="54"/>
        <v>1</v>
      </c>
      <c r="T290" s="723">
        <f t="shared" si="54"/>
        <v>1</v>
      </c>
      <c r="U290" s="723">
        <f t="shared" si="54"/>
        <v>1</v>
      </c>
      <c r="V290" s="723">
        <f t="shared" si="54"/>
        <v>1</v>
      </c>
      <c r="W290" s="723">
        <f t="shared" si="54"/>
        <v>1</v>
      </c>
      <c r="X290" s="723">
        <f t="shared" si="54"/>
        <v>1</v>
      </c>
      <c r="Y290" s="723">
        <f t="shared" si="54"/>
        <v>1</v>
      </c>
      <c r="Z290" s="723">
        <f t="shared" si="54"/>
        <v>1</v>
      </c>
      <c r="AA290" s="723">
        <f t="shared" si="54"/>
        <v>1</v>
      </c>
      <c r="AB290" s="723">
        <f t="shared" si="54"/>
        <v>1</v>
      </c>
      <c r="AC290" s="723">
        <f t="shared" si="54"/>
        <v>1</v>
      </c>
      <c r="AD290" s="723">
        <f t="shared" si="54"/>
        <v>1</v>
      </c>
      <c r="AE290" s="723">
        <f t="shared" si="54"/>
        <v>1</v>
      </c>
      <c r="AF290" s="723">
        <f t="shared" si="54"/>
        <v>1</v>
      </c>
      <c r="AG290" s="723">
        <f t="shared" si="54"/>
        <v>1</v>
      </c>
      <c r="AH290" s="723">
        <f t="shared" si="54"/>
        <v>1</v>
      </c>
      <c r="AI290" s="723">
        <f t="shared" si="54"/>
        <v>1</v>
      </c>
      <c r="AJ290" s="723">
        <f t="shared" si="54"/>
        <v>1</v>
      </c>
      <c r="AK290" s="723">
        <f t="shared" si="54"/>
        <v>1</v>
      </c>
      <c r="AL290" s="723">
        <f t="shared" si="54"/>
        <v>1</v>
      </c>
      <c r="AM290" s="723">
        <f t="shared" si="54"/>
        <v>1</v>
      </c>
      <c r="AN290" s="723">
        <f t="shared" si="54"/>
        <v>1</v>
      </c>
      <c r="AO290" s="723">
        <f t="shared" si="54"/>
        <v>1</v>
      </c>
      <c r="AP290" s="723">
        <f t="shared" si="54"/>
        <v>1</v>
      </c>
      <c r="AQ290" s="723">
        <f t="shared" si="54"/>
        <v>1</v>
      </c>
      <c r="AR290" s="723">
        <f t="shared" si="54"/>
        <v>1</v>
      </c>
      <c r="AS290" s="723">
        <f t="shared" si="54"/>
        <v>1</v>
      </c>
      <c r="AT290" s="723">
        <f t="shared" si="54"/>
        <v>1</v>
      </c>
      <c r="AU290" s="723">
        <f t="shared" si="54"/>
        <v>1</v>
      </c>
      <c r="AV290" s="723">
        <f t="shared" si="54"/>
        <v>1</v>
      </c>
      <c r="AW290" s="723">
        <f t="shared" si="54"/>
        <v>1</v>
      </c>
      <c r="AX290" s="723">
        <f t="shared" si="54"/>
        <v>1</v>
      </c>
    </row>
    <row r="291" spans="1:50" s="7" customFormat="1" ht="14.5" x14ac:dyDescent="0.25">
      <c r="A291" s="485"/>
      <c r="B291" s="823"/>
      <c r="C291" s="824"/>
      <c r="D291" s="505"/>
      <c r="E291" s="485" t="str">
        <f xml:space="preserve"> Translate!E$243</f>
        <v>Carbon tax rate applicable</v>
      </c>
      <c r="F291" s="505"/>
      <c r="G291" s="485" t="str">
        <f xml:space="preserve"> Translate!E$610</f>
        <v>US$ / t CO2 eq</v>
      </c>
      <c r="H291" s="485"/>
      <c r="I291" s="485"/>
      <c r="J291" s="485"/>
      <c r="K291" s="485">
        <f xml:space="preserve"> K289 * K290</f>
        <v>20</v>
      </c>
      <c r="L291" s="485">
        <f t="shared" ref="L291:AX291" si="55" xml:space="preserve"> L289 * L290</f>
        <v>20</v>
      </c>
      <c r="M291" s="485">
        <f t="shared" si="55"/>
        <v>20</v>
      </c>
      <c r="N291" s="485">
        <f t="shared" si="55"/>
        <v>20</v>
      </c>
      <c r="O291" s="485">
        <f t="shared" si="55"/>
        <v>20</v>
      </c>
      <c r="P291" s="485">
        <f t="shared" si="55"/>
        <v>20</v>
      </c>
      <c r="Q291" s="485">
        <f t="shared" si="55"/>
        <v>20</v>
      </c>
      <c r="R291" s="485">
        <f t="shared" si="55"/>
        <v>20</v>
      </c>
      <c r="S291" s="485">
        <f t="shared" si="55"/>
        <v>20</v>
      </c>
      <c r="T291" s="485">
        <f t="shared" si="55"/>
        <v>20</v>
      </c>
      <c r="U291" s="485">
        <f t="shared" si="55"/>
        <v>20</v>
      </c>
      <c r="V291" s="485">
        <f t="shared" si="55"/>
        <v>20</v>
      </c>
      <c r="W291" s="485">
        <f t="shared" si="55"/>
        <v>20</v>
      </c>
      <c r="X291" s="485">
        <f t="shared" si="55"/>
        <v>20</v>
      </c>
      <c r="Y291" s="485">
        <f t="shared" si="55"/>
        <v>20</v>
      </c>
      <c r="Z291" s="485">
        <f t="shared" si="55"/>
        <v>20</v>
      </c>
      <c r="AA291" s="485">
        <f t="shared" si="55"/>
        <v>20</v>
      </c>
      <c r="AB291" s="485">
        <f t="shared" si="55"/>
        <v>20</v>
      </c>
      <c r="AC291" s="485">
        <f t="shared" si="55"/>
        <v>20</v>
      </c>
      <c r="AD291" s="485">
        <f t="shared" si="55"/>
        <v>20</v>
      </c>
      <c r="AE291" s="485">
        <f t="shared" si="55"/>
        <v>20</v>
      </c>
      <c r="AF291" s="485">
        <f t="shared" si="55"/>
        <v>20</v>
      </c>
      <c r="AG291" s="485">
        <f t="shared" si="55"/>
        <v>20</v>
      </c>
      <c r="AH291" s="485">
        <f t="shared" si="55"/>
        <v>20</v>
      </c>
      <c r="AI291" s="485">
        <f t="shared" si="55"/>
        <v>20</v>
      </c>
      <c r="AJ291" s="485">
        <f t="shared" si="55"/>
        <v>20</v>
      </c>
      <c r="AK291" s="485">
        <f t="shared" si="55"/>
        <v>20</v>
      </c>
      <c r="AL291" s="485">
        <f t="shared" si="55"/>
        <v>20</v>
      </c>
      <c r="AM291" s="485">
        <f t="shared" si="55"/>
        <v>20</v>
      </c>
      <c r="AN291" s="485">
        <f t="shared" si="55"/>
        <v>20</v>
      </c>
      <c r="AO291" s="485">
        <f t="shared" si="55"/>
        <v>20</v>
      </c>
      <c r="AP291" s="485">
        <f t="shared" si="55"/>
        <v>20</v>
      </c>
      <c r="AQ291" s="485">
        <f t="shared" si="55"/>
        <v>20</v>
      </c>
      <c r="AR291" s="485">
        <f t="shared" si="55"/>
        <v>20</v>
      </c>
      <c r="AS291" s="485">
        <f t="shared" si="55"/>
        <v>20</v>
      </c>
      <c r="AT291" s="485">
        <f t="shared" si="55"/>
        <v>20</v>
      </c>
      <c r="AU291" s="485">
        <f t="shared" si="55"/>
        <v>20</v>
      </c>
      <c r="AV291" s="485">
        <f t="shared" si="55"/>
        <v>20</v>
      </c>
      <c r="AW291" s="485">
        <f t="shared" si="55"/>
        <v>20</v>
      </c>
      <c r="AX291" s="485">
        <f t="shared" si="55"/>
        <v>20</v>
      </c>
    </row>
    <row r="292" spans="1:50" s="7" customFormat="1" ht="15" customHeight="1" x14ac:dyDescent="0.25">
      <c r="A292" s="86"/>
      <c r="B292" s="235"/>
      <c r="C292" s="604"/>
      <c r="D292" s="162"/>
      <c r="E292" s="490"/>
      <c r="F292" s="408"/>
      <c r="G292" s="490"/>
      <c r="H292" s="52"/>
      <c r="I292" s="89"/>
      <c r="J292" s="56"/>
      <c r="K292" s="56"/>
      <c r="L292" s="56"/>
      <c r="M292" s="56"/>
      <c r="N292" s="56"/>
      <c r="O292" s="56"/>
      <c r="P292" s="56"/>
      <c r="Q292" s="56"/>
      <c r="R292" s="56"/>
      <c r="S292" s="56"/>
      <c r="T292" s="56"/>
      <c r="U292" s="56"/>
      <c r="V292" s="56"/>
      <c r="W292" s="56"/>
      <c r="X292" s="56"/>
      <c r="Y292" s="56"/>
      <c r="Z292" s="56"/>
      <c r="AA292" s="56"/>
      <c r="AB292" s="56"/>
      <c r="AC292" s="56"/>
      <c r="AD292" s="56"/>
      <c r="AE292" s="56"/>
      <c r="AF292" s="56"/>
      <c r="AG292" s="56"/>
      <c r="AH292" s="56"/>
      <c r="AI292" s="56"/>
      <c r="AJ292" s="56"/>
      <c r="AK292" s="56"/>
      <c r="AL292" s="56"/>
      <c r="AM292" s="56"/>
      <c r="AN292" s="56"/>
      <c r="AO292" s="56"/>
      <c r="AP292" s="56"/>
      <c r="AQ292" s="56"/>
      <c r="AR292" s="56"/>
      <c r="AS292" s="56"/>
      <c r="AT292" s="56"/>
      <c r="AU292" s="56"/>
      <c r="AV292" s="56"/>
      <c r="AW292" s="56"/>
      <c r="AX292" s="56"/>
    </row>
    <row r="293" spans="1:50" s="825" customFormat="1" ht="15" customHeight="1" x14ac:dyDescent="0.25">
      <c r="A293" s="85"/>
      <c r="B293" s="685"/>
      <c r="C293" s="628"/>
      <c r="D293" s="213"/>
      <c r="E293" s="190" t="str">
        <f xml:space="preserve"> E$233</f>
        <v>Total GHG emissions applicable for carbon tax</v>
      </c>
      <c r="F293" s="190">
        <f t="shared" ref="F293:AX293" si="56" xml:space="preserve"> F$233</f>
        <v>0</v>
      </c>
      <c r="G293" s="190" t="str">
        <f t="shared" si="56"/>
        <v>Mn t CO2 eq</v>
      </c>
      <c r="H293" s="190">
        <f t="shared" si="56"/>
        <v>0</v>
      </c>
      <c r="I293" s="190">
        <f t="shared" ca="1" si="56"/>
        <v>50.546876586222226</v>
      </c>
      <c r="J293" s="190">
        <f t="shared" si="56"/>
        <v>0</v>
      </c>
      <c r="K293" s="190">
        <f t="shared" ca="1" si="56"/>
        <v>0</v>
      </c>
      <c r="L293" s="190">
        <f t="shared" ca="1" si="56"/>
        <v>0</v>
      </c>
      <c r="M293" s="190">
        <f t="shared" ca="1" si="56"/>
        <v>0</v>
      </c>
      <c r="N293" s="190">
        <f t="shared" ca="1" si="56"/>
        <v>0</v>
      </c>
      <c r="O293" s="190">
        <f t="shared" ca="1" si="56"/>
        <v>0.21966138664082679</v>
      </c>
      <c r="P293" s="190">
        <f t="shared" ca="1" si="56"/>
        <v>1.7256105000000002</v>
      </c>
      <c r="Q293" s="190">
        <f t="shared" ca="1" si="56"/>
        <v>3.4512210000000003</v>
      </c>
      <c r="R293" s="190">
        <f t="shared" ca="1" si="56"/>
        <v>3.4512210000000003</v>
      </c>
      <c r="S293" s="190">
        <f t="shared" ca="1" si="56"/>
        <v>3.4512210000000003</v>
      </c>
      <c r="T293" s="190">
        <f t="shared" ca="1" si="56"/>
        <v>3.4512210000000003</v>
      </c>
      <c r="U293" s="190">
        <f t="shared" ca="1" si="56"/>
        <v>3.4512210000000003</v>
      </c>
      <c r="V293" s="190">
        <f t="shared" ca="1" si="56"/>
        <v>3.4512210000000003</v>
      </c>
      <c r="W293" s="190">
        <f t="shared" ca="1" si="56"/>
        <v>3.4512210000000003</v>
      </c>
      <c r="X293" s="190">
        <f t="shared" ca="1" si="56"/>
        <v>3.4512210000000003</v>
      </c>
      <c r="Y293" s="190">
        <f t="shared" ca="1" si="56"/>
        <v>3.4512210000000003</v>
      </c>
      <c r="Z293" s="190">
        <f t="shared" ca="1" si="56"/>
        <v>3.4512210000000003</v>
      </c>
      <c r="AA293" s="190">
        <f t="shared" ca="1" si="56"/>
        <v>2.7954890100000007</v>
      </c>
      <c r="AB293" s="190">
        <f t="shared" ca="1" si="56"/>
        <v>2.2643460981000003</v>
      </c>
      <c r="AC293" s="190">
        <f t="shared" ca="1" si="56"/>
        <v>1.8341203394610006</v>
      </c>
      <c r="AD293" s="190">
        <f t="shared" ca="1" si="56"/>
        <v>1.4856374749634109</v>
      </c>
      <c r="AE293" s="190">
        <f t="shared" ca="1" si="56"/>
        <v>1.203366354720363</v>
      </c>
      <c r="AF293" s="190">
        <f t="shared" ca="1" si="56"/>
        <v>0.97472674732349396</v>
      </c>
      <c r="AG293" s="190">
        <f t="shared" ca="1" si="56"/>
        <v>0.78952866533203026</v>
      </c>
      <c r="AH293" s="190">
        <f t="shared" ca="1" si="56"/>
        <v>0.63951821891894456</v>
      </c>
      <c r="AI293" s="190">
        <f t="shared" ca="1" si="56"/>
        <v>0.51800975732434507</v>
      </c>
      <c r="AJ293" s="190">
        <f t="shared" ca="1" si="56"/>
        <v>0.41958790343271951</v>
      </c>
      <c r="AK293" s="190">
        <f t="shared" ca="1" si="56"/>
        <v>0.33986620178050286</v>
      </c>
      <c r="AL293" s="190">
        <f t="shared" ca="1" si="56"/>
        <v>0.27529162344220726</v>
      </c>
      <c r="AM293" s="190">
        <f t="shared" ca="1" si="56"/>
        <v>0.22298621498818788</v>
      </c>
      <c r="AN293" s="190">
        <f t="shared" ca="1" si="56"/>
        <v>0.18061883414043217</v>
      </c>
      <c r="AO293" s="190">
        <f t="shared" ca="1" si="56"/>
        <v>0.14630125565375013</v>
      </c>
      <c r="AP293" s="190">
        <f t="shared" ca="1" si="56"/>
        <v>0</v>
      </c>
      <c r="AQ293" s="190">
        <f t="shared" ca="1" si="56"/>
        <v>0</v>
      </c>
      <c r="AR293" s="190">
        <f t="shared" ca="1" si="56"/>
        <v>0</v>
      </c>
      <c r="AS293" s="190">
        <f t="shared" ca="1" si="56"/>
        <v>0</v>
      </c>
      <c r="AT293" s="190">
        <f t="shared" ca="1" si="56"/>
        <v>0</v>
      </c>
      <c r="AU293" s="190">
        <f t="shared" ca="1" si="56"/>
        <v>0</v>
      </c>
      <c r="AV293" s="190">
        <f t="shared" ca="1" si="56"/>
        <v>0</v>
      </c>
      <c r="AW293" s="190">
        <f t="shared" ca="1" si="56"/>
        <v>0</v>
      </c>
      <c r="AX293" s="190">
        <f t="shared" ca="1" si="56"/>
        <v>0</v>
      </c>
    </row>
    <row r="294" spans="1:50" s="825" customFormat="1" ht="15" customHeight="1" x14ac:dyDescent="0.25">
      <c r="A294" s="45"/>
      <c r="B294" s="836"/>
      <c r="C294" s="837"/>
      <c r="D294" s="45"/>
      <c r="E294" s="190" t="str">
        <f>E$291</f>
        <v>Carbon tax rate applicable</v>
      </c>
      <c r="F294" s="190">
        <f t="shared" ref="F294:AX294" si="57">F$291</f>
        <v>0</v>
      </c>
      <c r="G294" s="190" t="str">
        <f t="shared" si="57"/>
        <v>US$ / t CO2 eq</v>
      </c>
      <c r="H294" s="190">
        <f t="shared" si="57"/>
        <v>0</v>
      </c>
      <c r="I294" s="190">
        <f t="shared" si="57"/>
        <v>0</v>
      </c>
      <c r="J294" s="190">
        <f t="shared" si="57"/>
        <v>0</v>
      </c>
      <c r="K294" s="190">
        <f t="shared" si="57"/>
        <v>20</v>
      </c>
      <c r="L294" s="190">
        <f t="shared" si="57"/>
        <v>20</v>
      </c>
      <c r="M294" s="190">
        <f t="shared" si="57"/>
        <v>20</v>
      </c>
      <c r="N294" s="190">
        <f t="shared" si="57"/>
        <v>20</v>
      </c>
      <c r="O294" s="190">
        <f t="shared" si="57"/>
        <v>20</v>
      </c>
      <c r="P294" s="190">
        <f t="shared" si="57"/>
        <v>20</v>
      </c>
      <c r="Q294" s="190">
        <f t="shared" si="57"/>
        <v>20</v>
      </c>
      <c r="R294" s="190">
        <f t="shared" si="57"/>
        <v>20</v>
      </c>
      <c r="S294" s="190">
        <f t="shared" si="57"/>
        <v>20</v>
      </c>
      <c r="T294" s="190">
        <f t="shared" si="57"/>
        <v>20</v>
      </c>
      <c r="U294" s="190">
        <f t="shared" si="57"/>
        <v>20</v>
      </c>
      <c r="V294" s="190">
        <f t="shared" si="57"/>
        <v>20</v>
      </c>
      <c r="W294" s="190">
        <f t="shared" si="57"/>
        <v>20</v>
      </c>
      <c r="X294" s="190">
        <f t="shared" si="57"/>
        <v>20</v>
      </c>
      <c r="Y294" s="190">
        <f t="shared" si="57"/>
        <v>20</v>
      </c>
      <c r="Z294" s="190">
        <f t="shared" si="57"/>
        <v>20</v>
      </c>
      <c r="AA294" s="190">
        <f t="shared" si="57"/>
        <v>20</v>
      </c>
      <c r="AB294" s="190">
        <f t="shared" si="57"/>
        <v>20</v>
      </c>
      <c r="AC294" s="190">
        <f t="shared" si="57"/>
        <v>20</v>
      </c>
      <c r="AD294" s="190">
        <f t="shared" si="57"/>
        <v>20</v>
      </c>
      <c r="AE294" s="190">
        <f t="shared" si="57"/>
        <v>20</v>
      </c>
      <c r="AF294" s="190">
        <f t="shared" si="57"/>
        <v>20</v>
      </c>
      <c r="AG294" s="190">
        <f t="shared" si="57"/>
        <v>20</v>
      </c>
      <c r="AH294" s="190">
        <f t="shared" si="57"/>
        <v>20</v>
      </c>
      <c r="AI294" s="190">
        <f t="shared" si="57"/>
        <v>20</v>
      </c>
      <c r="AJ294" s="190">
        <f t="shared" si="57"/>
        <v>20</v>
      </c>
      <c r="AK294" s="190">
        <f t="shared" si="57"/>
        <v>20</v>
      </c>
      <c r="AL294" s="190">
        <f t="shared" si="57"/>
        <v>20</v>
      </c>
      <c r="AM294" s="190">
        <f t="shared" si="57"/>
        <v>20</v>
      </c>
      <c r="AN294" s="190">
        <f t="shared" si="57"/>
        <v>20</v>
      </c>
      <c r="AO294" s="190">
        <f t="shared" si="57"/>
        <v>20</v>
      </c>
      <c r="AP294" s="190">
        <f t="shared" si="57"/>
        <v>20</v>
      </c>
      <c r="AQ294" s="190">
        <f t="shared" si="57"/>
        <v>20</v>
      </c>
      <c r="AR294" s="190">
        <f t="shared" si="57"/>
        <v>20</v>
      </c>
      <c r="AS294" s="190">
        <f t="shared" si="57"/>
        <v>20</v>
      </c>
      <c r="AT294" s="190">
        <f t="shared" si="57"/>
        <v>20</v>
      </c>
      <c r="AU294" s="190">
        <f t="shared" si="57"/>
        <v>20</v>
      </c>
      <c r="AV294" s="190">
        <f t="shared" si="57"/>
        <v>20</v>
      </c>
      <c r="AW294" s="190">
        <f t="shared" si="57"/>
        <v>20</v>
      </c>
      <c r="AX294" s="190">
        <f t="shared" si="57"/>
        <v>20</v>
      </c>
    </row>
    <row r="295" spans="1:50" s="7" customFormat="1" ht="15" customHeight="1" x14ac:dyDescent="0.25">
      <c r="A295" s="479"/>
      <c r="B295" s="674"/>
      <c r="C295" s="621"/>
      <c r="D295" s="481"/>
      <c r="E295" s="484" t="str">
        <f xml:space="preserve"> Translate!E$136</f>
        <v>Carbon tax</v>
      </c>
      <c r="F295" s="481"/>
      <c r="G295" s="484" t="str">
        <f xml:space="preserve"> Translate!E$603</f>
        <v>US$ mn</v>
      </c>
      <c r="H295" s="484"/>
      <c r="I295" s="483">
        <f ca="1" xml:space="preserve"> SUM(K295:AX295)</f>
        <v>1010.9375317244442</v>
      </c>
      <c r="J295" s="483"/>
      <c r="K295" s="483">
        <f ca="1" xml:space="preserve"> K293 * K294</f>
        <v>0</v>
      </c>
      <c r="L295" s="483">
        <f t="shared" ref="L295:AX295" ca="1" si="58" xml:space="preserve"> L293 * L294</f>
        <v>0</v>
      </c>
      <c r="M295" s="483">
        <f t="shared" ca="1" si="58"/>
        <v>0</v>
      </c>
      <c r="N295" s="483">
        <f t="shared" ca="1" si="58"/>
        <v>0</v>
      </c>
      <c r="O295" s="483">
        <f t="shared" ca="1" si="58"/>
        <v>4.3932277328165359</v>
      </c>
      <c r="P295" s="483">
        <f t="shared" ca="1" si="58"/>
        <v>34.512210000000003</v>
      </c>
      <c r="Q295" s="483">
        <f t="shared" ca="1" si="58"/>
        <v>69.024420000000006</v>
      </c>
      <c r="R295" s="483">
        <f t="shared" ca="1" si="58"/>
        <v>69.024420000000006</v>
      </c>
      <c r="S295" s="483">
        <f t="shared" ca="1" si="58"/>
        <v>69.024420000000006</v>
      </c>
      <c r="T295" s="483">
        <f t="shared" ca="1" si="58"/>
        <v>69.024420000000006</v>
      </c>
      <c r="U295" s="483">
        <f t="shared" ca="1" si="58"/>
        <v>69.024420000000006</v>
      </c>
      <c r="V295" s="483">
        <f t="shared" ca="1" si="58"/>
        <v>69.024420000000006</v>
      </c>
      <c r="W295" s="483">
        <f t="shared" ca="1" si="58"/>
        <v>69.024420000000006</v>
      </c>
      <c r="X295" s="483">
        <f t="shared" ca="1" si="58"/>
        <v>69.024420000000006</v>
      </c>
      <c r="Y295" s="483">
        <f t="shared" ca="1" si="58"/>
        <v>69.024420000000006</v>
      </c>
      <c r="Z295" s="483">
        <f t="shared" ca="1" si="58"/>
        <v>69.024420000000006</v>
      </c>
      <c r="AA295" s="483">
        <f t="shared" ca="1" si="58"/>
        <v>55.909780200000014</v>
      </c>
      <c r="AB295" s="483">
        <f t="shared" ca="1" si="58"/>
        <v>45.286921962000008</v>
      </c>
      <c r="AC295" s="483">
        <f t="shared" ca="1" si="58"/>
        <v>36.682406789220011</v>
      </c>
      <c r="AD295" s="483">
        <f t="shared" ca="1" si="58"/>
        <v>29.71274949926822</v>
      </c>
      <c r="AE295" s="483">
        <f t="shared" ca="1" si="58"/>
        <v>24.067327094407261</v>
      </c>
      <c r="AF295" s="483">
        <f t="shared" ca="1" si="58"/>
        <v>19.49453494646988</v>
      </c>
      <c r="AG295" s="483">
        <f t="shared" ca="1" si="58"/>
        <v>15.790573306640605</v>
      </c>
      <c r="AH295" s="483">
        <f t="shared" ca="1" si="58"/>
        <v>12.790364378378891</v>
      </c>
      <c r="AI295" s="483">
        <f t="shared" ca="1" si="58"/>
        <v>10.360195146486902</v>
      </c>
      <c r="AJ295" s="483">
        <f t="shared" ca="1" si="58"/>
        <v>8.39175806865439</v>
      </c>
      <c r="AK295" s="483">
        <f t="shared" ca="1" si="58"/>
        <v>6.7973240356100568</v>
      </c>
      <c r="AL295" s="483">
        <f t="shared" ca="1" si="58"/>
        <v>5.5058324688441456</v>
      </c>
      <c r="AM295" s="483">
        <f t="shared" ca="1" si="58"/>
        <v>4.4597242997637574</v>
      </c>
      <c r="AN295" s="483">
        <f t="shared" ca="1" si="58"/>
        <v>3.6123766828086437</v>
      </c>
      <c r="AO295" s="483">
        <f t="shared" ca="1" si="58"/>
        <v>2.9260251130750028</v>
      </c>
      <c r="AP295" s="483">
        <f t="shared" ca="1" si="58"/>
        <v>0</v>
      </c>
      <c r="AQ295" s="483">
        <f t="shared" ca="1" si="58"/>
        <v>0</v>
      </c>
      <c r="AR295" s="483">
        <f t="shared" ca="1" si="58"/>
        <v>0</v>
      </c>
      <c r="AS295" s="483">
        <f t="shared" ca="1" si="58"/>
        <v>0</v>
      </c>
      <c r="AT295" s="483">
        <f t="shared" ca="1" si="58"/>
        <v>0</v>
      </c>
      <c r="AU295" s="483">
        <f t="shared" ca="1" si="58"/>
        <v>0</v>
      </c>
      <c r="AV295" s="483">
        <f t="shared" ca="1" si="58"/>
        <v>0</v>
      </c>
      <c r="AW295" s="483">
        <f t="shared" ca="1" si="58"/>
        <v>0</v>
      </c>
      <c r="AX295" s="483">
        <f t="shared" ca="1" si="58"/>
        <v>0</v>
      </c>
    </row>
    <row r="296" spans="1:50" s="7" customFormat="1" ht="15" customHeight="1" x14ac:dyDescent="0.25">
      <c r="A296" s="86"/>
      <c r="B296" s="235"/>
      <c r="C296" s="604"/>
      <c r="D296" s="162"/>
      <c r="E296" s="52"/>
      <c r="F296" s="151"/>
      <c r="G296" s="52"/>
      <c r="H296" s="52"/>
      <c r="I296" s="89"/>
      <c r="J296" s="56"/>
      <c r="K296" s="56"/>
      <c r="L296" s="56"/>
      <c r="M296" s="56"/>
      <c r="N296" s="56"/>
      <c r="O296" s="56"/>
      <c r="P296" s="56"/>
      <c r="Q296" s="56"/>
      <c r="R296" s="56"/>
      <c r="S296" s="56"/>
      <c r="T296" s="56"/>
      <c r="U296" s="56"/>
      <c r="V296" s="56"/>
      <c r="W296" s="56"/>
      <c r="X296" s="56"/>
      <c r="Y296" s="56"/>
      <c r="Z296" s="56"/>
      <c r="AA296" s="56"/>
      <c r="AB296" s="56"/>
      <c r="AC296" s="56"/>
      <c r="AD296" s="56"/>
      <c r="AE296" s="56"/>
      <c r="AF296" s="56"/>
      <c r="AG296" s="56"/>
      <c r="AH296" s="56"/>
      <c r="AI296" s="56"/>
      <c r="AJ296" s="56"/>
      <c r="AK296" s="56"/>
      <c r="AL296" s="56"/>
      <c r="AM296" s="56"/>
      <c r="AN296" s="56"/>
      <c r="AO296" s="56"/>
      <c r="AP296" s="56"/>
      <c r="AQ296" s="56"/>
      <c r="AR296" s="56"/>
      <c r="AS296" s="56"/>
      <c r="AT296" s="56"/>
      <c r="AU296" s="56"/>
      <c r="AV296" s="56"/>
      <c r="AW296" s="56"/>
      <c r="AX296" s="56"/>
    </row>
    <row r="297" spans="1:50" ht="15" customHeight="1" x14ac:dyDescent="0.25">
      <c r="A297" s="86"/>
      <c r="B297" s="235"/>
      <c r="C297" s="604"/>
      <c r="D297" s="162"/>
      <c r="E297" s="55" t="str">
        <f xml:space="preserve"> E$295</f>
        <v>Carbon tax</v>
      </c>
      <c r="F297" s="55">
        <f t="shared" ref="F297:AX297" si="59" xml:space="preserve"> F$295</f>
        <v>0</v>
      </c>
      <c r="G297" s="55" t="str">
        <f t="shared" si="59"/>
        <v>US$ mn</v>
      </c>
      <c r="H297" s="55">
        <f t="shared" si="59"/>
        <v>0</v>
      </c>
      <c r="I297" s="55">
        <f t="shared" ca="1" si="59"/>
        <v>1010.9375317244442</v>
      </c>
      <c r="J297" s="55">
        <f t="shared" si="59"/>
        <v>0</v>
      </c>
      <c r="K297" s="55">
        <f t="shared" ca="1" si="59"/>
        <v>0</v>
      </c>
      <c r="L297" s="55">
        <f t="shared" ca="1" si="59"/>
        <v>0</v>
      </c>
      <c r="M297" s="55">
        <f t="shared" ca="1" si="59"/>
        <v>0</v>
      </c>
      <c r="N297" s="55">
        <f t="shared" ca="1" si="59"/>
        <v>0</v>
      </c>
      <c r="O297" s="55">
        <f t="shared" ca="1" si="59"/>
        <v>4.3932277328165359</v>
      </c>
      <c r="P297" s="55">
        <f t="shared" ca="1" si="59"/>
        <v>34.512210000000003</v>
      </c>
      <c r="Q297" s="55">
        <f t="shared" ca="1" si="59"/>
        <v>69.024420000000006</v>
      </c>
      <c r="R297" s="55">
        <f t="shared" ca="1" si="59"/>
        <v>69.024420000000006</v>
      </c>
      <c r="S297" s="55">
        <f t="shared" ca="1" si="59"/>
        <v>69.024420000000006</v>
      </c>
      <c r="T297" s="55">
        <f t="shared" ca="1" si="59"/>
        <v>69.024420000000006</v>
      </c>
      <c r="U297" s="55">
        <f t="shared" ca="1" si="59"/>
        <v>69.024420000000006</v>
      </c>
      <c r="V297" s="55">
        <f t="shared" ca="1" si="59"/>
        <v>69.024420000000006</v>
      </c>
      <c r="W297" s="55">
        <f t="shared" ca="1" si="59"/>
        <v>69.024420000000006</v>
      </c>
      <c r="X297" s="55">
        <f t="shared" ca="1" si="59"/>
        <v>69.024420000000006</v>
      </c>
      <c r="Y297" s="55">
        <f t="shared" ca="1" si="59"/>
        <v>69.024420000000006</v>
      </c>
      <c r="Z297" s="55">
        <f t="shared" ca="1" si="59"/>
        <v>69.024420000000006</v>
      </c>
      <c r="AA297" s="55">
        <f t="shared" ca="1" si="59"/>
        <v>55.909780200000014</v>
      </c>
      <c r="AB297" s="55">
        <f t="shared" ca="1" si="59"/>
        <v>45.286921962000008</v>
      </c>
      <c r="AC297" s="55">
        <f t="shared" ca="1" si="59"/>
        <v>36.682406789220011</v>
      </c>
      <c r="AD297" s="55">
        <f t="shared" ca="1" si="59"/>
        <v>29.71274949926822</v>
      </c>
      <c r="AE297" s="55">
        <f t="shared" ca="1" si="59"/>
        <v>24.067327094407261</v>
      </c>
      <c r="AF297" s="55">
        <f t="shared" ca="1" si="59"/>
        <v>19.49453494646988</v>
      </c>
      <c r="AG297" s="55">
        <f t="shared" ca="1" si="59"/>
        <v>15.790573306640605</v>
      </c>
      <c r="AH297" s="55">
        <f t="shared" ca="1" si="59"/>
        <v>12.790364378378891</v>
      </c>
      <c r="AI297" s="55">
        <f t="shared" ca="1" si="59"/>
        <v>10.360195146486902</v>
      </c>
      <c r="AJ297" s="55">
        <f t="shared" ca="1" si="59"/>
        <v>8.39175806865439</v>
      </c>
      <c r="AK297" s="55">
        <f t="shared" ca="1" si="59"/>
        <v>6.7973240356100568</v>
      </c>
      <c r="AL297" s="55">
        <f t="shared" ca="1" si="59"/>
        <v>5.5058324688441456</v>
      </c>
      <c r="AM297" s="55">
        <f t="shared" ca="1" si="59"/>
        <v>4.4597242997637574</v>
      </c>
      <c r="AN297" s="55">
        <f t="shared" ca="1" si="59"/>
        <v>3.6123766828086437</v>
      </c>
      <c r="AO297" s="55">
        <f t="shared" ca="1" si="59"/>
        <v>2.9260251130750028</v>
      </c>
      <c r="AP297" s="55">
        <f t="shared" ca="1" si="59"/>
        <v>0</v>
      </c>
      <c r="AQ297" s="55">
        <f t="shared" ca="1" si="59"/>
        <v>0</v>
      </c>
      <c r="AR297" s="55">
        <f t="shared" ca="1" si="59"/>
        <v>0</v>
      </c>
      <c r="AS297" s="55">
        <f t="shared" ca="1" si="59"/>
        <v>0</v>
      </c>
      <c r="AT297" s="55">
        <f t="shared" ca="1" si="59"/>
        <v>0</v>
      </c>
      <c r="AU297" s="55">
        <f t="shared" ca="1" si="59"/>
        <v>0</v>
      </c>
      <c r="AV297" s="55">
        <f t="shared" ca="1" si="59"/>
        <v>0</v>
      </c>
      <c r="AW297" s="55">
        <f t="shared" ca="1" si="59"/>
        <v>0</v>
      </c>
      <c r="AX297" s="55">
        <f t="shared" ca="1" si="59"/>
        <v>0</v>
      </c>
    </row>
    <row r="298" spans="1:50" s="40" customFormat="1" ht="15" customHeight="1" x14ac:dyDescent="0.25">
      <c r="A298" s="139"/>
      <c r="B298" s="235"/>
      <c r="C298" s="613"/>
      <c r="D298" s="351"/>
      <c r="E298" s="140" t="str">
        <f xml:space="preserve"> ProjectCashflows!E$236</f>
        <v>Net revenues after ELT</v>
      </c>
      <c r="F298" s="540">
        <f xml:space="preserve"> ProjectCashflows!F$236</f>
        <v>0</v>
      </c>
      <c r="G298" s="140" t="str">
        <f xml:space="preserve"> ProjectCashflows!G$236</f>
        <v>US$ mn</v>
      </c>
      <c r="H298" s="140">
        <f xml:space="preserve"> ProjectCashflows!H$236</f>
        <v>0</v>
      </c>
      <c r="I298" s="140">
        <f ca="1" xml:space="preserve"> ProjectCashflows!I$236</f>
        <v>57168.543518412531</v>
      </c>
      <c r="J298" s="140">
        <f xml:space="preserve"> ProjectCashflows!J$236</f>
        <v>0</v>
      </c>
      <c r="K298" s="140">
        <f ca="1" xml:space="preserve"> ProjectCashflows!K$236</f>
        <v>0</v>
      </c>
      <c r="L298" s="140">
        <f ca="1" xml:space="preserve"> ProjectCashflows!L$236</f>
        <v>0</v>
      </c>
      <c r="M298" s="140">
        <f ca="1" xml:space="preserve"> ProjectCashflows!M$236</f>
        <v>0</v>
      </c>
      <c r="N298" s="140">
        <f ca="1" xml:space="preserve"> ProjectCashflows!N$236</f>
        <v>0</v>
      </c>
      <c r="O298" s="140">
        <f ca="1" xml:space="preserve"> ProjectCashflows!O$236</f>
        <v>207.45717060984819</v>
      </c>
      <c r="P298" s="140">
        <f ca="1" xml:space="preserve"> ProjectCashflows!P$236</f>
        <v>1662.331659318</v>
      </c>
      <c r="Q298" s="140">
        <f ca="1" xml:space="preserve"> ProjectCashflows!Q$236</f>
        <v>3391.1565850087204</v>
      </c>
      <c r="R298" s="140">
        <f ca="1" xml:space="preserve"> ProjectCashflows!R$236</f>
        <v>3458.9797167088946</v>
      </c>
      <c r="S298" s="140">
        <f ca="1" xml:space="preserve"> ProjectCashflows!S$236</f>
        <v>3528.1593110430726</v>
      </c>
      <c r="T298" s="140">
        <f ca="1" xml:space="preserve"> ProjectCashflows!T$236</f>
        <v>3598.7224972639342</v>
      </c>
      <c r="U298" s="140">
        <f ca="1" xml:space="preserve"> ProjectCashflows!U$236</f>
        <v>3670.6969472092128</v>
      </c>
      <c r="V298" s="140">
        <f ca="1" xml:space="preserve"> ProjectCashflows!V$236</f>
        <v>3744.1108861533971</v>
      </c>
      <c r="W298" s="140">
        <f ca="1" xml:space="preserve"> ProjectCashflows!W$236</f>
        <v>3818.9931038764653</v>
      </c>
      <c r="X298" s="140">
        <f ca="1" xml:space="preserve"> ProjectCashflows!X$236</f>
        <v>3895.372965953994</v>
      </c>
      <c r="Y298" s="140">
        <f ca="1" xml:space="preserve"> ProjectCashflows!Y$236</f>
        <v>3973.2804252730743</v>
      </c>
      <c r="Z298" s="140">
        <f ca="1" xml:space="preserve"> ProjectCashflows!Z$236</f>
        <v>4052.746033778536</v>
      </c>
      <c r="AA298" s="140">
        <f ca="1" xml:space="preserve"> ProjectCashflows!AA$236</f>
        <v>3348.3787731078273</v>
      </c>
      <c r="AB298" s="140">
        <f ca="1" xml:space="preserve"> ProjectCashflows!AB$236</f>
        <v>2766.4305423416872</v>
      </c>
      <c r="AC298" s="140">
        <f ca="1" xml:space="preserve"> ProjectCashflows!AC$236</f>
        <v>2285.6249140827022</v>
      </c>
      <c r="AD298" s="140">
        <f ca="1" xml:space="preserve"> ProjectCashflows!AD$236</f>
        <v>1888.3833040151289</v>
      </c>
      <c r="AE298" s="140">
        <f ca="1" xml:space="preserve"> ProjectCashflows!AE$236</f>
        <v>1560.1822857772995</v>
      </c>
      <c r="AF298" s="140">
        <f ca="1" xml:space="preserve"> ProjectCashflows!AF$236</f>
        <v>1289.0226045092052</v>
      </c>
      <c r="AG298" s="140">
        <f ca="1" xml:space="preserve"> ProjectCashflows!AG$236</f>
        <v>1064.9904758455054</v>
      </c>
      <c r="AH298" s="140">
        <f ca="1" xml:space="preserve"> ProjectCashflows!AH$236</f>
        <v>879.89513114355657</v>
      </c>
      <c r="AI298" s="140">
        <f ca="1" xml:space="preserve"> ProjectCashflows!AI$236</f>
        <v>726.9693573508066</v>
      </c>
      <c r="AJ298" s="140">
        <f ca="1" xml:space="preserve"> ProjectCashflows!AJ$236</f>
        <v>600.62208304323633</v>
      </c>
      <c r="AK298" s="140">
        <f ca="1" xml:space="preserve"> ProjectCashflows!AK$236</f>
        <v>496.23396501032192</v>
      </c>
      <c r="AL298" s="140">
        <f ca="1" xml:space="preserve"> ProjectCashflows!AL$236</f>
        <v>409.9885018915279</v>
      </c>
      <c r="AM298" s="140">
        <f ca="1" xml:space="preserve"> ProjectCashflows!AM$236</f>
        <v>338.73250026278043</v>
      </c>
      <c r="AN298" s="140">
        <f ca="1" xml:space="preserve"> ProjectCashflows!AN$236</f>
        <v>279.86079171710918</v>
      </c>
      <c r="AO298" s="140">
        <f ca="1" xml:space="preserve"> ProjectCashflows!AO$236</f>
        <v>231.22098611667568</v>
      </c>
      <c r="AP298" s="140">
        <f ca="1" xml:space="preserve"> ProjectCashflows!AP$236</f>
        <v>0</v>
      </c>
      <c r="AQ298" s="140">
        <f ca="1" xml:space="preserve"> ProjectCashflows!AQ$236</f>
        <v>0</v>
      </c>
      <c r="AR298" s="140">
        <f ca="1" xml:space="preserve"> ProjectCashflows!AR$236</f>
        <v>0</v>
      </c>
      <c r="AS298" s="140">
        <f ca="1" xml:space="preserve"> ProjectCashflows!AS$236</f>
        <v>0</v>
      </c>
      <c r="AT298" s="140">
        <f ca="1" xml:space="preserve"> ProjectCashflows!AT$236</f>
        <v>0</v>
      </c>
      <c r="AU298" s="140">
        <f ca="1" xml:space="preserve"> ProjectCashflows!AU$236</f>
        <v>0</v>
      </c>
      <c r="AV298" s="140">
        <f ca="1" xml:space="preserve"> ProjectCashflows!AV$236</f>
        <v>0</v>
      </c>
      <c r="AW298" s="140">
        <f ca="1" xml:space="preserve"> ProjectCashflows!AW$236</f>
        <v>0</v>
      </c>
      <c r="AX298" s="140">
        <f ca="1" xml:space="preserve"> ProjectCashflows!AX$236</f>
        <v>0</v>
      </c>
    </row>
    <row r="299" spans="1:50" s="59" customFormat="1" ht="15" customHeight="1" x14ac:dyDescent="0.25">
      <c r="A299" s="251"/>
      <c r="B299" s="676"/>
      <c r="C299" s="626"/>
      <c r="D299" s="61"/>
      <c r="E299" s="509" t="str">
        <f xml:space="preserve"> Translate!E$256</f>
        <v>Carbon tax as share of net revenue</v>
      </c>
      <c r="F299" s="573">
        <f ca="1" xml:space="preserve"> I297 / I298</f>
        <v>1.7683457886221065E-2</v>
      </c>
      <c r="G299" s="509" t="s">
        <v>24</v>
      </c>
      <c r="H299" s="249"/>
      <c r="I299" s="249"/>
      <c r="J299" s="249"/>
      <c r="K299" s="249"/>
      <c r="L299" s="249"/>
      <c r="M299" s="249"/>
      <c r="N299" s="249"/>
      <c r="O299" s="249"/>
      <c r="P299" s="249"/>
      <c r="Q299" s="249"/>
      <c r="R299" s="249"/>
      <c r="S299" s="249"/>
      <c r="T299" s="249"/>
      <c r="U299" s="249"/>
      <c r="V299" s="249"/>
      <c r="W299" s="249"/>
      <c r="X299" s="249"/>
      <c r="Y299" s="249"/>
      <c r="Z299" s="249"/>
      <c r="AA299" s="249"/>
      <c r="AB299" s="249"/>
      <c r="AC299" s="249"/>
      <c r="AD299" s="249"/>
      <c r="AE299" s="249"/>
      <c r="AF299" s="249"/>
      <c r="AG299" s="249"/>
      <c r="AH299" s="249"/>
      <c r="AI299" s="249"/>
      <c r="AJ299" s="249"/>
      <c r="AK299" s="249"/>
      <c r="AL299" s="249"/>
      <c r="AM299" s="249"/>
      <c r="AN299" s="249"/>
      <c r="AO299" s="249"/>
      <c r="AP299" s="249"/>
      <c r="AQ299" s="249"/>
      <c r="AR299" s="249"/>
      <c r="AS299" s="249"/>
      <c r="AT299" s="249"/>
      <c r="AU299" s="249"/>
      <c r="AV299" s="249"/>
      <c r="AW299" s="249"/>
      <c r="AX299" s="249"/>
    </row>
    <row r="300" spans="1:50" ht="15" customHeight="1" x14ac:dyDescent="0.25">
      <c r="A300" s="86"/>
      <c r="B300" s="235"/>
      <c r="C300" s="604"/>
      <c r="D300" s="162"/>
      <c r="E300" s="52"/>
      <c r="F300" s="151"/>
      <c r="G300" s="52"/>
      <c r="H300" s="52"/>
      <c r="I300" s="89"/>
      <c r="J300" s="56"/>
      <c r="K300" s="56"/>
      <c r="L300" s="56"/>
      <c r="M300" s="56"/>
      <c r="N300" s="56"/>
      <c r="O300" s="56"/>
      <c r="P300" s="56"/>
      <c r="Q300" s="56"/>
      <c r="R300" s="56"/>
      <c r="S300" s="56"/>
      <c r="T300" s="56"/>
      <c r="U300" s="56"/>
      <c r="V300" s="56"/>
      <c r="W300" s="56"/>
      <c r="X300" s="56"/>
      <c r="Y300" s="56"/>
      <c r="Z300" s="56"/>
      <c r="AA300" s="56"/>
      <c r="AB300" s="56"/>
      <c r="AC300" s="56"/>
      <c r="AD300" s="56"/>
      <c r="AE300" s="56"/>
      <c r="AF300" s="56"/>
      <c r="AG300" s="56"/>
      <c r="AH300" s="56"/>
      <c r="AI300" s="56"/>
      <c r="AJ300" s="56"/>
      <c r="AK300" s="56"/>
      <c r="AL300" s="56"/>
      <c r="AM300" s="56"/>
      <c r="AN300" s="56"/>
      <c r="AO300" s="56"/>
      <c r="AP300" s="56"/>
      <c r="AQ300" s="56"/>
      <c r="AR300" s="56"/>
      <c r="AS300" s="56"/>
      <c r="AT300" s="56"/>
      <c r="AU300" s="56"/>
      <c r="AV300" s="56"/>
      <c r="AW300" s="56"/>
      <c r="AX300" s="56"/>
    </row>
    <row r="301" spans="1:50" ht="15" customHeight="1" x14ac:dyDescent="0.25">
      <c r="A301" s="202" t="str">
        <f>Translate!$E$257</f>
        <v>Cashflows after decommissioning, royalty, carbon tax and bonus</v>
      </c>
      <c r="B301" s="781"/>
      <c r="C301" s="610"/>
      <c r="D301" s="204"/>
      <c r="E301" s="202"/>
      <c r="F301" s="204"/>
      <c r="G301" s="202"/>
      <c r="H301" s="202"/>
      <c r="I301" s="202"/>
      <c r="J301" s="202"/>
      <c r="K301" s="202"/>
      <c r="L301" s="202"/>
      <c r="M301" s="202"/>
      <c r="N301" s="202"/>
      <c r="O301" s="202"/>
      <c r="P301" s="202"/>
      <c r="Q301" s="202"/>
      <c r="R301" s="202"/>
      <c r="S301" s="202"/>
      <c r="T301" s="202"/>
      <c r="U301" s="202"/>
      <c r="V301" s="202"/>
      <c r="W301" s="202"/>
      <c r="X301" s="202"/>
      <c r="Y301" s="202"/>
      <c r="Z301" s="202"/>
      <c r="AA301" s="202"/>
      <c r="AB301" s="202"/>
      <c r="AC301" s="202"/>
      <c r="AD301" s="202"/>
      <c r="AE301" s="202"/>
      <c r="AF301" s="202"/>
      <c r="AG301" s="202"/>
      <c r="AH301" s="202"/>
      <c r="AI301" s="202"/>
      <c r="AJ301" s="202"/>
      <c r="AK301" s="202"/>
      <c r="AL301" s="202"/>
      <c r="AM301" s="202"/>
      <c r="AN301" s="202"/>
      <c r="AO301" s="202"/>
      <c r="AP301" s="202"/>
      <c r="AQ301" s="202"/>
      <c r="AR301" s="202"/>
      <c r="AS301" s="202"/>
      <c r="AT301" s="202"/>
      <c r="AU301" s="202"/>
      <c r="AV301" s="202"/>
      <c r="AW301" s="202"/>
      <c r="AX301" s="202"/>
    </row>
    <row r="302" spans="1:50" ht="15" customHeight="1" x14ac:dyDescent="0.25">
      <c r="A302" s="220"/>
      <c r="B302" s="102"/>
      <c r="C302" s="611"/>
      <c r="D302" s="221"/>
      <c r="E302" s="220"/>
      <c r="F302" s="221"/>
      <c r="G302" s="220"/>
      <c r="H302" s="220"/>
      <c r="I302" s="220"/>
      <c r="J302" s="220"/>
      <c r="K302" s="220"/>
      <c r="L302" s="220"/>
      <c r="M302" s="220"/>
      <c r="N302" s="220"/>
      <c r="O302" s="220"/>
      <c r="P302" s="220"/>
      <c r="Q302" s="220"/>
      <c r="R302" s="220"/>
      <c r="S302" s="220"/>
      <c r="T302" s="220"/>
      <c r="U302" s="220"/>
      <c r="V302" s="220"/>
      <c r="W302" s="220"/>
      <c r="X302" s="220"/>
      <c r="Y302" s="220"/>
      <c r="Z302" s="220"/>
      <c r="AA302" s="220"/>
      <c r="AB302" s="220"/>
      <c r="AC302" s="220"/>
      <c r="AD302" s="220"/>
      <c r="AE302" s="220"/>
      <c r="AF302" s="220"/>
      <c r="AG302" s="220"/>
      <c r="AH302" s="220"/>
      <c r="AI302" s="220"/>
      <c r="AJ302" s="220"/>
      <c r="AK302" s="220"/>
      <c r="AL302" s="220"/>
      <c r="AM302" s="220"/>
      <c r="AN302" s="220"/>
      <c r="AO302" s="220"/>
      <c r="AP302" s="220"/>
      <c r="AQ302" s="220"/>
      <c r="AR302" s="220"/>
      <c r="AS302" s="220"/>
      <c r="AT302" s="220"/>
      <c r="AU302" s="220"/>
      <c r="AV302" s="220"/>
      <c r="AW302" s="220"/>
      <c r="AX302" s="220"/>
    </row>
    <row r="303" spans="1:50" ht="15" customHeight="1" x14ac:dyDescent="0.25">
      <c r="A303" s="220"/>
      <c r="B303" s="102"/>
      <c r="C303" s="611"/>
      <c r="D303" s="221"/>
      <c r="E303" s="140" t="str">
        <f xml:space="preserve"> ProjectCashflows!E$236</f>
        <v>Net revenues after ELT</v>
      </c>
      <c r="F303" s="140">
        <f xml:space="preserve"> ProjectCashflows!F$236</f>
        <v>0</v>
      </c>
      <c r="G303" s="140" t="str">
        <f xml:space="preserve"> ProjectCashflows!G$236</f>
        <v>US$ mn</v>
      </c>
      <c r="H303" s="140">
        <f xml:space="preserve"> ProjectCashflows!H$236</f>
        <v>0</v>
      </c>
      <c r="I303" s="140">
        <f ca="1" xml:space="preserve"> ProjectCashflows!I$236</f>
        <v>57168.543518412531</v>
      </c>
      <c r="J303" s="140">
        <f xml:space="preserve"> ProjectCashflows!J$236</f>
        <v>0</v>
      </c>
      <c r="K303" s="140">
        <f ca="1" xml:space="preserve"> ProjectCashflows!K$236</f>
        <v>0</v>
      </c>
      <c r="L303" s="140">
        <f ca="1" xml:space="preserve"> ProjectCashflows!L$236</f>
        <v>0</v>
      </c>
      <c r="M303" s="140">
        <f ca="1" xml:space="preserve"> ProjectCashflows!M$236</f>
        <v>0</v>
      </c>
      <c r="N303" s="140">
        <f ca="1" xml:space="preserve"> ProjectCashflows!N$236</f>
        <v>0</v>
      </c>
      <c r="O303" s="140">
        <f ca="1" xml:space="preserve"> ProjectCashflows!O$236</f>
        <v>207.45717060984819</v>
      </c>
      <c r="P303" s="140">
        <f ca="1" xml:space="preserve"> ProjectCashflows!P$236</f>
        <v>1662.331659318</v>
      </c>
      <c r="Q303" s="140">
        <f ca="1" xml:space="preserve"> ProjectCashflows!Q$236</f>
        <v>3391.1565850087204</v>
      </c>
      <c r="R303" s="140">
        <f ca="1" xml:space="preserve"> ProjectCashflows!R$236</f>
        <v>3458.9797167088946</v>
      </c>
      <c r="S303" s="140">
        <f ca="1" xml:space="preserve"> ProjectCashflows!S$236</f>
        <v>3528.1593110430726</v>
      </c>
      <c r="T303" s="140">
        <f ca="1" xml:space="preserve"> ProjectCashflows!T$236</f>
        <v>3598.7224972639342</v>
      </c>
      <c r="U303" s="140">
        <f ca="1" xml:space="preserve"> ProjectCashflows!U$236</f>
        <v>3670.6969472092128</v>
      </c>
      <c r="V303" s="140">
        <f ca="1" xml:space="preserve"> ProjectCashflows!V$236</f>
        <v>3744.1108861533971</v>
      </c>
      <c r="W303" s="140">
        <f ca="1" xml:space="preserve"> ProjectCashflows!W$236</f>
        <v>3818.9931038764653</v>
      </c>
      <c r="X303" s="140">
        <f ca="1" xml:space="preserve"> ProjectCashflows!X$236</f>
        <v>3895.372965953994</v>
      </c>
      <c r="Y303" s="140">
        <f ca="1" xml:space="preserve"> ProjectCashflows!Y$236</f>
        <v>3973.2804252730743</v>
      </c>
      <c r="Z303" s="140">
        <f ca="1" xml:space="preserve"> ProjectCashflows!Z$236</f>
        <v>4052.746033778536</v>
      </c>
      <c r="AA303" s="140">
        <f ca="1" xml:space="preserve"> ProjectCashflows!AA$236</f>
        <v>3348.3787731078273</v>
      </c>
      <c r="AB303" s="140">
        <f ca="1" xml:space="preserve"> ProjectCashflows!AB$236</f>
        <v>2766.4305423416872</v>
      </c>
      <c r="AC303" s="140">
        <f ca="1" xml:space="preserve"> ProjectCashflows!AC$236</f>
        <v>2285.6249140827022</v>
      </c>
      <c r="AD303" s="140">
        <f ca="1" xml:space="preserve"> ProjectCashflows!AD$236</f>
        <v>1888.3833040151289</v>
      </c>
      <c r="AE303" s="140">
        <f ca="1" xml:space="preserve"> ProjectCashflows!AE$236</f>
        <v>1560.1822857772995</v>
      </c>
      <c r="AF303" s="140">
        <f ca="1" xml:space="preserve"> ProjectCashflows!AF$236</f>
        <v>1289.0226045092052</v>
      </c>
      <c r="AG303" s="140">
        <f ca="1" xml:space="preserve"> ProjectCashflows!AG$236</f>
        <v>1064.9904758455054</v>
      </c>
      <c r="AH303" s="140">
        <f ca="1" xml:space="preserve"> ProjectCashflows!AH$236</f>
        <v>879.89513114355657</v>
      </c>
      <c r="AI303" s="140">
        <f ca="1" xml:space="preserve"> ProjectCashflows!AI$236</f>
        <v>726.9693573508066</v>
      </c>
      <c r="AJ303" s="140">
        <f ca="1" xml:space="preserve"> ProjectCashflows!AJ$236</f>
        <v>600.62208304323633</v>
      </c>
      <c r="AK303" s="140">
        <f ca="1" xml:space="preserve"> ProjectCashflows!AK$236</f>
        <v>496.23396501032192</v>
      </c>
      <c r="AL303" s="140">
        <f ca="1" xml:space="preserve"> ProjectCashflows!AL$236</f>
        <v>409.9885018915279</v>
      </c>
      <c r="AM303" s="140">
        <f ca="1" xml:space="preserve"> ProjectCashflows!AM$236</f>
        <v>338.73250026278043</v>
      </c>
      <c r="AN303" s="140">
        <f ca="1" xml:space="preserve"> ProjectCashflows!AN$236</f>
        <v>279.86079171710918</v>
      </c>
      <c r="AO303" s="140">
        <f ca="1" xml:space="preserve"> ProjectCashflows!AO$236</f>
        <v>231.22098611667568</v>
      </c>
      <c r="AP303" s="140">
        <f ca="1" xml:space="preserve"> ProjectCashflows!AP$236</f>
        <v>0</v>
      </c>
      <c r="AQ303" s="140">
        <f ca="1" xml:space="preserve"> ProjectCashflows!AQ$236</f>
        <v>0</v>
      </c>
      <c r="AR303" s="140">
        <f ca="1" xml:space="preserve"> ProjectCashflows!AR$236</f>
        <v>0</v>
      </c>
      <c r="AS303" s="140">
        <f ca="1" xml:space="preserve"> ProjectCashflows!AS$236</f>
        <v>0</v>
      </c>
      <c r="AT303" s="140">
        <f ca="1" xml:space="preserve"> ProjectCashflows!AT$236</f>
        <v>0</v>
      </c>
      <c r="AU303" s="140">
        <f ca="1" xml:space="preserve"> ProjectCashflows!AU$236</f>
        <v>0</v>
      </c>
      <c r="AV303" s="140">
        <f ca="1" xml:space="preserve"> ProjectCashflows!AV$236</f>
        <v>0</v>
      </c>
      <c r="AW303" s="140">
        <f ca="1" xml:space="preserve"> ProjectCashflows!AW$236</f>
        <v>0</v>
      </c>
      <c r="AX303" s="140">
        <f ca="1" xml:space="preserve"> ProjectCashflows!AX$236</f>
        <v>0</v>
      </c>
    </row>
    <row r="304" spans="1:50" s="412" customFormat="1" ht="15" customHeight="1" x14ac:dyDescent="0.25">
      <c r="A304" s="415"/>
      <c r="B304" s="52"/>
      <c r="C304" s="614"/>
      <c r="D304" s="535"/>
      <c r="E304" s="411" t="str">
        <f xml:space="preserve"> E$214</f>
        <v>Royalty</v>
      </c>
      <c r="F304" s="411">
        <f t="shared" ref="F304:AX304" si="60" xml:space="preserve"> F$214</f>
        <v>0</v>
      </c>
      <c r="G304" s="411" t="str">
        <f t="shared" si="60"/>
        <v>US$ mn</v>
      </c>
      <c r="H304" s="411">
        <f t="shared" si="60"/>
        <v>0</v>
      </c>
      <c r="I304" s="411">
        <f t="shared" ca="1" si="60"/>
        <v>11433.708703682507</v>
      </c>
      <c r="J304" s="411">
        <f t="shared" si="60"/>
        <v>0</v>
      </c>
      <c r="K304" s="411">
        <f t="shared" ca="1" si="60"/>
        <v>0</v>
      </c>
      <c r="L304" s="411">
        <f t="shared" ca="1" si="60"/>
        <v>0</v>
      </c>
      <c r="M304" s="411">
        <f t="shared" ca="1" si="60"/>
        <v>0</v>
      </c>
      <c r="N304" s="411">
        <f t="shared" ca="1" si="60"/>
        <v>0</v>
      </c>
      <c r="O304" s="411">
        <f t="shared" ca="1" si="60"/>
        <v>41.49143412196964</v>
      </c>
      <c r="P304" s="411">
        <f t="shared" ca="1" si="60"/>
        <v>332.46633186360003</v>
      </c>
      <c r="Q304" s="411">
        <f t="shared" ca="1" si="60"/>
        <v>678.23131700174417</v>
      </c>
      <c r="R304" s="411">
        <f t="shared" ca="1" si="60"/>
        <v>691.79594334177898</v>
      </c>
      <c r="S304" s="411">
        <f t="shared" ca="1" si="60"/>
        <v>705.63186220861462</v>
      </c>
      <c r="T304" s="411">
        <f t="shared" ca="1" si="60"/>
        <v>719.74449945278684</v>
      </c>
      <c r="U304" s="411">
        <f t="shared" ca="1" si="60"/>
        <v>734.13938944184258</v>
      </c>
      <c r="V304" s="411">
        <f t="shared" ca="1" si="60"/>
        <v>748.82217723067947</v>
      </c>
      <c r="W304" s="411">
        <f t="shared" ca="1" si="60"/>
        <v>763.7986207752931</v>
      </c>
      <c r="X304" s="411">
        <f t="shared" ca="1" si="60"/>
        <v>779.07459319079885</v>
      </c>
      <c r="Y304" s="411">
        <f t="shared" ca="1" si="60"/>
        <v>794.65608505461489</v>
      </c>
      <c r="Z304" s="411">
        <f t="shared" ca="1" si="60"/>
        <v>810.54920675570725</v>
      </c>
      <c r="AA304" s="411">
        <f t="shared" ca="1" si="60"/>
        <v>669.67575462156549</v>
      </c>
      <c r="AB304" s="411">
        <f t="shared" ca="1" si="60"/>
        <v>553.28610846833749</v>
      </c>
      <c r="AC304" s="411">
        <f t="shared" ca="1" si="60"/>
        <v>457.12498281654047</v>
      </c>
      <c r="AD304" s="411">
        <f t="shared" ca="1" si="60"/>
        <v>377.67666080302581</v>
      </c>
      <c r="AE304" s="411">
        <f t="shared" ca="1" si="60"/>
        <v>312.03645715545991</v>
      </c>
      <c r="AF304" s="411">
        <f t="shared" ca="1" si="60"/>
        <v>257.80452090184104</v>
      </c>
      <c r="AG304" s="411">
        <f t="shared" ca="1" si="60"/>
        <v>212.99809516910111</v>
      </c>
      <c r="AH304" s="411">
        <f t="shared" ca="1" si="60"/>
        <v>175.97902622871132</v>
      </c>
      <c r="AI304" s="411">
        <f t="shared" ca="1" si="60"/>
        <v>145.39387147016132</v>
      </c>
      <c r="AJ304" s="411">
        <f t="shared" ca="1" si="60"/>
        <v>120.12441660864727</v>
      </c>
      <c r="AK304" s="411">
        <f t="shared" ca="1" si="60"/>
        <v>99.246793002064393</v>
      </c>
      <c r="AL304" s="411">
        <f t="shared" ca="1" si="60"/>
        <v>81.997700378305581</v>
      </c>
      <c r="AM304" s="411">
        <f t="shared" ca="1" si="60"/>
        <v>67.746500052556087</v>
      </c>
      <c r="AN304" s="411">
        <f t="shared" ca="1" si="60"/>
        <v>55.972158343421839</v>
      </c>
      <c r="AO304" s="411">
        <f t="shared" ca="1" si="60"/>
        <v>46.244197223335135</v>
      </c>
      <c r="AP304" s="411">
        <f t="shared" ca="1" si="60"/>
        <v>0</v>
      </c>
      <c r="AQ304" s="411">
        <f t="shared" ca="1" si="60"/>
        <v>0</v>
      </c>
      <c r="AR304" s="411">
        <f t="shared" ca="1" si="60"/>
        <v>0</v>
      </c>
      <c r="AS304" s="411">
        <f t="shared" ca="1" si="60"/>
        <v>0</v>
      </c>
      <c r="AT304" s="411">
        <f t="shared" ca="1" si="60"/>
        <v>0</v>
      </c>
      <c r="AU304" s="411">
        <f t="shared" ca="1" si="60"/>
        <v>0</v>
      </c>
      <c r="AV304" s="411">
        <f t="shared" ca="1" si="60"/>
        <v>0</v>
      </c>
      <c r="AW304" s="411">
        <f t="shared" ca="1" si="60"/>
        <v>0</v>
      </c>
      <c r="AX304" s="411">
        <f t="shared" ca="1" si="60"/>
        <v>0</v>
      </c>
    </row>
    <row r="305" spans="1:50" s="398" customFormat="1" ht="15" customHeight="1" x14ac:dyDescent="0.25">
      <c r="A305" s="420"/>
      <c r="B305" s="235"/>
      <c r="C305" s="627"/>
      <c r="D305" s="414"/>
      <c r="E305" s="411" t="str">
        <f xml:space="preserve"> E$219</f>
        <v>Oil revenues after royalty</v>
      </c>
      <c r="F305" s="411">
        <f t="shared" ref="F305:AX305" si="61" xml:space="preserve"> F$219</f>
        <v>0</v>
      </c>
      <c r="G305" s="411">
        <f t="shared" si="61"/>
        <v>0</v>
      </c>
      <c r="H305" s="411">
        <f t="shared" si="61"/>
        <v>0</v>
      </c>
      <c r="I305" s="411">
        <f t="shared" ca="1" si="61"/>
        <v>45734.83481473002</v>
      </c>
      <c r="J305" s="411">
        <f t="shared" si="61"/>
        <v>0</v>
      </c>
      <c r="K305" s="411">
        <f t="shared" ca="1" si="61"/>
        <v>0</v>
      </c>
      <c r="L305" s="411">
        <f t="shared" ca="1" si="61"/>
        <v>0</v>
      </c>
      <c r="M305" s="411">
        <f t="shared" ca="1" si="61"/>
        <v>0</v>
      </c>
      <c r="N305" s="411">
        <f t="shared" ca="1" si="61"/>
        <v>0</v>
      </c>
      <c r="O305" s="411">
        <f t="shared" ca="1" si="61"/>
        <v>165.96573648787856</v>
      </c>
      <c r="P305" s="411">
        <f t="shared" ca="1" si="61"/>
        <v>1329.8653274543999</v>
      </c>
      <c r="Q305" s="411">
        <f t="shared" ca="1" si="61"/>
        <v>2712.9252680069762</v>
      </c>
      <c r="R305" s="411">
        <f t="shared" ca="1" si="61"/>
        <v>2767.1837733671155</v>
      </c>
      <c r="S305" s="411">
        <f t="shared" ca="1" si="61"/>
        <v>2822.527448834458</v>
      </c>
      <c r="T305" s="411">
        <f t="shared" ca="1" si="61"/>
        <v>2878.9779978111474</v>
      </c>
      <c r="U305" s="411">
        <f t="shared" ca="1" si="61"/>
        <v>2936.5575577673703</v>
      </c>
      <c r="V305" s="411">
        <f t="shared" ca="1" si="61"/>
        <v>2995.2887089227179</v>
      </c>
      <c r="W305" s="411">
        <f t="shared" ca="1" si="61"/>
        <v>3055.1944831011724</v>
      </c>
      <c r="X305" s="411">
        <f t="shared" ca="1" si="61"/>
        <v>3116.2983727631954</v>
      </c>
      <c r="Y305" s="411">
        <f t="shared" ca="1" si="61"/>
        <v>3178.6243402184596</v>
      </c>
      <c r="Z305" s="411">
        <f t="shared" ca="1" si="61"/>
        <v>3242.196827022829</v>
      </c>
      <c r="AA305" s="411">
        <f t="shared" ca="1" si="61"/>
        <v>2678.703018486262</v>
      </c>
      <c r="AB305" s="411">
        <f t="shared" ca="1" si="61"/>
        <v>2213.14443387335</v>
      </c>
      <c r="AC305" s="411">
        <f t="shared" ca="1" si="61"/>
        <v>1828.4999312661616</v>
      </c>
      <c r="AD305" s="411">
        <f t="shared" ca="1" si="61"/>
        <v>1510.7066432121032</v>
      </c>
      <c r="AE305" s="411">
        <f t="shared" ca="1" si="61"/>
        <v>1248.1458286218397</v>
      </c>
      <c r="AF305" s="411">
        <f t="shared" ca="1" si="61"/>
        <v>1031.2180836073642</v>
      </c>
      <c r="AG305" s="411">
        <f t="shared" ca="1" si="61"/>
        <v>851.99238067640431</v>
      </c>
      <c r="AH305" s="411">
        <f t="shared" ca="1" si="61"/>
        <v>703.91610491484528</v>
      </c>
      <c r="AI305" s="411">
        <f t="shared" ca="1" si="61"/>
        <v>581.57548588064526</v>
      </c>
      <c r="AJ305" s="411">
        <f t="shared" ca="1" si="61"/>
        <v>480.49766643458906</v>
      </c>
      <c r="AK305" s="411">
        <f t="shared" ca="1" si="61"/>
        <v>396.98717200825752</v>
      </c>
      <c r="AL305" s="411">
        <f t="shared" ca="1" si="61"/>
        <v>327.99080151322232</v>
      </c>
      <c r="AM305" s="411">
        <f t="shared" ca="1" si="61"/>
        <v>270.98600021022435</v>
      </c>
      <c r="AN305" s="411">
        <f t="shared" ca="1" si="61"/>
        <v>223.88863337368736</v>
      </c>
      <c r="AO305" s="411">
        <f t="shared" ca="1" si="61"/>
        <v>184.97678889334054</v>
      </c>
      <c r="AP305" s="411">
        <f t="shared" ca="1" si="61"/>
        <v>0</v>
      </c>
      <c r="AQ305" s="411">
        <f t="shared" ca="1" si="61"/>
        <v>0</v>
      </c>
      <c r="AR305" s="411">
        <f t="shared" ca="1" si="61"/>
        <v>0</v>
      </c>
      <c r="AS305" s="411">
        <f t="shared" ca="1" si="61"/>
        <v>0</v>
      </c>
      <c r="AT305" s="411">
        <f t="shared" ca="1" si="61"/>
        <v>0</v>
      </c>
      <c r="AU305" s="411">
        <f t="shared" ca="1" si="61"/>
        <v>0</v>
      </c>
      <c r="AV305" s="411">
        <f t="shared" ca="1" si="61"/>
        <v>0</v>
      </c>
      <c r="AW305" s="411">
        <f t="shared" ca="1" si="61"/>
        <v>0</v>
      </c>
      <c r="AX305" s="411">
        <f t="shared" ca="1" si="61"/>
        <v>0</v>
      </c>
    </row>
    <row r="306" spans="1:50" ht="15" customHeight="1" x14ac:dyDescent="0.25">
      <c r="A306" s="86"/>
      <c r="B306" s="235"/>
      <c r="C306" s="604"/>
      <c r="D306" s="217"/>
      <c r="E306" s="55"/>
      <c r="F306" s="64"/>
      <c r="G306" s="55"/>
      <c r="H306" s="55"/>
      <c r="I306" s="55"/>
      <c r="J306" s="55"/>
      <c r="K306" s="55"/>
      <c r="L306" s="55"/>
      <c r="M306" s="55"/>
      <c r="N306" s="55"/>
      <c r="O306" s="55"/>
      <c r="P306" s="55"/>
      <c r="Q306" s="55"/>
      <c r="R306" s="55"/>
      <c r="S306" s="55"/>
      <c r="T306" s="55"/>
      <c r="U306" s="55"/>
      <c r="V306" s="55"/>
      <c r="W306" s="55"/>
      <c r="X306" s="55"/>
      <c r="Y306" s="55"/>
      <c r="Z306" s="55"/>
      <c r="AA306" s="55"/>
      <c r="AB306" s="55"/>
      <c r="AC306" s="55"/>
      <c r="AD306" s="55"/>
      <c r="AE306" s="55"/>
      <c r="AF306" s="55"/>
      <c r="AG306" s="55"/>
      <c r="AH306" s="55"/>
      <c r="AI306" s="55"/>
      <c r="AJ306" s="55"/>
      <c r="AK306" s="55"/>
      <c r="AL306" s="55"/>
      <c r="AM306" s="55"/>
      <c r="AN306" s="55"/>
      <c r="AO306" s="55"/>
      <c r="AP306" s="55"/>
      <c r="AQ306" s="55"/>
      <c r="AR306" s="55"/>
      <c r="AS306" s="55"/>
      <c r="AT306" s="55"/>
      <c r="AU306" s="55"/>
      <c r="AV306" s="55"/>
      <c r="AW306" s="55"/>
      <c r="AX306" s="55"/>
    </row>
    <row r="307" spans="1:50" s="40" customFormat="1" ht="15" customHeight="1" x14ac:dyDescent="0.25">
      <c r="A307" s="139"/>
      <c r="B307" s="235"/>
      <c r="C307" s="613"/>
      <c r="D307" s="351"/>
      <c r="E307" s="140" t="str">
        <f xml:space="preserve"> ProjectCashflows!E$238</f>
        <v>Exploration costs, after ELT</v>
      </c>
      <c r="F307" s="540">
        <f xml:space="preserve"> ProjectCashflows!F$238</f>
        <v>0</v>
      </c>
      <c r="G307" s="140" t="str">
        <f xml:space="preserve"> ProjectCashflows!G$238</f>
        <v>US$ mn</v>
      </c>
      <c r="H307" s="140">
        <f xml:space="preserve"> ProjectCashflows!H$238</f>
        <v>0</v>
      </c>
      <c r="I307" s="140">
        <f ca="1" xml:space="preserve"> ProjectCashflows!I$238</f>
        <v>420</v>
      </c>
      <c r="J307" s="140">
        <f xml:space="preserve"> ProjectCashflows!J$238</f>
        <v>0</v>
      </c>
      <c r="K307" s="140">
        <f ca="1" xml:space="preserve"> ProjectCashflows!K$238</f>
        <v>420</v>
      </c>
      <c r="L307" s="140">
        <f ca="1" xml:space="preserve"> ProjectCashflows!L$238</f>
        <v>0</v>
      </c>
      <c r="M307" s="140">
        <f ca="1" xml:space="preserve"> ProjectCashflows!M$238</f>
        <v>0</v>
      </c>
      <c r="N307" s="140">
        <f ca="1" xml:space="preserve"> ProjectCashflows!N$238</f>
        <v>0</v>
      </c>
      <c r="O307" s="140">
        <f ca="1" xml:space="preserve"> ProjectCashflows!O$238</f>
        <v>0</v>
      </c>
      <c r="P307" s="140">
        <f ca="1" xml:space="preserve"> ProjectCashflows!P$238</f>
        <v>0</v>
      </c>
      <c r="Q307" s="140">
        <f ca="1" xml:space="preserve"> ProjectCashflows!Q$238</f>
        <v>0</v>
      </c>
      <c r="R307" s="140">
        <f ca="1" xml:space="preserve"> ProjectCashflows!R$238</f>
        <v>0</v>
      </c>
      <c r="S307" s="140">
        <f ca="1" xml:space="preserve"> ProjectCashflows!S$238</f>
        <v>0</v>
      </c>
      <c r="T307" s="140">
        <f ca="1" xml:space="preserve"> ProjectCashflows!T$238</f>
        <v>0</v>
      </c>
      <c r="U307" s="140">
        <f ca="1" xml:space="preserve"> ProjectCashflows!U$238</f>
        <v>0</v>
      </c>
      <c r="V307" s="140">
        <f ca="1" xml:space="preserve"> ProjectCashflows!V$238</f>
        <v>0</v>
      </c>
      <c r="W307" s="140">
        <f ca="1" xml:space="preserve"> ProjectCashflows!W$238</f>
        <v>0</v>
      </c>
      <c r="X307" s="140">
        <f ca="1" xml:space="preserve"> ProjectCashflows!X$238</f>
        <v>0</v>
      </c>
      <c r="Y307" s="140">
        <f ca="1" xml:space="preserve"> ProjectCashflows!Y$238</f>
        <v>0</v>
      </c>
      <c r="Z307" s="140">
        <f ca="1" xml:space="preserve"> ProjectCashflows!Z$238</f>
        <v>0</v>
      </c>
      <c r="AA307" s="140">
        <f ca="1" xml:space="preserve"> ProjectCashflows!AA$238</f>
        <v>0</v>
      </c>
      <c r="AB307" s="140">
        <f ca="1" xml:space="preserve"> ProjectCashflows!AB$238</f>
        <v>0</v>
      </c>
      <c r="AC307" s="140">
        <f ca="1" xml:space="preserve"> ProjectCashflows!AC$238</f>
        <v>0</v>
      </c>
      <c r="AD307" s="140">
        <f ca="1" xml:space="preserve"> ProjectCashflows!AD$238</f>
        <v>0</v>
      </c>
      <c r="AE307" s="140">
        <f ca="1" xml:space="preserve"> ProjectCashflows!AE$238</f>
        <v>0</v>
      </c>
      <c r="AF307" s="140">
        <f ca="1" xml:space="preserve"> ProjectCashflows!AF$238</f>
        <v>0</v>
      </c>
      <c r="AG307" s="140">
        <f ca="1" xml:space="preserve"> ProjectCashflows!AG$238</f>
        <v>0</v>
      </c>
      <c r="AH307" s="140">
        <f ca="1" xml:space="preserve"> ProjectCashflows!AH$238</f>
        <v>0</v>
      </c>
      <c r="AI307" s="140">
        <f ca="1" xml:space="preserve"> ProjectCashflows!AI$238</f>
        <v>0</v>
      </c>
      <c r="AJ307" s="140">
        <f ca="1" xml:space="preserve"> ProjectCashflows!AJ$238</f>
        <v>0</v>
      </c>
      <c r="AK307" s="140">
        <f ca="1" xml:space="preserve"> ProjectCashflows!AK$238</f>
        <v>0</v>
      </c>
      <c r="AL307" s="140">
        <f ca="1" xml:space="preserve"> ProjectCashflows!AL$238</f>
        <v>0</v>
      </c>
      <c r="AM307" s="140">
        <f ca="1" xml:space="preserve"> ProjectCashflows!AM$238</f>
        <v>0</v>
      </c>
      <c r="AN307" s="140">
        <f ca="1" xml:space="preserve"> ProjectCashflows!AN$238</f>
        <v>0</v>
      </c>
      <c r="AO307" s="140">
        <f ca="1" xml:space="preserve"> ProjectCashflows!AO$238</f>
        <v>0</v>
      </c>
      <c r="AP307" s="140">
        <f ca="1" xml:space="preserve"> ProjectCashflows!AP$238</f>
        <v>0</v>
      </c>
      <c r="AQ307" s="140">
        <f ca="1" xml:space="preserve"> ProjectCashflows!AQ$238</f>
        <v>0</v>
      </c>
      <c r="AR307" s="140">
        <f ca="1" xml:space="preserve"> ProjectCashflows!AR$238</f>
        <v>0</v>
      </c>
      <c r="AS307" s="140">
        <f ca="1" xml:space="preserve"> ProjectCashflows!AS$238</f>
        <v>0</v>
      </c>
      <c r="AT307" s="140">
        <f ca="1" xml:space="preserve"> ProjectCashflows!AT$238</f>
        <v>0</v>
      </c>
      <c r="AU307" s="140">
        <f ca="1" xml:space="preserve"> ProjectCashflows!AU$238</f>
        <v>0</v>
      </c>
      <c r="AV307" s="140">
        <f ca="1" xml:space="preserve"> ProjectCashflows!AV$238</f>
        <v>0</v>
      </c>
      <c r="AW307" s="140">
        <f ca="1" xml:space="preserve"> ProjectCashflows!AW$238</f>
        <v>0</v>
      </c>
      <c r="AX307" s="140">
        <f ca="1" xml:space="preserve"> ProjectCashflows!AX$238</f>
        <v>0</v>
      </c>
    </row>
    <row r="308" spans="1:50" s="40" customFormat="1" ht="15" customHeight="1" x14ac:dyDescent="0.25">
      <c r="A308" s="139"/>
      <c r="B308" s="235"/>
      <c r="C308" s="613"/>
      <c r="D308" s="351"/>
      <c r="E308" s="140" t="str">
        <f xml:space="preserve"> ProjectCashflows!E$239</f>
        <v>Development costs, after ELT</v>
      </c>
      <c r="F308" s="540">
        <f xml:space="preserve"> ProjectCashflows!F$239</f>
        <v>0</v>
      </c>
      <c r="G308" s="140" t="str">
        <f xml:space="preserve"> ProjectCashflows!G$239</f>
        <v>US$ mn</v>
      </c>
      <c r="H308" s="140">
        <f xml:space="preserve"> ProjectCashflows!H$239</f>
        <v>0</v>
      </c>
      <c r="I308" s="140">
        <f ca="1" xml:space="preserve"> ProjectCashflows!I$239</f>
        <v>10455.572281430788</v>
      </c>
      <c r="J308" s="140">
        <f xml:space="preserve"> ProjectCashflows!J$239</f>
        <v>0</v>
      </c>
      <c r="K308" s="140">
        <f ca="1" xml:space="preserve"> ProjectCashflows!K$239</f>
        <v>0</v>
      </c>
      <c r="L308" s="140">
        <f ca="1" xml:space="preserve"> ProjectCashflows!L$239</f>
        <v>51</v>
      </c>
      <c r="M308" s="140">
        <f ca="1" xml:space="preserve"> ProjectCashflows!M$239</f>
        <v>312.12</v>
      </c>
      <c r="N308" s="140">
        <f ca="1" xml:space="preserve"> ProjectCashflows!N$239</f>
        <v>1273.4495999999999</v>
      </c>
      <c r="O308" s="140">
        <f ca="1" xml:space="preserve"> ProjectCashflows!O$239</f>
        <v>1298.918592</v>
      </c>
      <c r="P308" s="140">
        <f ca="1" xml:space="preserve"> ProjectCashflows!P$239</f>
        <v>2318.5696867199999</v>
      </c>
      <c r="Q308" s="140">
        <f ca="1" xml:space="preserve"> ProjectCashflows!Q$239</f>
        <v>1238.7786611904</v>
      </c>
      <c r="R308" s="140">
        <f ca="1" xml:space="preserve"> ProjectCashflows!R$239</f>
        <v>516.90855044217597</v>
      </c>
      <c r="S308" s="140">
        <f ca="1" xml:space="preserve"> ProjectCashflows!S$239</f>
        <v>292.91484525056643</v>
      </c>
      <c r="T308" s="140">
        <f ca="1" xml:space="preserve"> ProjectCashflows!T$239</f>
        <v>298.77314215557777</v>
      </c>
      <c r="U308" s="140">
        <f ca="1" xml:space="preserve"> ProjectCashflows!U$239</f>
        <v>304.74860499868936</v>
      </c>
      <c r="V308" s="140">
        <f ca="1" xml:space="preserve"> ProjectCashflows!V$239</f>
        <v>310.8435770986631</v>
      </c>
      <c r="W308" s="140">
        <f ca="1" xml:space="preserve"> ProjectCashflows!W$239</f>
        <v>317.06044864063637</v>
      </c>
      <c r="X308" s="140">
        <f ca="1" xml:space="preserve"> ProjectCashflows!X$239</f>
        <v>323.40165761344906</v>
      </c>
      <c r="Y308" s="140">
        <f ca="1" xml:space="preserve"> ProjectCashflows!Y$239</f>
        <v>329.86969076571808</v>
      </c>
      <c r="Z308" s="140">
        <f ca="1" xml:space="preserve"> ProjectCashflows!Z$239</f>
        <v>336.46708458103245</v>
      </c>
      <c r="AA308" s="140">
        <f ca="1" xml:space="preserve"> ProjectCashflows!AA$239</f>
        <v>343.19642627265313</v>
      </c>
      <c r="AB308" s="140">
        <f ca="1" xml:space="preserve"> ProjectCashflows!AB$239</f>
        <v>0</v>
      </c>
      <c r="AC308" s="140">
        <f ca="1" xml:space="preserve"> ProjectCashflows!AC$239</f>
        <v>0</v>
      </c>
      <c r="AD308" s="140">
        <f ca="1" xml:space="preserve"> ProjectCashflows!AD$239</f>
        <v>291.36223450555974</v>
      </c>
      <c r="AE308" s="140">
        <f ca="1" xml:space="preserve"> ProjectCashflows!AE$239</f>
        <v>297.18947919567097</v>
      </c>
      <c r="AF308" s="140">
        <f ca="1" xml:space="preserve"> ProjectCashflows!AF$239</f>
        <v>0</v>
      </c>
      <c r="AG308" s="140">
        <f ca="1" xml:space="preserve"> ProjectCashflows!AG$239</f>
        <v>0</v>
      </c>
      <c r="AH308" s="140">
        <f ca="1" xml:space="preserve"> ProjectCashflows!AH$239</f>
        <v>0</v>
      </c>
      <c r="AI308" s="140">
        <f ca="1" xml:space="preserve"> ProjectCashflows!AI$239</f>
        <v>0</v>
      </c>
      <c r="AJ308" s="140">
        <f ca="1" xml:space="preserve"> ProjectCashflows!AJ$239</f>
        <v>0</v>
      </c>
      <c r="AK308" s="140">
        <f ca="1" xml:space="preserve"> ProjectCashflows!AK$239</f>
        <v>0</v>
      </c>
      <c r="AL308" s="140">
        <f ca="1" xml:space="preserve"> ProjectCashflows!AL$239</f>
        <v>0</v>
      </c>
      <c r="AM308" s="140">
        <f ca="1" xml:space="preserve"> ProjectCashflows!AM$239</f>
        <v>0</v>
      </c>
      <c r="AN308" s="140">
        <f ca="1" xml:space="preserve"> ProjectCashflows!AN$239</f>
        <v>0</v>
      </c>
      <c r="AO308" s="140">
        <f ca="1" xml:space="preserve"> ProjectCashflows!AO$239</f>
        <v>0</v>
      </c>
      <c r="AP308" s="140">
        <f ca="1" xml:space="preserve"> ProjectCashflows!AP$239</f>
        <v>0</v>
      </c>
      <c r="AQ308" s="140">
        <f ca="1" xml:space="preserve"> ProjectCashflows!AQ$239</f>
        <v>0</v>
      </c>
      <c r="AR308" s="140">
        <f ca="1" xml:space="preserve"> ProjectCashflows!AR$239</f>
        <v>0</v>
      </c>
      <c r="AS308" s="140">
        <f ca="1" xml:space="preserve"> ProjectCashflows!AS$239</f>
        <v>0</v>
      </c>
      <c r="AT308" s="140">
        <f ca="1" xml:space="preserve"> ProjectCashflows!AT$239</f>
        <v>0</v>
      </c>
      <c r="AU308" s="140">
        <f ca="1" xml:space="preserve"> ProjectCashflows!AU$239</f>
        <v>0</v>
      </c>
      <c r="AV308" s="140">
        <f ca="1" xml:space="preserve"> ProjectCashflows!AV$239</f>
        <v>0</v>
      </c>
      <c r="AW308" s="140">
        <f ca="1" xml:space="preserve"> ProjectCashflows!AW$239</f>
        <v>0</v>
      </c>
      <c r="AX308" s="140">
        <f ca="1" xml:space="preserve"> ProjectCashflows!AX$239</f>
        <v>0</v>
      </c>
    </row>
    <row r="309" spans="1:50" s="40" customFormat="1" ht="15" customHeight="1" x14ac:dyDescent="0.25">
      <c r="A309" s="139"/>
      <c r="B309" s="235"/>
      <c r="C309" s="613"/>
      <c r="D309" s="351"/>
      <c r="E309" s="140" t="str">
        <f xml:space="preserve"> ProjectCashflows!E$240</f>
        <v>Replacement capital costs, after ELT</v>
      </c>
      <c r="F309" s="540">
        <f xml:space="preserve"> ProjectCashflows!F$240</f>
        <v>0</v>
      </c>
      <c r="G309" s="140" t="str">
        <f xml:space="preserve"> ProjectCashflows!G$240</f>
        <v>US$ mn</v>
      </c>
      <c r="H309" s="140">
        <f xml:space="preserve"> ProjectCashflows!H$240</f>
        <v>0</v>
      </c>
      <c r="I309" s="140">
        <f ca="1" xml:space="preserve"> ProjectCashflows!I$240</f>
        <v>0</v>
      </c>
      <c r="J309" s="140">
        <f xml:space="preserve"> ProjectCashflows!J$240</f>
        <v>0</v>
      </c>
      <c r="K309" s="140">
        <f ca="1" xml:space="preserve"> ProjectCashflows!K$240</f>
        <v>0</v>
      </c>
      <c r="L309" s="140">
        <f ca="1" xml:space="preserve"> ProjectCashflows!L$240</f>
        <v>0</v>
      </c>
      <c r="M309" s="140">
        <f ca="1" xml:space="preserve"> ProjectCashflows!M$240</f>
        <v>0</v>
      </c>
      <c r="N309" s="140">
        <f ca="1" xml:space="preserve"> ProjectCashflows!N$240</f>
        <v>0</v>
      </c>
      <c r="O309" s="140">
        <f ca="1" xml:space="preserve"> ProjectCashflows!O$240</f>
        <v>0</v>
      </c>
      <c r="P309" s="140">
        <f ca="1" xml:space="preserve"> ProjectCashflows!P$240</f>
        <v>0</v>
      </c>
      <c r="Q309" s="140">
        <f ca="1" xml:space="preserve"> ProjectCashflows!Q$240</f>
        <v>0</v>
      </c>
      <c r="R309" s="140">
        <f ca="1" xml:space="preserve"> ProjectCashflows!R$240</f>
        <v>0</v>
      </c>
      <c r="S309" s="140">
        <f ca="1" xml:space="preserve"> ProjectCashflows!S$240</f>
        <v>0</v>
      </c>
      <c r="T309" s="140">
        <f ca="1" xml:space="preserve"> ProjectCashflows!T$240</f>
        <v>0</v>
      </c>
      <c r="U309" s="140">
        <f ca="1" xml:space="preserve"> ProjectCashflows!U$240</f>
        <v>0</v>
      </c>
      <c r="V309" s="140">
        <f ca="1" xml:space="preserve"> ProjectCashflows!V$240</f>
        <v>0</v>
      </c>
      <c r="W309" s="140">
        <f ca="1" xml:space="preserve"> ProjectCashflows!W$240</f>
        <v>0</v>
      </c>
      <c r="X309" s="140">
        <f ca="1" xml:space="preserve"> ProjectCashflows!X$240</f>
        <v>0</v>
      </c>
      <c r="Y309" s="140">
        <f ca="1" xml:space="preserve"> ProjectCashflows!Y$240</f>
        <v>0</v>
      </c>
      <c r="Z309" s="140">
        <f ca="1" xml:space="preserve"> ProjectCashflows!Z$240</f>
        <v>0</v>
      </c>
      <c r="AA309" s="140">
        <f ca="1" xml:space="preserve"> ProjectCashflows!AA$240</f>
        <v>0</v>
      </c>
      <c r="AB309" s="140">
        <f ca="1" xml:space="preserve"> ProjectCashflows!AB$240</f>
        <v>0</v>
      </c>
      <c r="AC309" s="140">
        <f ca="1" xml:space="preserve"> ProjectCashflows!AC$240</f>
        <v>0</v>
      </c>
      <c r="AD309" s="140">
        <f ca="1" xml:space="preserve"> ProjectCashflows!AD$240</f>
        <v>0</v>
      </c>
      <c r="AE309" s="140">
        <f ca="1" xml:space="preserve"> ProjectCashflows!AE$240</f>
        <v>0</v>
      </c>
      <c r="AF309" s="140">
        <f ca="1" xml:space="preserve"> ProjectCashflows!AF$240</f>
        <v>0</v>
      </c>
      <c r="AG309" s="140">
        <f ca="1" xml:space="preserve"> ProjectCashflows!AG$240</f>
        <v>0</v>
      </c>
      <c r="AH309" s="140">
        <f ca="1" xml:space="preserve"> ProjectCashflows!AH$240</f>
        <v>0</v>
      </c>
      <c r="AI309" s="140">
        <f ca="1" xml:space="preserve"> ProjectCashflows!AI$240</f>
        <v>0</v>
      </c>
      <c r="AJ309" s="140">
        <f ca="1" xml:space="preserve"> ProjectCashflows!AJ$240</f>
        <v>0</v>
      </c>
      <c r="AK309" s="140">
        <f ca="1" xml:space="preserve"> ProjectCashflows!AK$240</f>
        <v>0</v>
      </c>
      <c r="AL309" s="140">
        <f ca="1" xml:space="preserve"> ProjectCashflows!AL$240</f>
        <v>0</v>
      </c>
      <c r="AM309" s="140">
        <f ca="1" xml:space="preserve"> ProjectCashflows!AM$240</f>
        <v>0</v>
      </c>
      <c r="AN309" s="140">
        <f ca="1" xml:space="preserve"> ProjectCashflows!AN$240</f>
        <v>0</v>
      </c>
      <c r="AO309" s="140">
        <f ca="1" xml:space="preserve"> ProjectCashflows!AO$240</f>
        <v>0</v>
      </c>
      <c r="AP309" s="140">
        <f ca="1" xml:space="preserve"> ProjectCashflows!AP$240</f>
        <v>0</v>
      </c>
      <c r="AQ309" s="140">
        <f ca="1" xml:space="preserve"> ProjectCashflows!AQ$240</f>
        <v>0</v>
      </c>
      <c r="AR309" s="140">
        <f ca="1" xml:space="preserve"> ProjectCashflows!AR$240</f>
        <v>0</v>
      </c>
      <c r="AS309" s="140">
        <f ca="1" xml:space="preserve"> ProjectCashflows!AS$240</f>
        <v>0</v>
      </c>
      <c r="AT309" s="140">
        <f ca="1" xml:space="preserve"> ProjectCashflows!AT$240</f>
        <v>0</v>
      </c>
      <c r="AU309" s="140">
        <f ca="1" xml:space="preserve"> ProjectCashflows!AU$240</f>
        <v>0</v>
      </c>
      <c r="AV309" s="140">
        <f ca="1" xml:space="preserve"> ProjectCashflows!AV$240</f>
        <v>0</v>
      </c>
      <c r="AW309" s="140">
        <f ca="1" xml:space="preserve"> ProjectCashflows!AW$240</f>
        <v>0</v>
      </c>
      <c r="AX309" s="140">
        <f ca="1" xml:space="preserve"> ProjectCashflows!AX$240</f>
        <v>0</v>
      </c>
    </row>
    <row r="310" spans="1:50" s="40" customFormat="1" ht="15" customHeight="1" x14ac:dyDescent="0.25">
      <c r="A310" s="139"/>
      <c r="B310" s="235"/>
      <c r="C310" s="613"/>
      <c r="D310" s="351"/>
      <c r="E310" s="140" t="str">
        <f xml:space="preserve"> ProjectCashflows!E$241</f>
        <v>Operating costs, after ELT</v>
      </c>
      <c r="F310" s="540">
        <f xml:space="preserve"> ProjectCashflows!F$241</f>
        <v>0</v>
      </c>
      <c r="G310" s="140" t="str">
        <f xml:space="preserve"> ProjectCashflows!G$241</f>
        <v>US$ mn</v>
      </c>
      <c r="H310" s="140">
        <f xml:space="preserve"> ProjectCashflows!H$241</f>
        <v>0</v>
      </c>
      <c r="I310" s="140">
        <f ca="1" xml:space="preserve"> ProjectCashflows!I$241</f>
        <v>6159.112593390113</v>
      </c>
      <c r="J310" s="140">
        <f xml:space="preserve"> ProjectCashflows!J$241</f>
        <v>0</v>
      </c>
      <c r="K310" s="140">
        <f ca="1" xml:space="preserve"> ProjectCashflows!K$241</f>
        <v>0</v>
      </c>
      <c r="L310" s="140">
        <f ca="1" xml:space="preserve"> ProjectCashflows!L$241</f>
        <v>0</v>
      </c>
      <c r="M310" s="140">
        <f ca="1" xml:space="preserve"> ProjectCashflows!M$241</f>
        <v>0</v>
      </c>
      <c r="N310" s="140">
        <f ca="1" xml:space="preserve"> ProjectCashflows!N$241</f>
        <v>0</v>
      </c>
      <c r="O310" s="140">
        <f ca="1" xml:space="preserve"> ProjectCashflows!O$241</f>
        <v>54.121608000000002</v>
      </c>
      <c r="P310" s="140">
        <f ca="1" xml:space="preserve"> ProjectCashflows!P$241</f>
        <v>198.73454457599999</v>
      </c>
      <c r="Q310" s="140">
        <f ca="1" xml:space="preserve"> ProjectCashflows!Q$241</f>
        <v>292.80222900864004</v>
      </c>
      <c r="R310" s="140">
        <f ca="1" xml:space="preserve"> ProjectCashflows!R$241</f>
        <v>298.65827358881279</v>
      </c>
      <c r="S310" s="140">
        <f ca="1" xml:space="preserve"> ProjectCashflows!S$241</f>
        <v>304.63143906058912</v>
      </c>
      <c r="T310" s="140">
        <f ca="1" xml:space="preserve"> ProjectCashflows!T$241</f>
        <v>310.72406784180089</v>
      </c>
      <c r="U310" s="140">
        <f ca="1" xml:space="preserve"> ProjectCashflows!U$241</f>
        <v>316.93854919863691</v>
      </c>
      <c r="V310" s="140">
        <f ca="1" xml:space="preserve"> ProjectCashflows!V$241</f>
        <v>323.27732018260963</v>
      </c>
      <c r="W310" s="140">
        <f ca="1" xml:space="preserve"> ProjectCashflows!W$241</f>
        <v>329.74286658626181</v>
      </c>
      <c r="X310" s="140">
        <f ca="1" xml:space="preserve"> ProjectCashflows!X$241</f>
        <v>336.33772391798703</v>
      </c>
      <c r="Y310" s="140">
        <f ca="1" xml:space="preserve"> ProjectCashflows!Y$241</f>
        <v>343.06447839634683</v>
      </c>
      <c r="Z310" s="140">
        <f ca="1" xml:space="preserve"> ProjectCashflows!Z$241</f>
        <v>349.92576796427375</v>
      </c>
      <c r="AA310" s="140">
        <f ca="1" xml:space="preserve"> ProjectCashflows!AA$241</f>
        <v>356.92428332355922</v>
      </c>
      <c r="AB310" s="140">
        <f ca="1" xml:space="preserve"> ProjectCashflows!AB$241</f>
        <v>364.06276899003046</v>
      </c>
      <c r="AC310" s="140">
        <f ca="1" xml:space="preserve"> ProjectCashflows!AC$241</f>
        <v>214.23693713644101</v>
      </c>
      <c r="AD310" s="140">
        <f ca="1" xml:space="preserve"> ProjectCashflows!AD$241</f>
        <v>203.95356415389182</v>
      </c>
      <c r="AE310" s="140">
        <f ca="1" xml:space="preserve"> ProjectCashflows!AE$241</f>
        <v>178.3136875174026</v>
      </c>
      <c r="AF310" s="140">
        <f ca="1" xml:space="preserve"> ProjectCashflows!AF$241</f>
        <v>168.23896417266934</v>
      </c>
      <c r="AG310" s="140">
        <f ca="1" xml:space="preserve"> ProjectCashflows!AG$241</f>
        <v>154.59796707758807</v>
      </c>
      <c r="AH310" s="140">
        <f ca="1" xml:space="preserve"> ProjectCashflows!AH$241</f>
        <v>149.80543009818282</v>
      </c>
      <c r="AI310" s="140">
        <f ca="1" xml:space="preserve"> ProjectCashflows!AI$241</f>
        <v>144.75935245277034</v>
      </c>
      <c r="AJ310" s="140">
        <f ca="1" xml:space="preserve"> ProjectCashflows!AJ$241</f>
        <v>139.45150952950212</v>
      </c>
      <c r="AK310" s="140">
        <f ca="1" xml:space="preserve"> ProjectCashflows!AK$241</f>
        <v>133.87344914832201</v>
      </c>
      <c r="AL310" s="140">
        <f ca="1" xml:space="preserve"> ProjectCashflows!AL$241</f>
        <v>128.01648574808294</v>
      </c>
      <c r="AM310" s="140">
        <f ca="1" xml:space="preserve"> ProjectCashflows!AM$241</f>
        <v>121.87169443217496</v>
      </c>
      <c r="AN310" s="140">
        <f ca="1" xml:space="preserve"> ProjectCashflows!AN$241</f>
        <v>124.30912832081846</v>
      </c>
      <c r="AO310" s="140">
        <f ca="1" xml:space="preserve"> ProjectCashflows!AO$241</f>
        <v>117.73850296671806</v>
      </c>
      <c r="AP310" s="140">
        <f ca="1" xml:space="preserve"> ProjectCashflows!AP$241</f>
        <v>0</v>
      </c>
      <c r="AQ310" s="140">
        <f ca="1" xml:space="preserve"> ProjectCashflows!AQ$241</f>
        <v>0</v>
      </c>
      <c r="AR310" s="140">
        <f ca="1" xml:space="preserve"> ProjectCashflows!AR$241</f>
        <v>0</v>
      </c>
      <c r="AS310" s="140">
        <f ca="1" xml:space="preserve"> ProjectCashflows!AS$241</f>
        <v>0</v>
      </c>
      <c r="AT310" s="140">
        <f ca="1" xml:space="preserve"> ProjectCashflows!AT$241</f>
        <v>0</v>
      </c>
      <c r="AU310" s="140">
        <f ca="1" xml:space="preserve"> ProjectCashflows!AU$241</f>
        <v>0</v>
      </c>
      <c r="AV310" s="140">
        <f ca="1" xml:space="preserve"> ProjectCashflows!AV$241</f>
        <v>0</v>
      </c>
      <c r="AW310" s="140">
        <f ca="1" xml:space="preserve"> ProjectCashflows!AW$241</f>
        <v>0</v>
      </c>
      <c r="AX310" s="140">
        <f ca="1" xml:space="preserve"> ProjectCashflows!AX$241</f>
        <v>0</v>
      </c>
    </row>
    <row r="311" spans="1:50" ht="15" customHeight="1" x14ac:dyDescent="0.25">
      <c r="A311" s="86"/>
      <c r="B311" s="235"/>
      <c r="C311" s="604"/>
      <c r="D311" s="217"/>
      <c r="E311" s="48" t="str">
        <f t="shared" ref="E311:AX311" si="62" xml:space="preserve"> E$148</f>
        <v>Net decommissioning cashflows including fund</v>
      </c>
      <c r="F311" s="147">
        <f t="shared" si="62"/>
        <v>0</v>
      </c>
      <c r="G311" s="48" t="str">
        <f t="shared" si="62"/>
        <v>US$ mn</v>
      </c>
      <c r="H311" s="48">
        <f t="shared" si="62"/>
        <v>0</v>
      </c>
      <c r="I311" s="48">
        <f t="shared" ca="1" si="62"/>
        <v>1142.4449806063617</v>
      </c>
      <c r="J311" s="48">
        <f t="shared" si="62"/>
        <v>0</v>
      </c>
      <c r="K311" s="48">
        <f t="shared" ca="1" si="62"/>
        <v>0</v>
      </c>
      <c r="L311" s="48">
        <f t="shared" ca="1" si="62"/>
        <v>0</v>
      </c>
      <c r="M311" s="48">
        <f t="shared" ca="1" si="62"/>
        <v>0</v>
      </c>
      <c r="N311" s="48">
        <f t="shared" ca="1" si="62"/>
        <v>0</v>
      </c>
      <c r="O311" s="48">
        <f t="shared" ca="1" si="62"/>
        <v>0</v>
      </c>
      <c r="P311" s="48">
        <f t="shared" ca="1" si="62"/>
        <v>0</v>
      </c>
      <c r="Q311" s="48">
        <f t="shared" ca="1" si="62"/>
        <v>0</v>
      </c>
      <c r="R311" s="48">
        <f t="shared" ca="1" si="62"/>
        <v>0</v>
      </c>
      <c r="S311" s="48">
        <f t="shared" ca="1" si="62"/>
        <v>0</v>
      </c>
      <c r="T311" s="48">
        <f t="shared" ca="1" si="62"/>
        <v>0</v>
      </c>
      <c r="U311" s="48">
        <f t="shared" ca="1" si="62"/>
        <v>0</v>
      </c>
      <c r="V311" s="48">
        <f t="shared" ca="1" si="62"/>
        <v>0</v>
      </c>
      <c r="W311" s="48">
        <f t="shared" ca="1" si="62"/>
        <v>63.743472965385962</v>
      </c>
      <c r="X311" s="48">
        <f t="shared" ca="1" si="62"/>
        <v>63.743472965385962</v>
      </c>
      <c r="Y311" s="48">
        <f t="shared" ca="1" si="62"/>
        <v>63.743472965385962</v>
      </c>
      <c r="Z311" s="48">
        <f t="shared" ca="1" si="62"/>
        <v>63.743472965385962</v>
      </c>
      <c r="AA311" s="48">
        <f t="shared" ca="1" si="62"/>
        <v>63.743472965385962</v>
      </c>
      <c r="AB311" s="48">
        <f t="shared" ca="1" si="62"/>
        <v>63.743472965385962</v>
      </c>
      <c r="AC311" s="48">
        <f t="shared" ca="1" si="62"/>
        <v>63.743472965385962</v>
      </c>
      <c r="AD311" s="48">
        <f t="shared" ca="1" si="62"/>
        <v>63.743472965385962</v>
      </c>
      <c r="AE311" s="48">
        <f t="shared" ca="1" si="62"/>
        <v>63.743472965385962</v>
      </c>
      <c r="AF311" s="48">
        <f t="shared" ca="1" si="62"/>
        <v>63.743472965385962</v>
      </c>
      <c r="AG311" s="48">
        <f t="shared" ca="1" si="62"/>
        <v>63.743472965385962</v>
      </c>
      <c r="AH311" s="48">
        <f t="shared" ca="1" si="62"/>
        <v>63.743472965385962</v>
      </c>
      <c r="AI311" s="48">
        <f t="shared" ca="1" si="62"/>
        <v>63.743472965385962</v>
      </c>
      <c r="AJ311" s="48">
        <f t="shared" ca="1" si="62"/>
        <v>63.743472965385962</v>
      </c>
      <c r="AK311" s="48">
        <f t="shared" ca="1" si="62"/>
        <v>63.743472965385962</v>
      </c>
      <c r="AL311" s="48">
        <f t="shared" ca="1" si="62"/>
        <v>63.743472965385934</v>
      </c>
      <c r="AM311" s="48">
        <f t="shared" ca="1" si="62"/>
        <v>40.849804386728749</v>
      </c>
      <c r="AN311" s="48">
        <f t="shared" ca="1" si="62"/>
        <v>40.849804386728749</v>
      </c>
      <c r="AO311" s="48">
        <f t="shared" ca="1" si="62"/>
        <v>40.849804386728749</v>
      </c>
      <c r="AP311" s="48">
        <f t="shared" ca="1" si="62"/>
        <v>0</v>
      </c>
      <c r="AQ311" s="48">
        <f t="shared" ca="1" si="62"/>
        <v>0</v>
      </c>
      <c r="AR311" s="48">
        <f t="shared" ca="1" si="62"/>
        <v>0</v>
      </c>
      <c r="AS311" s="48">
        <f t="shared" ca="1" si="62"/>
        <v>0</v>
      </c>
      <c r="AT311" s="48">
        <f t="shared" ca="1" si="62"/>
        <v>0</v>
      </c>
      <c r="AU311" s="48">
        <f t="shared" ca="1" si="62"/>
        <v>0</v>
      </c>
      <c r="AV311" s="48">
        <f t="shared" ca="1" si="62"/>
        <v>0</v>
      </c>
      <c r="AW311" s="48">
        <f t="shared" ca="1" si="62"/>
        <v>0</v>
      </c>
      <c r="AX311" s="48">
        <f t="shared" ca="1" si="62"/>
        <v>0</v>
      </c>
    </row>
    <row r="312" spans="1:50" ht="15" customHeight="1" x14ac:dyDescent="0.25">
      <c r="A312" s="86"/>
      <c r="B312" s="235"/>
      <c r="C312" s="604"/>
      <c r="D312" s="217"/>
      <c r="E312" s="48" t="str">
        <f t="shared" ref="E312:AX312" si="63" xml:space="preserve"> E$172</f>
        <v>Bonuses</v>
      </c>
      <c r="F312" s="147">
        <f t="shared" si="63"/>
        <v>0</v>
      </c>
      <c r="G312" s="48" t="str">
        <f t="shared" si="63"/>
        <v>US$ mn</v>
      </c>
      <c r="H312" s="48">
        <f t="shared" si="63"/>
        <v>0</v>
      </c>
      <c r="I312" s="48">
        <f t="shared" ca="1" si="63"/>
        <v>60</v>
      </c>
      <c r="J312" s="48">
        <f t="shared" si="63"/>
        <v>0</v>
      </c>
      <c r="K312" s="48">
        <f t="shared" ca="1" si="63"/>
        <v>10</v>
      </c>
      <c r="L312" s="48">
        <f t="shared" ca="1" si="63"/>
        <v>0</v>
      </c>
      <c r="M312" s="48">
        <f t="shared" ca="1" si="63"/>
        <v>0</v>
      </c>
      <c r="N312" s="48">
        <f t="shared" ca="1" si="63"/>
        <v>0</v>
      </c>
      <c r="O312" s="48">
        <f t="shared" ca="1" si="63"/>
        <v>50</v>
      </c>
      <c r="P312" s="48">
        <f t="shared" ca="1" si="63"/>
        <v>0</v>
      </c>
      <c r="Q312" s="48">
        <f t="shared" ca="1" si="63"/>
        <v>0</v>
      </c>
      <c r="R312" s="48">
        <f t="shared" ca="1" si="63"/>
        <v>0</v>
      </c>
      <c r="S312" s="48">
        <f t="shared" ca="1" si="63"/>
        <v>0</v>
      </c>
      <c r="T312" s="48">
        <f t="shared" ca="1" si="63"/>
        <v>0</v>
      </c>
      <c r="U312" s="48">
        <f t="shared" ca="1" si="63"/>
        <v>0</v>
      </c>
      <c r="V312" s="48">
        <f t="shared" ca="1" si="63"/>
        <v>0</v>
      </c>
      <c r="W312" s="48">
        <f t="shared" ca="1" si="63"/>
        <v>0</v>
      </c>
      <c r="X312" s="48">
        <f t="shared" ca="1" si="63"/>
        <v>0</v>
      </c>
      <c r="Y312" s="48">
        <f t="shared" ca="1" si="63"/>
        <v>0</v>
      </c>
      <c r="Z312" s="48">
        <f t="shared" ca="1" si="63"/>
        <v>0</v>
      </c>
      <c r="AA312" s="48">
        <f t="shared" ca="1" si="63"/>
        <v>0</v>
      </c>
      <c r="AB312" s="48">
        <f t="shared" ca="1" si="63"/>
        <v>0</v>
      </c>
      <c r="AC312" s="48">
        <f t="shared" ca="1" si="63"/>
        <v>0</v>
      </c>
      <c r="AD312" s="48">
        <f t="shared" ca="1" si="63"/>
        <v>0</v>
      </c>
      <c r="AE312" s="48">
        <f t="shared" ca="1" si="63"/>
        <v>0</v>
      </c>
      <c r="AF312" s="48">
        <f t="shared" ca="1" si="63"/>
        <v>0</v>
      </c>
      <c r="AG312" s="48">
        <f t="shared" ca="1" si="63"/>
        <v>0</v>
      </c>
      <c r="AH312" s="48">
        <f t="shared" ca="1" si="63"/>
        <v>0</v>
      </c>
      <c r="AI312" s="48">
        <f t="shared" ca="1" si="63"/>
        <v>0</v>
      </c>
      <c r="AJ312" s="48">
        <f t="shared" ca="1" si="63"/>
        <v>0</v>
      </c>
      <c r="AK312" s="48">
        <f t="shared" ca="1" si="63"/>
        <v>0</v>
      </c>
      <c r="AL312" s="48">
        <f t="shared" ca="1" si="63"/>
        <v>0</v>
      </c>
      <c r="AM312" s="48">
        <f t="shared" ca="1" si="63"/>
        <v>0</v>
      </c>
      <c r="AN312" s="48">
        <f t="shared" ca="1" si="63"/>
        <v>0</v>
      </c>
      <c r="AO312" s="48">
        <f t="shared" ca="1" si="63"/>
        <v>0</v>
      </c>
      <c r="AP312" s="48">
        <f t="shared" ca="1" si="63"/>
        <v>0</v>
      </c>
      <c r="AQ312" s="48">
        <f t="shared" ca="1" si="63"/>
        <v>0</v>
      </c>
      <c r="AR312" s="48">
        <f t="shared" ca="1" si="63"/>
        <v>0</v>
      </c>
      <c r="AS312" s="48">
        <f t="shared" ca="1" si="63"/>
        <v>0</v>
      </c>
      <c r="AT312" s="48">
        <f t="shared" ca="1" si="63"/>
        <v>0</v>
      </c>
      <c r="AU312" s="48">
        <f t="shared" ca="1" si="63"/>
        <v>0</v>
      </c>
      <c r="AV312" s="48">
        <f t="shared" ca="1" si="63"/>
        <v>0</v>
      </c>
      <c r="AW312" s="48">
        <f t="shared" ca="1" si="63"/>
        <v>0</v>
      </c>
      <c r="AX312" s="48">
        <f t="shared" ca="1" si="63"/>
        <v>0</v>
      </c>
    </row>
    <row r="313" spans="1:50" ht="15" customHeight="1" x14ac:dyDescent="0.25">
      <c r="A313" s="86"/>
      <c r="B313" s="235"/>
      <c r="C313" s="604"/>
      <c r="D313" s="217"/>
      <c r="E313" s="48" t="str">
        <f>E$295</f>
        <v>Carbon tax</v>
      </c>
      <c r="F313" s="48">
        <f t="shared" ref="F313:AX313" si="64">F$295</f>
        <v>0</v>
      </c>
      <c r="G313" s="48" t="str">
        <f t="shared" si="64"/>
        <v>US$ mn</v>
      </c>
      <c r="H313" s="48">
        <f t="shared" si="64"/>
        <v>0</v>
      </c>
      <c r="I313" s="48">
        <f t="shared" ca="1" si="64"/>
        <v>1010.9375317244442</v>
      </c>
      <c r="J313" s="48">
        <f t="shared" si="64"/>
        <v>0</v>
      </c>
      <c r="K313" s="48">
        <f t="shared" ca="1" si="64"/>
        <v>0</v>
      </c>
      <c r="L313" s="48">
        <f t="shared" ca="1" si="64"/>
        <v>0</v>
      </c>
      <c r="M313" s="48">
        <f t="shared" ca="1" si="64"/>
        <v>0</v>
      </c>
      <c r="N313" s="48">
        <f t="shared" ca="1" si="64"/>
        <v>0</v>
      </c>
      <c r="O313" s="48">
        <f t="shared" ca="1" si="64"/>
        <v>4.3932277328165359</v>
      </c>
      <c r="P313" s="48">
        <f t="shared" ca="1" si="64"/>
        <v>34.512210000000003</v>
      </c>
      <c r="Q313" s="48">
        <f t="shared" ca="1" si="64"/>
        <v>69.024420000000006</v>
      </c>
      <c r="R313" s="48">
        <f t="shared" ca="1" si="64"/>
        <v>69.024420000000006</v>
      </c>
      <c r="S313" s="48">
        <f t="shared" ca="1" si="64"/>
        <v>69.024420000000006</v>
      </c>
      <c r="T313" s="48">
        <f t="shared" ca="1" si="64"/>
        <v>69.024420000000006</v>
      </c>
      <c r="U313" s="48">
        <f t="shared" ca="1" si="64"/>
        <v>69.024420000000006</v>
      </c>
      <c r="V313" s="48">
        <f t="shared" ca="1" si="64"/>
        <v>69.024420000000006</v>
      </c>
      <c r="W313" s="48">
        <f t="shared" ca="1" si="64"/>
        <v>69.024420000000006</v>
      </c>
      <c r="X313" s="48">
        <f t="shared" ca="1" si="64"/>
        <v>69.024420000000006</v>
      </c>
      <c r="Y313" s="48">
        <f t="shared" ca="1" si="64"/>
        <v>69.024420000000006</v>
      </c>
      <c r="Z313" s="48">
        <f t="shared" ca="1" si="64"/>
        <v>69.024420000000006</v>
      </c>
      <c r="AA313" s="48">
        <f t="shared" ca="1" si="64"/>
        <v>55.909780200000014</v>
      </c>
      <c r="AB313" s="48">
        <f t="shared" ca="1" si="64"/>
        <v>45.286921962000008</v>
      </c>
      <c r="AC313" s="48">
        <f t="shared" ca="1" si="64"/>
        <v>36.682406789220011</v>
      </c>
      <c r="AD313" s="48">
        <f t="shared" ca="1" si="64"/>
        <v>29.71274949926822</v>
      </c>
      <c r="AE313" s="48">
        <f t="shared" ca="1" si="64"/>
        <v>24.067327094407261</v>
      </c>
      <c r="AF313" s="48">
        <f t="shared" ca="1" si="64"/>
        <v>19.49453494646988</v>
      </c>
      <c r="AG313" s="48">
        <f t="shared" ca="1" si="64"/>
        <v>15.790573306640605</v>
      </c>
      <c r="AH313" s="48">
        <f t="shared" ca="1" si="64"/>
        <v>12.790364378378891</v>
      </c>
      <c r="AI313" s="48">
        <f t="shared" ca="1" si="64"/>
        <v>10.360195146486902</v>
      </c>
      <c r="AJ313" s="48">
        <f t="shared" ca="1" si="64"/>
        <v>8.39175806865439</v>
      </c>
      <c r="AK313" s="48">
        <f t="shared" ca="1" si="64"/>
        <v>6.7973240356100568</v>
      </c>
      <c r="AL313" s="48">
        <f t="shared" ca="1" si="64"/>
        <v>5.5058324688441456</v>
      </c>
      <c r="AM313" s="48">
        <f t="shared" ca="1" si="64"/>
        <v>4.4597242997637574</v>
      </c>
      <c r="AN313" s="48">
        <f t="shared" ca="1" si="64"/>
        <v>3.6123766828086437</v>
      </c>
      <c r="AO313" s="48">
        <f t="shared" ca="1" si="64"/>
        <v>2.9260251130750028</v>
      </c>
      <c r="AP313" s="48">
        <f t="shared" ca="1" si="64"/>
        <v>0</v>
      </c>
      <c r="AQ313" s="48">
        <f t="shared" ca="1" si="64"/>
        <v>0</v>
      </c>
      <c r="AR313" s="48">
        <f t="shared" ca="1" si="64"/>
        <v>0</v>
      </c>
      <c r="AS313" s="48">
        <f t="shared" ca="1" si="64"/>
        <v>0</v>
      </c>
      <c r="AT313" s="48">
        <f t="shared" ca="1" si="64"/>
        <v>0</v>
      </c>
      <c r="AU313" s="48">
        <f t="shared" ca="1" si="64"/>
        <v>0</v>
      </c>
      <c r="AV313" s="48">
        <f t="shared" ca="1" si="64"/>
        <v>0</v>
      </c>
      <c r="AW313" s="48">
        <f t="shared" ca="1" si="64"/>
        <v>0</v>
      </c>
      <c r="AX313" s="48">
        <f t="shared" ca="1" si="64"/>
        <v>0</v>
      </c>
    </row>
    <row r="314" spans="1:50" s="485" customFormat="1" ht="15" customHeight="1" x14ac:dyDescent="0.25">
      <c r="A314" s="479"/>
      <c r="B314" s="674"/>
      <c r="C314" s="621"/>
      <c r="D314" s="481"/>
      <c r="E314" s="483" t="str">
        <f xml:space="preserve"> Translate!E$322</f>
        <v>Project costs for sharing between SOC and IOC</v>
      </c>
      <c r="F314" s="481"/>
      <c r="G314" s="483" t="str">
        <f xml:space="preserve"> Translate!E$603</f>
        <v>US$ mn</v>
      </c>
      <c r="H314" s="483"/>
      <c r="I314" s="483">
        <f ca="1" xml:space="preserve"> SUM(K314:AX314)</f>
        <v>19248.067387151714</v>
      </c>
      <c r="J314" s="483"/>
      <c r="K314" s="483">
        <f ca="1" xml:space="preserve"> SUM(K307:K313)</f>
        <v>430</v>
      </c>
      <c r="L314" s="483">
        <f t="shared" ref="L314:AX314" ca="1" si="65" xml:space="preserve"> SUM(L307:L313)</f>
        <v>51</v>
      </c>
      <c r="M314" s="483">
        <f t="shared" ca="1" si="65"/>
        <v>312.12</v>
      </c>
      <c r="N314" s="483">
        <f t="shared" ca="1" si="65"/>
        <v>1273.4495999999999</v>
      </c>
      <c r="O314" s="483">
        <f t="shared" ca="1" si="65"/>
        <v>1407.4334277328164</v>
      </c>
      <c r="P314" s="483">
        <f t="shared" ca="1" si="65"/>
        <v>2551.816441296</v>
      </c>
      <c r="Q314" s="483">
        <f t="shared" ca="1" si="65"/>
        <v>1600.6053101990401</v>
      </c>
      <c r="R314" s="483">
        <f t="shared" ca="1" si="65"/>
        <v>884.59124403098872</v>
      </c>
      <c r="S314" s="483">
        <f t="shared" ca="1" si="65"/>
        <v>666.57070431115551</v>
      </c>
      <c r="T314" s="483">
        <f t="shared" ca="1" si="65"/>
        <v>678.52162999737857</v>
      </c>
      <c r="U314" s="483">
        <f t="shared" ca="1" si="65"/>
        <v>690.71157419732617</v>
      </c>
      <c r="V314" s="483">
        <f t="shared" ca="1" si="65"/>
        <v>703.1453172812727</v>
      </c>
      <c r="W314" s="483">
        <f t="shared" ca="1" si="65"/>
        <v>779.57120819228408</v>
      </c>
      <c r="X314" s="483">
        <f t="shared" ca="1" si="65"/>
        <v>792.50727449682199</v>
      </c>
      <c r="Y314" s="483">
        <f t="shared" ca="1" si="65"/>
        <v>805.70206212745086</v>
      </c>
      <c r="Z314" s="483">
        <f t="shared" ca="1" si="65"/>
        <v>819.1607455106921</v>
      </c>
      <c r="AA314" s="483">
        <f t="shared" ca="1" si="65"/>
        <v>819.77396276159834</v>
      </c>
      <c r="AB314" s="483">
        <f t="shared" ca="1" si="65"/>
        <v>473.09316391741646</v>
      </c>
      <c r="AC314" s="483">
        <f t="shared" ca="1" si="65"/>
        <v>314.66281689104699</v>
      </c>
      <c r="AD314" s="483">
        <f t="shared" ca="1" si="65"/>
        <v>588.77202112410566</v>
      </c>
      <c r="AE314" s="483">
        <f t="shared" ca="1" si="65"/>
        <v>563.31396677286682</v>
      </c>
      <c r="AF314" s="483">
        <f t="shared" ca="1" si="65"/>
        <v>251.47697208452519</v>
      </c>
      <c r="AG314" s="483">
        <f t="shared" ca="1" si="65"/>
        <v>234.13201334961462</v>
      </c>
      <c r="AH314" s="483">
        <f t="shared" ca="1" si="65"/>
        <v>226.33926744194767</v>
      </c>
      <c r="AI314" s="483">
        <f t="shared" ca="1" si="65"/>
        <v>218.86302056464319</v>
      </c>
      <c r="AJ314" s="483">
        <f t="shared" ca="1" si="65"/>
        <v>211.58674056354246</v>
      </c>
      <c r="AK314" s="483">
        <f t="shared" ca="1" si="65"/>
        <v>204.41424614931802</v>
      </c>
      <c r="AL314" s="483">
        <f t="shared" ca="1" si="65"/>
        <v>197.26579118231302</v>
      </c>
      <c r="AM314" s="483">
        <f t="shared" ca="1" si="65"/>
        <v>167.18122311866748</v>
      </c>
      <c r="AN314" s="483">
        <f t="shared" ca="1" si="65"/>
        <v>168.77130939035584</v>
      </c>
      <c r="AO314" s="483">
        <f t="shared" ca="1" si="65"/>
        <v>161.51433246652181</v>
      </c>
      <c r="AP314" s="483">
        <f t="shared" ca="1" si="65"/>
        <v>0</v>
      </c>
      <c r="AQ314" s="483">
        <f t="shared" ca="1" si="65"/>
        <v>0</v>
      </c>
      <c r="AR314" s="483">
        <f t="shared" ca="1" si="65"/>
        <v>0</v>
      </c>
      <c r="AS314" s="483">
        <f t="shared" ca="1" si="65"/>
        <v>0</v>
      </c>
      <c r="AT314" s="483">
        <f t="shared" ca="1" si="65"/>
        <v>0</v>
      </c>
      <c r="AU314" s="483">
        <f t="shared" ca="1" si="65"/>
        <v>0</v>
      </c>
      <c r="AV314" s="483">
        <f t="shared" ca="1" si="65"/>
        <v>0</v>
      </c>
      <c r="AW314" s="483">
        <f t="shared" ca="1" si="65"/>
        <v>0</v>
      </c>
      <c r="AX314" s="483">
        <f t="shared" ca="1" si="65"/>
        <v>0</v>
      </c>
    </row>
    <row r="315" spans="1:50" ht="15" customHeight="1" x14ac:dyDescent="0.25">
      <c r="A315" s="86"/>
      <c r="B315" s="235"/>
      <c r="C315" s="604"/>
      <c r="D315" s="162"/>
      <c r="E315" s="56"/>
      <c r="F315" s="151"/>
      <c r="G315" s="56"/>
      <c r="H315" s="56"/>
      <c r="I315" s="89"/>
      <c r="J315" s="56"/>
      <c r="K315" s="56"/>
      <c r="L315" s="56"/>
      <c r="M315" s="56"/>
      <c r="N315" s="56"/>
      <c r="O315" s="56"/>
      <c r="P315" s="56"/>
      <c r="Q315" s="56"/>
      <c r="R315" s="56"/>
      <c r="S315" s="56"/>
      <c r="T315" s="56"/>
      <c r="U315" s="56"/>
      <c r="V315" s="56"/>
      <c r="W315" s="56"/>
      <c r="X315" s="56"/>
      <c r="Y315" s="56"/>
      <c r="Z315" s="56"/>
      <c r="AA315" s="56"/>
      <c r="AB315" s="56"/>
      <c r="AC315" s="56"/>
      <c r="AD315" s="56"/>
      <c r="AE315" s="56"/>
      <c r="AF315" s="56"/>
      <c r="AG315" s="56"/>
      <c r="AH315" s="56"/>
      <c r="AI315" s="56"/>
      <c r="AJ315" s="56"/>
      <c r="AK315" s="56"/>
      <c r="AL315" s="56"/>
      <c r="AM315" s="56"/>
      <c r="AN315" s="56"/>
      <c r="AO315" s="56"/>
      <c r="AP315" s="56"/>
      <c r="AQ315" s="56"/>
      <c r="AR315" s="56"/>
      <c r="AS315" s="56"/>
      <c r="AT315" s="56"/>
      <c r="AU315" s="56"/>
      <c r="AV315" s="56"/>
      <c r="AW315" s="56"/>
      <c r="AX315" s="56"/>
    </row>
    <row r="316" spans="1:50" s="7" customFormat="1" ht="15" customHeight="1" x14ac:dyDescent="0.25">
      <c r="A316" s="178"/>
      <c r="B316" s="102"/>
      <c r="C316" s="127"/>
      <c r="D316" s="151"/>
      <c r="E316" s="56" t="str">
        <f xml:space="preserve"> Translate!E$257</f>
        <v>Cashflows after decommissioning, royalty, carbon tax and bonus</v>
      </c>
      <c r="F316" s="151"/>
      <c r="G316" s="56" t="str">
        <f xml:space="preserve"> Translate!E$603</f>
        <v>US$ mn</v>
      </c>
      <c r="H316" s="56"/>
      <c r="I316" s="56">
        <f ca="1" xml:space="preserve"> SUM(K316:AX316)</f>
        <v>26486.767427578303</v>
      </c>
      <c r="J316" s="56"/>
      <c r="K316" s="56">
        <f t="shared" ref="K316:AX316" ca="1" si="66" xml:space="preserve"> K305 - K314</f>
        <v>-430</v>
      </c>
      <c r="L316" s="56">
        <f t="shared" ca="1" si="66"/>
        <v>-51</v>
      </c>
      <c r="M316" s="56">
        <f t="shared" ca="1" si="66"/>
        <v>-312.12</v>
      </c>
      <c r="N316" s="56">
        <f t="shared" ca="1" si="66"/>
        <v>-1273.4495999999999</v>
      </c>
      <c r="O316" s="56">
        <f t="shared" ca="1" si="66"/>
        <v>-1241.4676912449379</v>
      </c>
      <c r="P316" s="56">
        <f t="shared" ca="1" si="66"/>
        <v>-1221.9511138416001</v>
      </c>
      <c r="Q316" s="56">
        <f t="shared" ca="1" si="66"/>
        <v>1112.3199578079361</v>
      </c>
      <c r="R316" s="56">
        <f t="shared" ca="1" si="66"/>
        <v>1882.5925293361267</v>
      </c>
      <c r="S316" s="56">
        <f t="shared" ca="1" si="66"/>
        <v>2155.9567445233024</v>
      </c>
      <c r="T316" s="56">
        <f t="shared" ca="1" si="66"/>
        <v>2200.4563678137688</v>
      </c>
      <c r="U316" s="56">
        <f t="shared" ca="1" si="66"/>
        <v>2245.8459835700442</v>
      </c>
      <c r="V316" s="56">
        <f t="shared" ca="1" si="66"/>
        <v>2292.1433916414453</v>
      </c>
      <c r="W316" s="56">
        <f t="shared" ca="1" si="66"/>
        <v>2275.6232749088886</v>
      </c>
      <c r="X316" s="56">
        <f t="shared" ca="1" si="66"/>
        <v>2323.7910982663734</v>
      </c>
      <c r="Y316" s="56">
        <f t="shared" ca="1" si="66"/>
        <v>2372.9222780910086</v>
      </c>
      <c r="Z316" s="56">
        <f t="shared" ca="1" si="66"/>
        <v>2423.0360815121367</v>
      </c>
      <c r="AA316" s="56">
        <f t="shared" ca="1" si="66"/>
        <v>1858.9290557246636</v>
      </c>
      <c r="AB316" s="56">
        <f t="shared" ca="1" si="66"/>
        <v>1740.0512699559335</v>
      </c>
      <c r="AC316" s="56">
        <f t="shared" ca="1" si="66"/>
        <v>1513.8371143751147</v>
      </c>
      <c r="AD316" s="56">
        <f t="shared" ca="1" si="66"/>
        <v>921.93462208799758</v>
      </c>
      <c r="AE316" s="56">
        <f t="shared" ca="1" si="66"/>
        <v>684.83186184897284</v>
      </c>
      <c r="AF316" s="56">
        <f t="shared" ca="1" si="66"/>
        <v>779.74111152283899</v>
      </c>
      <c r="AG316" s="56">
        <f t="shared" ca="1" si="66"/>
        <v>617.86036732678963</v>
      </c>
      <c r="AH316" s="56">
        <f t="shared" ca="1" si="66"/>
        <v>477.57683747289764</v>
      </c>
      <c r="AI316" s="56">
        <f t="shared" ca="1" si="66"/>
        <v>362.71246531600207</v>
      </c>
      <c r="AJ316" s="56">
        <f t="shared" ca="1" si="66"/>
        <v>268.91092587104663</v>
      </c>
      <c r="AK316" s="56">
        <f t="shared" ca="1" si="66"/>
        <v>192.5729258589395</v>
      </c>
      <c r="AL316" s="56">
        <f t="shared" ca="1" si="66"/>
        <v>130.7250103309093</v>
      </c>
      <c r="AM316" s="56">
        <f t="shared" ca="1" si="66"/>
        <v>103.80477709155687</v>
      </c>
      <c r="AN316" s="56">
        <f t="shared" ca="1" si="66"/>
        <v>55.117323983331517</v>
      </c>
      <c r="AO316" s="56">
        <f t="shared" ca="1" si="66"/>
        <v>23.462456426818733</v>
      </c>
      <c r="AP316" s="56">
        <f t="shared" ca="1" si="66"/>
        <v>0</v>
      </c>
      <c r="AQ316" s="56">
        <f t="shared" ca="1" si="66"/>
        <v>0</v>
      </c>
      <c r="AR316" s="56">
        <f t="shared" ca="1" si="66"/>
        <v>0</v>
      </c>
      <c r="AS316" s="56">
        <f t="shared" ca="1" si="66"/>
        <v>0</v>
      </c>
      <c r="AT316" s="56">
        <f t="shared" ca="1" si="66"/>
        <v>0</v>
      </c>
      <c r="AU316" s="56">
        <f t="shared" ca="1" si="66"/>
        <v>0</v>
      </c>
      <c r="AV316" s="56">
        <f t="shared" ca="1" si="66"/>
        <v>0</v>
      </c>
      <c r="AW316" s="56">
        <f t="shared" ca="1" si="66"/>
        <v>0</v>
      </c>
      <c r="AX316" s="56">
        <f t="shared" ca="1" si="66"/>
        <v>0</v>
      </c>
    </row>
    <row r="318" spans="1:50" ht="15" customHeight="1" x14ac:dyDescent="0.25">
      <c r="A318" s="86"/>
      <c r="B318" s="235"/>
      <c r="C318" s="604"/>
      <c r="D318" s="162"/>
      <c r="E318" s="56"/>
      <c r="F318" s="151"/>
      <c r="G318" s="56"/>
      <c r="H318" s="56"/>
      <c r="I318" s="89"/>
      <c r="J318" s="56"/>
      <c r="K318" s="56"/>
      <c r="L318" s="56"/>
      <c r="M318" s="56"/>
      <c r="N318" s="56"/>
      <c r="O318" s="56"/>
      <c r="P318" s="56"/>
      <c r="Q318" s="56"/>
      <c r="R318" s="56"/>
      <c r="S318" s="56"/>
      <c r="T318" s="56"/>
      <c r="U318" s="56"/>
      <c r="V318" s="56"/>
      <c r="W318" s="56"/>
      <c r="X318" s="56"/>
      <c r="Y318" s="56"/>
      <c r="Z318" s="56"/>
      <c r="AA318" s="56"/>
      <c r="AB318" s="56"/>
      <c r="AC318" s="56"/>
      <c r="AD318" s="56"/>
      <c r="AE318" s="56"/>
      <c r="AF318" s="56"/>
      <c r="AG318" s="56"/>
      <c r="AH318" s="56"/>
      <c r="AI318" s="56"/>
      <c r="AJ318" s="56"/>
      <c r="AK318" s="56"/>
      <c r="AL318" s="56"/>
      <c r="AM318" s="56"/>
      <c r="AN318" s="56"/>
      <c r="AO318" s="56"/>
      <c r="AP318" s="56"/>
      <c r="AQ318" s="56"/>
      <c r="AR318" s="56"/>
      <c r="AS318" s="56"/>
      <c r="AT318" s="56"/>
      <c r="AU318" s="56"/>
      <c r="AV318" s="56"/>
      <c r="AW318" s="56"/>
      <c r="AX318" s="56"/>
    </row>
    <row r="319" spans="1:50" ht="15" customHeight="1" x14ac:dyDescent="0.25">
      <c r="A319" s="202" t="str">
        <f>Translate!$E$467</f>
        <v xml:space="preserve">Debt financing (Assumed joint financing by IOC and SOC) </v>
      </c>
      <c r="B319" s="781"/>
      <c r="C319" s="610"/>
      <c r="D319" s="204"/>
      <c r="E319" s="202"/>
      <c r="F319" s="204"/>
      <c r="G319" s="202"/>
      <c r="H319" s="202"/>
      <c r="I319" s="202"/>
      <c r="J319" s="202"/>
      <c r="K319" s="202"/>
      <c r="L319" s="202"/>
      <c r="M319" s="202"/>
      <c r="N319" s="202"/>
      <c r="O319" s="202"/>
      <c r="P319" s="202"/>
      <c r="Q319" s="202"/>
      <c r="R319" s="202"/>
      <c r="S319" s="202"/>
      <c r="T319" s="202"/>
      <c r="U319" s="202"/>
      <c r="V319" s="202"/>
      <c r="W319" s="202"/>
      <c r="X319" s="202"/>
      <c r="Y319" s="202"/>
      <c r="Z319" s="202"/>
      <c r="AA319" s="202"/>
      <c r="AB319" s="202"/>
      <c r="AC319" s="202"/>
      <c r="AD319" s="202"/>
      <c r="AE319" s="202"/>
      <c r="AF319" s="202"/>
      <c r="AG319" s="202"/>
      <c r="AH319" s="202"/>
      <c r="AI319" s="202"/>
      <c r="AJ319" s="202"/>
      <c r="AK319" s="202"/>
      <c r="AL319" s="202"/>
      <c r="AM319" s="202"/>
      <c r="AN319" s="202"/>
      <c r="AO319" s="202"/>
      <c r="AP319" s="202"/>
      <c r="AQ319" s="202"/>
      <c r="AR319" s="202"/>
      <c r="AS319" s="202"/>
      <c r="AT319" s="202"/>
      <c r="AU319" s="202"/>
      <c r="AV319" s="202"/>
      <c r="AW319" s="202"/>
      <c r="AX319" s="202"/>
    </row>
    <row r="320" spans="1:50" ht="15" customHeight="1" x14ac:dyDescent="0.25">
      <c r="A320" s="86"/>
      <c r="B320" s="235"/>
      <c r="C320" s="604"/>
      <c r="D320" s="162"/>
      <c r="E320" s="56"/>
      <c r="F320" s="151"/>
      <c r="G320" s="56"/>
      <c r="H320" s="56"/>
      <c r="I320" s="89"/>
      <c r="J320" s="56"/>
      <c r="K320" s="56"/>
      <c r="L320" s="56"/>
      <c r="M320" s="56"/>
      <c r="N320" s="56"/>
      <c r="O320" s="56"/>
      <c r="P320" s="56"/>
      <c r="Q320" s="56"/>
      <c r="R320" s="56"/>
      <c r="S320" s="56"/>
      <c r="T320" s="56"/>
      <c r="U320" s="56"/>
      <c r="V320" s="56"/>
      <c r="W320" s="56"/>
      <c r="X320" s="56"/>
      <c r="Y320" s="56"/>
      <c r="Z320" s="56"/>
      <c r="AA320" s="56"/>
      <c r="AB320" s="56"/>
      <c r="AC320" s="56"/>
      <c r="AD320" s="56"/>
      <c r="AE320" s="56"/>
      <c r="AF320" s="56"/>
      <c r="AG320" s="56"/>
      <c r="AH320" s="56"/>
      <c r="AI320" s="56"/>
      <c r="AJ320" s="56"/>
      <c r="AK320" s="56"/>
      <c r="AL320" s="56"/>
      <c r="AM320" s="56"/>
      <c r="AN320" s="56"/>
      <c r="AO320" s="56"/>
      <c r="AP320" s="56"/>
      <c r="AQ320" s="56"/>
      <c r="AR320" s="56"/>
      <c r="AS320" s="56"/>
      <c r="AT320" s="56"/>
      <c r="AU320" s="56"/>
      <c r="AV320" s="56"/>
      <c r="AW320" s="56"/>
      <c r="AX320" s="56"/>
    </row>
    <row r="321" spans="1:50" ht="15" customHeight="1" x14ac:dyDescent="0.25">
      <c r="A321" s="86"/>
      <c r="B321" s="235" t="str">
        <f>Translate!$E$425</f>
        <v>Development costs to be financed by debt</v>
      </c>
      <c r="C321" s="604"/>
      <c r="D321" s="162"/>
      <c r="E321" s="56"/>
      <c r="F321" s="151"/>
      <c r="G321" s="56"/>
      <c r="H321" s="56"/>
      <c r="I321" s="89"/>
      <c r="J321" s="56"/>
      <c r="K321" s="56"/>
      <c r="L321" s="56"/>
      <c r="M321" s="56"/>
      <c r="N321" s="56"/>
      <c r="O321" s="56"/>
      <c r="P321" s="56"/>
      <c r="Q321" s="56"/>
      <c r="R321" s="56"/>
      <c r="S321" s="56"/>
      <c r="T321" s="56"/>
      <c r="U321" s="56"/>
      <c r="V321" s="56"/>
      <c r="W321" s="56"/>
      <c r="X321" s="56"/>
      <c r="Y321" s="56"/>
      <c r="Z321" s="56"/>
      <c r="AA321" s="56"/>
      <c r="AB321" s="56"/>
      <c r="AC321" s="56"/>
      <c r="AD321" s="56"/>
      <c r="AE321" s="56"/>
      <c r="AF321" s="56"/>
      <c r="AG321" s="56"/>
      <c r="AH321" s="56"/>
      <c r="AI321" s="56"/>
      <c r="AJ321" s="56"/>
      <c r="AK321" s="56"/>
      <c r="AL321" s="56"/>
      <c r="AM321" s="56"/>
      <c r="AN321" s="56"/>
      <c r="AO321" s="56"/>
      <c r="AP321" s="56"/>
      <c r="AQ321" s="56"/>
      <c r="AR321" s="56"/>
      <c r="AS321" s="56"/>
      <c r="AT321" s="56"/>
      <c r="AU321" s="56"/>
      <c r="AV321" s="56"/>
      <c r="AW321" s="56"/>
      <c r="AX321" s="56"/>
    </row>
    <row r="322" spans="1:50" ht="15" customHeight="1" x14ac:dyDescent="0.25">
      <c r="A322" s="86"/>
      <c r="B322" s="235"/>
      <c r="C322" s="604" t="str">
        <f>Translate!$E$484</f>
        <v>Determine financing and repayment period</v>
      </c>
      <c r="D322" s="162"/>
      <c r="E322" s="56"/>
      <c r="F322" s="151"/>
      <c r="G322" s="56"/>
      <c r="H322" s="56"/>
      <c r="I322" s="89"/>
      <c r="J322" s="56"/>
      <c r="K322" s="56"/>
      <c r="L322" s="56"/>
      <c r="M322" s="56"/>
      <c r="N322" s="56"/>
      <c r="O322" s="56"/>
      <c r="P322" s="56"/>
      <c r="Q322" s="56"/>
      <c r="R322" s="56"/>
      <c r="S322" s="56"/>
      <c r="T322" s="56"/>
      <c r="U322" s="56"/>
      <c r="V322" s="56"/>
      <c r="W322" s="56"/>
      <c r="X322" s="56"/>
      <c r="Y322" s="56"/>
      <c r="Z322" s="56"/>
      <c r="AA322" s="56"/>
      <c r="AB322" s="56"/>
      <c r="AC322" s="56"/>
      <c r="AD322" s="56"/>
      <c r="AE322" s="56"/>
      <c r="AF322" s="56"/>
      <c r="AG322" s="56"/>
      <c r="AH322" s="56"/>
      <c r="AI322" s="56"/>
      <c r="AJ322" s="56"/>
      <c r="AK322" s="56"/>
      <c r="AL322" s="56"/>
      <c r="AM322" s="56"/>
      <c r="AN322" s="56"/>
      <c r="AO322" s="56"/>
      <c r="AP322" s="56"/>
      <c r="AQ322" s="56"/>
      <c r="AR322" s="56"/>
      <c r="AS322" s="56"/>
      <c r="AT322" s="56"/>
      <c r="AU322" s="56"/>
      <c r="AV322" s="56"/>
      <c r="AW322" s="56"/>
      <c r="AX322" s="56"/>
    </row>
    <row r="323" spans="1:50" ht="15" customHeight="1" x14ac:dyDescent="0.25">
      <c r="A323" s="86"/>
      <c r="B323" s="235"/>
      <c r="C323" s="604"/>
      <c r="D323" s="162"/>
      <c r="E323" s="55" t="str">
        <f t="shared" ref="E323:AX323" si="67" xml:space="preserve"> E$316</f>
        <v>Cashflows after decommissioning, royalty, carbon tax and bonus</v>
      </c>
      <c r="F323" s="64">
        <f t="shared" si="67"/>
        <v>0</v>
      </c>
      <c r="G323" s="55" t="str">
        <f t="shared" si="67"/>
        <v>US$ mn</v>
      </c>
      <c r="H323" s="55">
        <f t="shared" si="67"/>
        <v>0</v>
      </c>
      <c r="I323" s="55">
        <f t="shared" ca="1" si="67"/>
        <v>26486.767427578303</v>
      </c>
      <c r="J323" s="55">
        <f t="shared" si="67"/>
        <v>0</v>
      </c>
      <c r="K323" s="55">
        <f t="shared" ca="1" si="67"/>
        <v>-430</v>
      </c>
      <c r="L323" s="55">
        <f t="shared" ca="1" si="67"/>
        <v>-51</v>
      </c>
      <c r="M323" s="55">
        <f t="shared" ca="1" si="67"/>
        <v>-312.12</v>
      </c>
      <c r="N323" s="55">
        <f t="shared" ca="1" si="67"/>
        <v>-1273.4495999999999</v>
      </c>
      <c r="O323" s="55">
        <f t="shared" ca="1" si="67"/>
        <v>-1241.4676912449379</v>
      </c>
      <c r="P323" s="55">
        <f t="shared" ca="1" si="67"/>
        <v>-1221.9511138416001</v>
      </c>
      <c r="Q323" s="55">
        <f t="shared" ca="1" si="67"/>
        <v>1112.3199578079361</v>
      </c>
      <c r="R323" s="55">
        <f t="shared" ca="1" si="67"/>
        <v>1882.5925293361267</v>
      </c>
      <c r="S323" s="55">
        <f t="shared" ca="1" si="67"/>
        <v>2155.9567445233024</v>
      </c>
      <c r="T323" s="55">
        <f t="shared" ca="1" si="67"/>
        <v>2200.4563678137688</v>
      </c>
      <c r="U323" s="55">
        <f t="shared" ca="1" si="67"/>
        <v>2245.8459835700442</v>
      </c>
      <c r="V323" s="55">
        <f t="shared" ca="1" si="67"/>
        <v>2292.1433916414453</v>
      </c>
      <c r="W323" s="55">
        <f t="shared" ca="1" si="67"/>
        <v>2275.6232749088886</v>
      </c>
      <c r="X323" s="55">
        <f t="shared" ca="1" si="67"/>
        <v>2323.7910982663734</v>
      </c>
      <c r="Y323" s="55">
        <f t="shared" ca="1" si="67"/>
        <v>2372.9222780910086</v>
      </c>
      <c r="Z323" s="55">
        <f t="shared" ca="1" si="67"/>
        <v>2423.0360815121367</v>
      </c>
      <c r="AA323" s="55">
        <f t="shared" ca="1" si="67"/>
        <v>1858.9290557246636</v>
      </c>
      <c r="AB323" s="55">
        <f t="shared" ca="1" si="67"/>
        <v>1740.0512699559335</v>
      </c>
      <c r="AC323" s="55">
        <f t="shared" ca="1" si="67"/>
        <v>1513.8371143751147</v>
      </c>
      <c r="AD323" s="55">
        <f t="shared" ca="1" si="67"/>
        <v>921.93462208799758</v>
      </c>
      <c r="AE323" s="55">
        <f t="shared" ca="1" si="67"/>
        <v>684.83186184897284</v>
      </c>
      <c r="AF323" s="55">
        <f t="shared" ca="1" si="67"/>
        <v>779.74111152283899</v>
      </c>
      <c r="AG323" s="55">
        <f t="shared" ca="1" si="67"/>
        <v>617.86036732678963</v>
      </c>
      <c r="AH323" s="55">
        <f t="shared" ca="1" si="67"/>
        <v>477.57683747289764</v>
      </c>
      <c r="AI323" s="55">
        <f t="shared" ca="1" si="67"/>
        <v>362.71246531600207</v>
      </c>
      <c r="AJ323" s="55">
        <f t="shared" ca="1" si="67"/>
        <v>268.91092587104663</v>
      </c>
      <c r="AK323" s="55">
        <f t="shared" ca="1" si="67"/>
        <v>192.5729258589395</v>
      </c>
      <c r="AL323" s="55">
        <f t="shared" ca="1" si="67"/>
        <v>130.7250103309093</v>
      </c>
      <c r="AM323" s="55">
        <f t="shared" ca="1" si="67"/>
        <v>103.80477709155687</v>
      </c>
      <c r="AN323" s="55">
        <f t="shared" ca="1" si="67"/>
        <v>55.117323983331517</v>
      </c>
      <c r="AO323" s="55">
        <f t="shared" ca="1" si="67"/>
        <v>23.462456426818733</v>
      </c>
      <c r="AP323" s="55">
        <f t="shared" ca="1" si="67"/>
        <v>0</v>
      </c>
      <c r="AQ323" s="55">
        <f t="shared" ca="1" si="67"/>
        <v>0</v>
      </c>
      <c r="AR323" s="55">
        <f t="shared" ca="1" si="67"/>
        <v>0</v>
      </c>
      <c r="AS323" s="55">
        <f t="shared" ca="1" si="67"/>
        <v>0</v>
      </c>
      <c r="AT323" s="55">
        <f t="shared" ca="1" si="67"/>
        <v>0</v>
      </c>
      <c r="AU323" s="55">
        <f t="shared" ca="1" si="67"/>
        <v>0</v>
      </c>
      <c r="AV323" s="55">
        <f t="shared" ca="1" si="67"/>
        <v>0</v>
      </c>
      <c r="AW323" s="55">
        <f t="shared" ca="1" si="67"/>
        <v>0</v>
      </c>
      <c r="AX323" s="55">
        <f t="shared" ca="1" si="67"/>
        <v>0</v>
      </c>
    </row>
    <row r="324" spans="1:50" ht="15" customHeight="1" x14ac:dyDescent="0.25">
      <c r="A324" s="86"/>
      <c r="B324" s="235"/>
      <c r="C324" s="604"/>
      <c r="D324" s="162"/>
      <c r="E324" s="56" t="str">
        <f xml:space="preserve"> Translate!E$258</f>
        <v>Project cashflows turn positive</v>
      </c>
      <c r="F324" s="151"/>
      <c r="G324" s="56" t="str">
        <f>Translate!$E$405</f>
        <v>Flag</v>
      </c>
      <c r="H324" s="56"/>
      <c r="I324" s="89">
        <f ca="1" xml:space="preserve"> SUM(K324:AX324)</f>
        <v>1</v>
      </c>
      <c r="J324" s="155"/>
      <c r="K324" s="56">
        <f ca="1" xml:space="preserve"> AND(L323 &gt; 0, K323 &lt; 0, (SUM($J324:J324) = 0 ) )* 1</f>
        <v>0</v>
      </c>
      <c r="L324" s="56">
        <f ca="1" xml:space="preserve"> AND(M323 &gt; 0, L323 &lt; 0, (SUM($J324:K324) = 0 ) )* 1</f>
        <v>0</v>
      </c>
      <c r="M324" s="56">
        <f ca="1" xml:space="preserve"> AND(N323 &gt; 0, M323 &lt; 0, (SUM($J324:L324) = 0 ) )* 1</f>
        <v>0</v>
      </c>
      <c r="N324" s="56">
        <f ca="1" xml:space="preserve"> AND(O323 &gt; 0, N323 &lt; 0, (SUM($J324:M324) = 0 ) )* 1</f>
        <v>0</v>
      </c>
      <c r="O324" s="56">
        <f ca="1" xml:space="preserve"> AND(P323 &gt; 0, O323 &lt; 0, (SUM($J324:N324) = 0 ) )* 1</f>
        <v>0</v>
      </c>
      <c r="P324" s="56">
        <f ca="1" xml:space="preserve"> AND(Q323 &gt; 0, P323 &lt; 0, (SUM($J324:O324) = 0 ) )* 1</f>
        <v>1</v>
      </c>
      <c r="Q324" s="56">
        <f ca="1" xml:space="preserve"> AND(R323 &gt; 0, Q323 &lt; 0, (SUM($J324:P324) = 0 ) )* 1</f>
        <v>0</v>
      </c>
      <c r="R324" s="56">
        <f ca="1" xml:space="preserve"> AND(S323 &gt; 0, R323 &lt; 0, (SUM($J324:Q324) = 0 ) )* 1</f>
        <v>0</v>
      </c>
      <c r="S324" s="56">
        <f ca="1" xml:space="preserve"> AND(T323 &gt; 0, S323 &lt; 0, (SUM($J324:R324) = 0 ) )* 1</f>
        <v>0</v>
      </c>
      <c r="T324" s="56">
        <f ca="1" xml:space="preserve"> AND(U323 &gt; 0, T323 &lt; 0, (SUM($J324:S324) = 0 ) )* 1</f>
        <v>0</v>
      </c>
      <c r="U324" s="56">
        <f ca="1" xml:space="preserve"> AND(V323 &gt; 0, U323 &lt; 0, (SUM($J324:T324) = 0 ) )* 1</f>
        <v>0</v>
      </c>
      <c r="V324" s="56">
        <f ca="1" xml:space="preserve"> AND(W323 &gt; 0, V323 &lt; 0, (SUM($J324:U324) = 0 ) )* 1</f>
        <v>0</v>
      </c>
      <c r="W324" s="56">
        <f ca="1" xml:space="preserve"> AND(X323 &gt; 0, W323 &lt; 0, (SUM($J324:V324) = 0 ) )* 1</f>
        <v>0</v>
      </c>
      <c r="X324" s="56">
        <f ca="1" xml:space="preserve"> AND(Y323 &gt; 0, X323 &lt; 0, (SUM($J324:W324) = 0 ) )* 1</f>
        <v>0</v>
      </c>
      <c r="Y324" s="56">
        <f ca="1" xml:space="preserve"> AND(Z323 &gt; 0, Y323 &lt; 0, (SUM($J324:X324) = 0 ) )* 1</f>
        <v>0</v>
      </c>
      <c r="Z324" s="56">
        <f ca="1" xml:space="preserve"> AND(AA323 &gt; 0, Z323 &lt; 0, (SUM($J324:Y324) = 0 ) )* 1</f>
        <v>0</v>
      </c>
      <c r="AA324" s="56">
        <f ca="1" xml:space="preserve"> AND(AB323 &gt; 0, AA323 &lt; 0, (SUM($J324:Z324) = 0 ) )* 1</f>
        <v>0</v>
      </c>
      <c r="AB324" s="56">
        <f ca="1" xml:space="preserve"> AND(AC323 &gt; 0, AB323 &lt; 0, (SUM($J324:AA324) = 0 ) )* 1</f>
        <v>0</v>
      </c>
      <c r="AC324" s="56">
        <f ca="1" xml:space="preserve"> AND(AD323 &gt; 0, AC323 &lt; 0, (SUM($J324:AB324) = 0 ) )* 1</f>
        <v>0</v>
      </c>
      <c r="AD324" s="56">
        <f ca="1" xml:space="preserve"> AND(AE323 &gt; 0, AD323 &lt; 0, (SUM($J324:AC324) = 0 ) )* 1</f>
        <v>0</v>
      </c>
      <c r="AE324" s="56">
        <f ca="1" xml:space="preserve"> AND(AF323 &gt; 0, AE323 &lt; 0, (SUM($J324:AD324) = 0 ) )* 1</f>
        <v>0</v>
      </c>
      <c r="AF324" s="56">
        <f ca="1" xml:space="preserve"> AND(AG323 &gt; 0, AF323 &lt; 0, (SUM($J324:AE324) = 0 ) )* 1</f>
        <v>0</v>
      </c>
      <c r="AG324" s="56">
        <f ca="1" xml:space="preserve"> AND(AH323 &gt; 0, AG323 &lt; 0, (SUM($J324:AF324) = 0 ) )* 1</f>
        <v>0</v>
      </c>
      <c r="AH324" s="56">
        <f ca="1" xml:space="preserve"> AND(AI323 &gt; 0, AH323 &lt; 0, (SUM($J324:AG324) = 0 ) )* 1</f>
        <v>0</v>
      </c>
      <c r="AI324" s="56">
        <f ca="1" xml:space="preserve"> AND(AJ323 &gt; 0, AI323 &lt; 0, (SUM($J324:AH324) = 0 ) )* 1</f>
        <v>0</v>
      </c>
      <c r="AJ324" s="56">
        <f ca="1" xml:space="preserve"> AND(AK323 &gt; 0, AJ323 &lt; 0, (SUM($J324:AI324) = 0 ) )* 1</f>
        <v>0</v>
      </c>
      <c r="AK324" s="56">
        <f ca="1" xml:space="preserve"> AND(AL323 &gt; 0, AK323 &lt; 0, (SUM($J324:AJ324) = 0 ) )* 1</f>
        <v>0</v>
      </c>
      <c r="AL324" s="56">
        <f ca="1" xml:space="preserve"> AND(AM323 &gt; 0, AL323 &lt; 0, (SUM($J324:AK324) = 0 ) )* 1</f>
        <v>0</v>
      </c>
      <c r="AM324" s="56">
        <f ca="1" xml:space="preserve"> AND(AN323 &gt; 0, AM323 &lt; 0, (SUM($J324:AL324) = 0 ) )* 1</f>
        <v>0</v>
      </c>
      <c r="AN324" s="56">
        <f ca="1" xml:space="preserve"> AND(AO323 &gt; 0, AN323 &lt; 0, (SUM($J324:AM324) = 0 ) )* 1</f>
        <v>0</v>
      </c>
      <c r="AO324" s="56">
        <f ca="1" xml:space="preserve"> AND(AP323 &gt; 0, AO323 &lt; 0, (SUM($J324:AN324) = 0 ) )* 1</f>
        <v>0</v>
      </c>
      <c r="AP324" s="56">
        <f ca="1" xml:space="preserve"> AND(AQ323 &gt; 0, AP323 &lt; 0, (SUM($J324:AO324) = 0 ) )* 1</f>
        <v>0</v>
      </c>
      <c r="AQ324" s="56">
        <f ca="1" xml:space="preserve"> AND(AR323 &gt; 0, AQ323 &lt; 0, (SUM($J324:AP324) = 0 ) )* 1</f>
        <v>0</v>
      </c>
      <c r="AR324" s="56">
        <f ca="1" xml:space="preserve"> AND(AS323 &gt; 0, AR323 &lt; 0, (SUM($J324:AQ324) = 0 ) )* 1</f>
        <v>0</v>
      </c>
      <c r="AS324" s="56">
        <f ca="1" xml:space="preserve"> AND(AT323 &gt; 0, AS323 &lt; 0, (SUM($J324:AR324) = 0 ) )* 1</f>
        <v>0</v>
      </c>
      <c r="AT324" s="56">
        <f ca="1" xml:space="preserve"> AND(AU323 &gt; 0, AT323 &lt; 0, (SUM($J324:AS324) = 0 ) )* 1</f>
        <v>0</v>
      </c>
      <c r="AU324" s="56">
        <f ca="1" xml:space="preserve"> AND(AV323 &gt; 0, AU323 &lt; 0, (SUM($J324:AT324) = 0 ) )* 1</f>
        <v>0</v>
      </c>
      <c r="AV324" s="56">
        <f ca="1" xml:space="preserve"> AND(AW323 &gt; 0, AV323 &lt; 0, (SUM($J324:AU324) = 0 ) )* 1</f>
        <v>0</v>
      </c>
      <c r="AW324" s="56">
        <f ca="1" xml:space="preserve"> AND(AX323 &gt; 0, AW323 &lt; 0, (SUM($J324:AV324) = 0 ) )* 1</f>
        <v>0</v>
      </c>
      <c r="AX324" s="56">
        <f ca="1" xml:space="preserve"> AND(AY323 &gt; 0, AX323 &lt; 0, (SUM($J324:AW324) = 0 ) )* 1</f>
        <v>0</v>
      </c>
    </row>
    <row r="325" spans="1:50" s="7" customFormat="1" ht="15" customHeight="1" x14ac:dyDescent="0.25">
      <c r="A325" s="178"/>
      <c r="B325" s="102"/>
      <c r="C325" s="127"/>
      <c r="D325" s="151"/>
      <c r="E325" s="56" t="str">
        <f xml:space="preserve"> Translate!E$259</f>
        <v>Financing period</v>
      </c>
      <c r="F325" s="151"/>
      <c r="G325" s="56" t="str">
        <f>Translate!$E$405</f>
        <v>Flag</v>
      </c>
      <c r="H325" s="56"/>
      <c r="I325" s="56">
        <f ca="1" xml:space="preserve"> SUM(K325:AX325)</f>
        <v>6</v>
      </c>
      <c r="K325" s="56">
        <f ca="1" xml:space="preserve"> ( SUM(K324:$AX324) &gt; 0) * 1</f>
        <v>1</v>
      </c>
      <c r="L325" s="56">
        <f ca="1" xml:space="preserve"> ( SUM(L324:$AX324) &gt; 0) * 1</f>
        <v>1</v>
      </c>
      <c r="M325" s="56">
        <f ca="1" xml:space="preserve"> ( SUM(M324:$AX324) &gt; 0) * 1</f>
        <v>1</v>
      </c>
      <c r="N325" s="56">
        <f ca="1" xml:space="preserve"> ( SUM(N324:$AX324) &gt; 0) * 1</f>
        <v>1</v>
      </c>
      <c r="O325" s="56">
        <f ca="1" xml:space="preserve"> ( SUM(O324:$AX324) &gt; 0) * 1</f>
        <v>1</v>
      </c>
      <c r="P325" s="56">
        <f ca="1" xml:space="preserve"> ( SUM(P324:$AX324) &gt; 0) * 1</f>
        <v>1</v>
      </c>
      <c r="Q325" s="56">
        <f ca="1" xml:space="preserve"> ( SUM(Q324:$AX324) &gt; 0) * 1</f>
        <v>0</v>
      </c>
      <c r="R325" s="56">
        <f ca="1" xml:space="preserve"> ( SUM(R324:$AX324) &gt; 0) * 1</f>
        <v>0</v>
      </c>
      <c r="S325" s="56">
        <f ca="1" xml:space="preserve"> ( SUM(S324:$AX324) &gt; 0) * 1</f>
        <v>0</v>
      </c>
      <c r="T325" s="56">
        <f ca="1" xml:space="preserve"> ( SUM(T324:$AX324) &gt; 0) * 1</f>
        <v>0</v>
      </c>
      <c r="U325" s="56">
        <f ca="1" xml:space="preserve"> ( SUM(U324:$AX324) &gt; 0) * 1</f>
        <v>0</v>
      </c>
      <c r="V325" s="56">
        <f ca="1" xml:space="preserve"> ( SUM(V324:$AX324) &gt; 0) * 1</f>
        <v>0</v>
      </c>
      <c r="W325" s="56">
        <f ca="1" xml:space="preserve"> ( SUM(W324:$AX324) &gt; 0) * 1</f>
        <v>0</v>
      </c>
      <c r="X325" s="56">
        <f ca="1" xml:space="preserve"> ( SUM(X324:$AX324) &gt; 0) * 1</f>
        <v>0</v>
      </c>
      <c r="Y325" s="56">
        <f ca="1" xml:space="preserve"> ( SUM(Y324:$AX324) &gt; 0) * 1</f>
        <v>0</v>
      </c>
      <c r="Z325" s="56">
        <f ca="1" xml:space="preserve"> ( SUM(Z324:$AX324) &gt; 0) * 1</f>
        <v>0</v>
      </c>
      <c r="AA325" s="56">
        <f ca="1" xml:space="preserve"> ( SUM(AA324:$AX324) &gt; 0) * 1</f>
        <v>0</v>
      </c>
      <c r="AB325" s="56">
        <f ca="1" xml:space="preserve"> ( SUM(AB324:$AX324) &gt; 0) * 1</f>
        <v>0</v>
      </c>
      <c r="AC325" s="56">
        <f ca="1" xml:space="preserve"> ( SUM(AC324:$AX324) &gt; 0) * 1</f>
        <v>0</v>
      </c>
      <c r="AD325" s="56">
        <f ca="1" xml:space="preserve"> ( SUM(AD324:$AX324) &gt; 0) * 1</f>
        <v>0</v>
      </c>
      <c r="AE325" s="56">
        <f ca="1" xml:space="preserve"> ( SUM(AE324:$AX324) &gt; 0) * 1</f>
        <v>0</v>
      </c>
      <c r="AF325" s="56">
        <f ca="1" xml:space="preserve"> ( SUM(AF324:$AX324) &gt; 0) * 1</f>
        <v>0</v>
      </c>
      <c r="AG325" s="56">
        <f ca="1" xml:space="preserve"> ( SUM(AG324:$AX324) &gt; 0) * 1</f>
        <v>0</v>
      </c>
      <c r="AH325" s="56">
        <f ca="1" xml:space="preserve"> ( SUM(AH324:$AX324) &gt; 0) * 1</f>
        <v>0</v>
      </c>
      <c r="AI325" s="56">
        <f ca="1" xml:space="preserve"> ( SUM(AI324:$AX324) &gt; 0) * 1</f>
        <v>0</v>
      </c>
      <c r="AJ325" s="56">
        <f ca="1" xml:space="preserve"> ( SUM(AJ324:$AX324) &gt; 0) * 1</f>
        <v>0</v>
      </c>
      <c r="AK325" s="56">
        <f ca="1" xml:space="preserve"> ( SUM(AK324:$AX324) &gt; 0) * 1</f>
        <v>0</v>
      </c>
      <c r="AL325" s="56">
        <f ca="1" xml:space="preserve"> ( SUM(AL324:$AX324) &gt; 0) * 1</f>
        <v>0</v>
      </c>
      <c r="AM325" s="56">
        <f ca="1" xml:space="preserve"> ( SUM(AM324:$AX324) &gt; 0) * 1</f>
        <v>0</v>
      </c>
      <c r="AN325" s="56">
        <f ca="1" xml:space="preserve"> ( SUM(AN324:$AX324) &gt; 0) * 1</f>
        <v>0</v>
      </c>
      <c r="AO325" s="56">
        <f ca="1" xml:space="preserve"> ( SUM(AO324:$AX324) &gt; 0) * 1</f>
        <v>0</v>
      </c>
      <c r="AP325" s="56">
        <f ca="1" xml:space="preserve"> ( SUM(AP324:$AX324) &gt; 0) * 1</f>
        <v>0</v>
      </c>
      <c r="AQ325" s="56">
        <f ca="1" xml:space="preserve"> ( SUM(AQ324:$AX324) &gt; 0) * 1</f>
        <v>0</v>
      </c>
      <c r="AR325" s="56">
        <f ca="1" xml:space="preserve"> ( SUM(AR324:$AX324) &gt; 0) * 1</f>
        <v>0</v>
      </c>
      <c r="AS325" s="56">
        <f ca="1" xml:space="preserve"> ( SUM(AS324:$AX324) &gt; 0) * 1</f>
        <v>0</v>
      </c>
      <c r="AT325" s="56">
        <f ca="1" xml:space="preserve"> ( SUM(AT324:$AX324) &gt; 0) * 1</f>
        <v>0</v>
      </c>
      <c r="AU325" s="56">
        <f ca="1" xml:space="preserve"> ( SUM(AU324:$AX324) &gt; 0) * 1</f>
        <v>0</v>
      </c>
      <c r="AV325" s="56">
        <f ca="1" xml:space="preserve"> ( SUM(AV324:$AX324) &gt; 0) * 1</f>
        <v>0</v>
      </c>
      <c r="AW325" s="56">
        <f ca="1" xml:space="preserve"> ( SUM(AW324:$AX324) &gt; 0) * 1</f>
        <v>0</v>
      </c>
      <c r="AX325" s="56">
        <f ca="1" xml:space="preserve"> ( SUM(AX324:$AX324) &gt; 0) * 1</f>
        <v>0</v>
      </c>
    </row>
    <row r="326" spans="1:50" ht="15" customHeight="1" x14ac:dyDescent="0.25">
      <c r="A326" s="86"/>
      <c r="B326" s="235"/>
      <c r="C326" s="604"/>
      <c r="D326" s="162"/>
      <c r="E326" s="56"/>
      <c r="F326" s="151"/>
      <c r="G326" s="56"/>
      <c r="H326" s="56"/>
      <c r="I326" s="89"/>
      <c r="K326" s="56"/>
      <c r="L326" s="56"/>
      <c r="M326" s="56"/>
      <c r="N326" s="56"/>
      <c r="O326" s="56"/>
      <c r="P326" s="56"/>
      <c r="Q326" s="56"/>
      <c r="R326" s="56"/>
      <c r="S326" s="56"/>
      <c r="T326" s="56"/>
      <c r="U326" s="56"/>
      <c r="V326" s="56"/>
      <c r="W326" s="56"/>
      <c r="X326" s="56"/>
      <c r="Y326" s="56"/>
      <c r="Z326" s="56"/>
      <c r="AA326" s="56"/>
      <c r="AB326" s="56"/>
      <c r="AC326" s="56"/>
      <c r="AD326" s="56"/>
      <c r="AE326" s="56"/>
      <c r="AF326" s="56"/>
      <c r="AG326" s="56"/>
      <c r="AH326" s="56"/>
      <c r="AI326" s="56"/>
      <c r="AJ326" s="56"/>
      <c r="AK326" s="56"/>
      <c r="AL326" s="56"/>
      <c r="AM326" s="56"/>
      <c r="AN326" s="56"/>
      <c r="AO326" s="56"/>
      <c r="AP326" s="56"/>
      <c r="AQ326" s="56"/>
      <c r="AR326" s="56"/>
      <c r="AS326" s="56"/>
      <c r="AT326" s="56"/>
      <c r="AU326" s="56"/>
      <c r="AV326" s="56"/>
      <c r="AW326" s="56"/>
      <c r="AX326" s="56"/>
    </row>
    <row r="327" spans="1:50" s="40" customFormat="1" ht="15" customHeight="1" x14ac:dyDescent="0.25">
      <c r="A327" s="139"/>
      <c r="B327" s="235"/>
      <c r="C327" s="613"/>
      <c r="D327" s="354"/>
      <c r="E327" s="140" t="str">
        <f xml:space="preserve"> ProjectCashflows!E$180</f>
        <v>Production years, after ELT</v>
      </c>
      <c r="F327" s="540">
        <f xml:space="preserve"> ProjectCashflows!F$180</f>
        <v>0</v>
      </c>
      <c r="G327" s="140" t="str">
        <f xml:space="preserve"> ProjectCashflows!G$180</f>
        <v>Year</v>
      </c>
      <c r="H327" s="140">
        <f xml:space="preserve"> ProjectCashflows!H$180</f>
        <v>0</v>
      </c>
      <c r="I327" s="140">
        <f xml:space="preserve"> ProjectCashflows!I$180</f>
        <v>0</v>
      </c>
      <c r="J327" s="140">
        <f xml:space="preserve"> ProjectCashflows!J$180</f>
        <v>0</v>
      </c>
      <c r="K327" s="140">
        <f ca="1" xml:space="preserve"> ProjectCashflows!K$180</f>
        <v>0</v>
      </c>
      <c r="L327" s="140">
        <f ca="1" xml:space="preserve"> ProjectCashflows!L$180</f>
        <v>0</v>
      </c>
      <c r="M327" s="140">
        <f ca="1" xml:space="preserve"> ProjectCashflows!M$180</f>
        <v>0</v>
      </c>
      <c r="N327" s="140">
        <f ca="1" xml:space="preserve"> ProjectCashflows!N$180</f>
        <v>0</v>
      </c>
      <c r="O327" s="140">
        <f ca="1" xml:space="preserve"> ProjectCashflows!O$180</f>
        <v>1</v>
      </c>
      <c r="P327" s="140">
        <f ca="1" xml:space="preserve"> ProjectCashflows!P$180</f>
        <v>1</v>
      </c>
      <c r="Q327" s="140">
        <f ca="1" xml:space="preserve"> ProjectCashflows!Q$180</f>
        <v>1</v>
      </c>
      <c r="R327" s="140">
        <f ca="1" xml:space="preserve"> ProjectCashflows!R$180</f>
        <v>1</v>
      </c>
      <c r="S327" s="140">
        <f ca="1" xml:space="preserve"> ProjectCashflows!S$180</f>
        <v>1</v>
      </c>
      <c r="T327" s="140">
        <f ca="1" xml:space="preserve"> ProjectCashflows!T$180</f>
        <v>1</v>
      </c>
      <c r="U327" s="140">
        <f ca="1" xml:space="preserve"> ProjectCashflows!U$180</f>
        <v>1</v>
      </c>
      <c r="V327" s="140">
        <f ca="1" xml:space="preserve"> ProjectCashflows!V$180</f>
        <v>1</v>
      </c>
      <c r="W327" s="140">
        <f ca="1" xml:space="preserve"> ProjectCashflows!W$180</f>
        <v>1</v>
      </c>
      <c r="X327" s="140">
        <f ca="1" xml:space="preserve"> ProjectCashflows!X$180</f>
        <v>1</v>
      </c>
      <c r="Y327" s="140">
        <f ca="1" xml:space="preserve"> ProjectCashflows!Y$180</f>
        <v>1</v>
      </c>
      <c r="Z327" s="140">
        <f ca="1" xml:space="preserve"> ProjectCashflows!Z$180</f>
        <v>1</v>
      </c>
      <c r="AA327" s="140">
        <f ca="1" xml:space="preserve"> ProjectCashflows!AA$180</f>
        <v>1</v>
      </c>
      <c r="AB327" s="140">
        <f ca="1" xml:space="preserve"> ProjectCashflows!AB$180</f>
        <v>1</v>
      </c>
      <c r="AC327" s="140">
        <f ca="1" xml:space="preserve"> ProjectCashflows!AC$180</f>
        <v>1</v>
      </c>
      <c r="AD327" s="140">
        <f ca="1" xml:space="preserve"> ProjectCashflows!AD$180</f>
        <v>1</v>
      </c>
      <c r="AE327" s="140">
        <f ca="1" xml:space="preserve"> ProjectCashflows!AE$180</f>
        <v>1</v>
      </c>
      <c r="AF327" s="140">
        <f ca="1" xml:space="preserve"> ProjectCashflows!AF$180</f>
        <v>1</v>
      </c>
      <c r="AG327" s="140">
        <f ca="1" xml:space="preserve"> ProjectCashflows!AG$180</f>
        <v>1</v>
      </c>
      <c r="AH327" s="140">
        <f ca="1" xml:space="preserve"> ProjectCashflows!AH$180</f>
        <v>1</v>
      </c>
      <c r="AI327" s="140">
        <f ca="1" xml:space="preserve"> ProjectCashflows!AI$180</f>
        <v>1</v>
      </c>
      <c r="AJ327" s="140">
        <f ca="1" xml:space="preserve"> ProjectCashflows!AJ$180</f>
        <v>1</v>
      </c>
      <c r="AK327" s="140">
        <f ca="1" xml:space="preserve"> ProjectCashflows!AK$180</f>
        <v>1</v>
      </c>
      <c r="AL327" s="140">
        <f ca="1" xml:space="preserve"> ProjectCashflows!AL$180</f>
        <v>1</v>
      </c>
      <c r="AM327" s="140">
        <f ca="1" xml:space="preserve"> ProjectCashflows!AM$180</f>
        <v>1</v>
      </c>
      <c r="AN327" s="140">
        <f ca="1" xml:space="preserve"> ProjectCashflows!AN$180</f>
        <v>1</v>
      </c>
      <c r="AO327" s="140">
        <f ca="1" xml:space="preserve"> ProjectCashflows!AO$180</f>
        <v>1</v>
      </c>
      <c r="AP327" s="140">
        <f ca="1" xml:space="preserve"> ProjectCashflows!AP$180</f>
        <v>0</v>
      </c>
      <c r="AQ327" s="140">
        <f ca="1" xml:space="preserve"> ProjectCashflows!AQ$180</f>
        <v>0</v>
      </c>
      <c r="AR327" s="140">
        <f ca="1" xml:space="preserve"> ProjectCashflows!AR$180</f>
        <v>0</v>
      </c>
      <c r="AS327" s="140">
        <f ca="1" xml:space="preserve"> ProjectCashflows!AS$180</f>
        <v>0</v>
      </c>
      <c r="AT327" s="140">
        <f ca="1" xml:space="preserve"> ProjectCashflows!AT$180</f>
        <v>0</v>
      </c>
      <c r="AU327" s="140">
        <f ca="1" xml:space="preserve"> ProjectCashflows!AU$180</f>
        <v>0</v>
      </c>
      <c r="AV327" s="140">
        <f ca="1" xml:space="preserve"> ProjectCashflows!AV$180</f>
        <v>0</v>
      </c>
      <c r="AW327" s="140">
        <f ca="1" xml:space="preserve"> ProjectCashflows!AW$180</f>
        <v>0</v>
      </c>
      <c r="AX327" s="140">
        <f ca="1" xml:space="preserve"> ProjectCashflows!AX$180</f>
        <v>0</v>
      </c>
    </row>
    <row r="328" spans="1:50" ht="15" customHeight="1" x14ac:dyDescent="0.25">
      <c r="A328" s="86"/>
      <c r="B328" s="235"/>
      <c r="C328" s="604"/>
      <c r="D328" s="162"/>
      <c r="E328" s="55" t="str">
        <f xml:space="preserve"> Translate!E537 &amp; " "    &amp; E327</f>
        <v>Post-financing Production years, after ELT</v>
      </c>
      <c r="F328" s="64"/>
      <c r="G328" s="55" t="str">
        <f>Translate!$E$405</f>
        <v>Flag</v>
      </c>
      <c r="H328" s="55"/>
      <c r="I328" s="55">
        <f ca="1" xml:space="preserve"> SUM(K328:AX328)</f>
        <v>25</v>
      </c>
      <c r="J328" s="55"/>
      <c r="K328" s="55">
        <f t="shared" ref="K328:AX328" ca="1" si="68" xml:space="preserve"> K327 * ( K325 = 0)</f>
        <v>0</v>
      </c>
      <c r="L328" s="55">
        <f t="shared" ca="1" si="68"/>
        <v>0</v>
      </c>
      <c r="M328" s="55">
        <f t="shared" ca="1" si="68"/>
        <v>0</v>
      </c>
      <c r="N328" s="55">
        <f t="shared" ca="1" si="68"/>
        <v>0</v>
      </c>
      <c r="O328" s="55">
        <f t="shared" ca="1" si="68"/>
        <v>0</v>
      </c>
      <c r="P328" s="55">
        <f t="shared" ca="1" si="68"/>
        <v>0</v>
      </c>
      <c r="Q328" s="55">
        <f t="shared" ca="1" si="68"/>
        <v>1</v>
      </c>
      <c r="R328" s="55">
        <f t="shared" ca="1" si="68"/>
        <v>1</v>
      </c>
      <c r="S328" s="55">
        <f t="shared" ca="1" si="68"/>
        <v>1</v>
      </c>
      <c r="T328" s="55">
        <f t="shared" ca="1" si="68"/>
        <v>1</v>
      </c>
      <c r="U328" s="55">
        <f t="shared" ca="1" si="68"/>
        <v>1</v>
      </c>
      <c r="V328" s="55">
        <f t="shared" ca="1" si="68"/>
        <v>1</v>
      </c>
      <c r="W328" s="55">
        <f t="shared" ca="1" si="68"/>
        <v>1</v>
      </c>
      <c r="X328" s="55">
        <f t="shared" ca="1" si="68"/>
        <v>1</v>
      </c>
      <c r="Y328" s="55">
        <f t="shared" ca="1" si="68"/>
        <v>1</v>
      </c>
      <c r="Z328" s="55">
        <f t="shared" ca="1" si="68"/>
        <v>1</v>
      </c>
      <c r="AA328" s="55">
        <f t="shared" ca="1" si="68"/>
        <v>1</v>
      </c>
      <c r="AB328" s="55">
        <f t="shared" ca="1" si="68"/>
        <v>1</v>
      </c>
      <c r="AC328" s="55">
        <f t="shared" ca="1" si="68"/>
        <v>1</v>
      </c>
      <c r="AD328" s="55">
        <f t="shared" ca="1" si="68"/>
        <v>1</v>
      </c>
      <c r="AE328" s="55">
        <f t="shared" ca="1" si="68"/>
        <v>1</v>
      </c>
      <c r="AF328" s="55">
        <f t="shared" ca="1" si="68"/>
        <v>1</v>
      </c>
      <c r="AG328" s="55">
        <f t="shared" ca="1" si="68"/>
        <v>1</v>
      </c>
      <c r="AH328" s="55">
        <f t="shared" ca="1" si="68"/>
        <v>1</v>
      </c>
      <c r="AI328" s="55">
        <f t="shared" ca="1" si="68"/>
        <v>1</v>
      </c>
      <c r="AJ328" s="55">
        <f t="shared" ca="1" si="68"/>
        <v>1</v>
      </c>
      <c r="AK328" s="55">
        <f t="shared" ca="1" si="68"/>
        <v>1</v>
      </c>
      <c r="AL328" s="55">
        <f t="shared" ca="1" si="68"/>
        <v>1</v>
      </c>
      <c r="AM328" s="55">
        <f t="shared" ca="1" si="68"/>
        <v>1</v>
      </c>
      <c r="AN328" s="55">
        <f t="shared" ca="1" si="68"/>
        <v>1</v>
      </c>
      <c r="AO328" s="55">
        <f t="shared" ca="1" si="68"/>
        <v>1</v>
      </c>
      <c r="AP328" s="55">
        <f t="shared" ca="1" si="68"/>
        <v>0</v>
      </c>
      <c r="AQ328" s="55">
        <f t="shared" ca="1" si="68"/>
        <v>0</v>
      </c>
      <c r="AR328" s="55">
        <f t="shared" ca="1" si="68"/>
        <v>0</v>
      </c>
      <c r="AS328" s="55">
        <f t="shared" ca="1" si="68"/>
        <v>0</v>
      </c>
      <c r="AT328" s="55">
        <f t="shared" ca="1" si="68"/>
        <v>0</v>
      </c>
      <c r="AU328" s="55">
        <f t="shared" ca="1" si="68"/>
        <v>0</v>
      </c>
      <c r="AV328" s="55">
        <f t="shared" ca="1" si="68"/>
        <v>0</v>
      </c>
      <c r="AW328" s="55">
        <f t="shared" ca="1" si="68"/>
        <v>0</v>
      </c>
      <c r="AX328" s="55">
        <f t="shared" ca="1" si="68"/>
        <v>0</v>
      </c>
    </row>
    <row r="329" spans="1:50" ht="15" customHeight="1" x14ac:dyDescent="0.25">
      <c r="A329" s="86"/>
      <c r="B329" s="235"/>
      <c r="C329" s="604"/>
      <c r="D329" s="162"/>
      <c r="E329" s="55"/>
      <c r="F329" s="64"/>
      <c r="G329" s="55"/>
      <c r="H329" s="55"/>
      <c r="I329" s="55"/>
      <c r="J329" s="55"/>
      <c r="K329" s="55"/>
      <c r="L329" s="55"/>
      <c r="M329" s="55"/>
      <c r="N329" s="55"/>
      <c r="O329" s="55"/>
      <c r="P329" s="55"/>
      <c r="Q329" s="55"/>
      <c r="R329" s="55"/>
      <c r="S329" s="55"/>
      <c r="T329" s="55"/>
      <c r="U329" s="55"/>
      <c r="V329" s="55"/>
      <c r="W329" s="55"/>
      <c r="X329" s="55"/>
      <c r="Y329" s="55"/>
      <c r="Z329" s="55"/>
      <c r="AA329" s="55"/>
      <c r="AB329" s="55"/>
      <c r="AC329" s="55"/>
      <c r="AD329" s="55"/>
      <c r="AE329" s="55"/>
      <c r="AF329" s="55"/>
      <c r="AG329" s="55"/>
      <c r="AH329" s="55"/>
      <c r="AI329" s="55"/>
      <c r="AJ329" s="55"/>
      <c r="AK329" s="55"/>
      <c r="AL329" s="55"/>
      <c r="AM329" s="55"/>
      <c r="AN329" s="55"/>
      <c r="AO329" s="55"/>
      <c r="AP329" s="55"/>
      <c r="AQ329" s="55"/>
      <c r="AR329" s="55"/>
      <c r="AS329" s="55"/>
      <c r="AT329" s="55"/>
      <c r="AU329" s="55"/>
      <c r="AV329" s="55"/>
      <c r="AW329" s="55"/>
      <c r="AX329" s="55"/>
    </row>
    <row r="330" spans="1:50" ht="15" customHeight="1" x14ac:dyDescent="0.25">
      <c r="A330" s="86"/>
      <c r="B330" s="235"/>
      <c r="C330" s="604"/>
      <c r="D330" s="162"/>
      <c r="E330" s="55" t="str">
        <f xml:space="preserve"> E328 &amp; " :" &amp; Translate!E$811</f>
        <v>Post-financing Production years, after ELT :cumulative</v>
      </c>
      <c r="F330" s="64"/>
      <c r="G330" s="55" t="str">
        <f xml:space="preserve"> Translate!E$608</f>
        <v>Year</v>
      </c>
      <c r="H330" s="55"/>
      <c r="I330" s="55"/>
      <c r="J330" s="236"/>
      <c r="K330" s="55">
        <f t="shared" ref="K330:AX330" ca="1" si="69" xml:space="preserve"> J330 + K328</f>
        <v>0</v>
      </c>
      <c r="L330" s="55">
        <f t="shared" ca="1" si="69"/>
        <v>0</v>
      </c>
      <c r="M330" s="55">
        <f t="shared" ca="1" si="69"/>
        <v>0</v>
      </c>
      <c r="N330" s="55">
        <f t="shared" ca="1" si="69"/>
        <v>0</v>
      </c>
      <c r="O330" s="55">
        <f t="shared" ca="1" si="69"/>
        <v>0</v>
      </c>
      <c r="P330" s="55">
        <f t="shared" ca="1" si="69"/>
        <v>0</v>
      </c>
      <c r="Q330" s="55">
        <f t="shared" ca="1" si="69"/>
        <v>1</v>
      </c>
      <c r="R330" s="55">
        <f t="shared" ca="1" si="69"/>
        <v>2</v>
      </c>
      <c r="S330" s="55">
        <f t="shared" ca="1" si="69"/>
        <v>3</v>
      </c>
      <c r="T330" s="55">
        <f t="shared" ca="1" si="69"/>
        <v>4</v>
      </c>
      <c r="U330" s="55">
        <f t="shared" ca="1" si="69"/>
        <v>5</v>
      </c>
      <c r="V330" s="55">
        <f t="shared" ca="1" si="69"/>
        <v>6</v>
      </c>
      <c r="W330" s="55">
        <f t="shared" ca="1" si="69"/>
        <v>7</v>
      </c>
      <c r="X330" s="55">
        <f t="shared" ca="1" si="69"/>
        <v>8</v>
      </c>
      <c r="Y330" s="55">
        <f t="shared" ca="1" si="69"/>
        <v>9</v>
      </c>
      <c r="Z330" s="55">
        <f t="shared" ca="1" si="69"/>
        <v>10</v>
      </c>
      <c r="AA330" s="55">
        <f t="shared" ca="1" si="69"/>
        <v>11</v>
      </c>
      <c r="AB330" s="55">
        <f t="shared" ca="1" si="69"/>
        <v>12</v>
      </c>
      <c r="AC330" s="55">
        <f t="shared" ca="1" si="69"/>
        <v>13</v>
      </c>
      <c r="AD330" s="55">
        <f t="shared" ca="1" si="69"/>
        <v>14</v>
      </c>
      <c r="AE330" s="55">
        <f t="shared" ca="1" si="69"/>
        <v>15</v>
      </c>
      <c r="AF330" s="55">
        <f t="shared" ca="1" si="69"/>
        <v>16</v>
      </c>
      <c r="AG330" s="55">
        <f t="shared" ca="1" si="69"/>
        <v>17</v>
      </c>
      <c r="AH330" s="55">
        <f t="shared" ca="1" si="69"/>
        <v>18</v>
      </c>
      <c r="AI330" s="55">
        <f t="shared" ca="1" si="69"/>
        <v>19</v>
      </c>
      <c r="AJ330" s="55">
        <f t="shared" ca="1" si="69"/>
        <v>20</v>
      </c>
      <c r="AK330" s="55">
        <f t="shared" ca="1" si="69"/>
        <v>21</v>
      </c>
      <c r="AL330" s="55">
        <f t="shared" ca="1" si="69"/>
        <v>22</v>
      </c>
      <c r="AM330" s="55">
        <f t="shared" ca="1" si="69"/>
        <v>23</v>
      </c>
      <c r="AN330" s="55">
        <f t="shared" ca="1" si="69"/>
        <v>24</v>
      </c>
      <c r="AO330" s="55">
        <f t="shared" ca="1" si="69"/>
        <v>25</v>
      </c>
      <c r="AP330" s="55">
        <f t="shared" ca="1" si="69"/>
        <v>25</v>
      </c>
      <c r="AQ330" s="55">
        <f t="shared" ca="1" si="69"/>
        <v>25</v>
      </c>
      <c r="AR330" s="55">
        <f t="shared" ca="1" si="69"/>
        <v>25</v>
      </c>
      <c r="AS330" s="55">
        <f t="shared" ca="1" si="69"/>
        <v>25</v>
      </c>
      <c r="AT330" s="55">
        <f t="shared" ca="1" si="69"/>
        <v>25</v>
      </c>
      <c r="AU330" s="55">
        <f t="shared" ca="1" si="69"/>
        <v>25</v>
      </c>
      <c r="AV330" s="55">
        <f t="shared" ca="1" si="69"/>
        <v>25</v>
      </c>
      <c r="AW330" s="55">
        <f t="shared" ca="1" si="69"/>
        <v>25</v>
      </c>
      <c r="AX330" s="55">
        <f t="shared" ca="1" si="69"/>
        <v>25</v>
      </c>
    </row>
    <row r="331" spans="1:50" ht="15" customHeight="1" x14ac:dyDescent="0.25">
      <c r="A331" s="86"/>
      <c r="B331" s="235"/>
      <c r="C331" s="604"/>
      <c r="D331" s="162"/>
      <c r="E331" s="55"/>
      <c r="F331" s="64"/>
      <c r="G331" s="55"/>
      <c r="H331" s="55"/>
      <c r="I331" s="55"/>
      <c r="J331" s="55"/>
      <c r="K331" s="55"/>
      <c r="L331" s="55"/>
      <c r="M331" s="55"/>
      <c r="N331" s="55"/>
      <c r="O331" s="55"/>
      <c r="P331" s="55"/>
      <c r="Q331" s="55"/>
      <c r="R331" s="55"/>
      <c r="S331" s="55"/>
      <c r="T331" s="55"/>
      <c r="U331" s="55"/>
      <c r="V331" s="55"/>
      <c r="W331" s="55"/>
      <c r="X331" s="55"/>
      <c r="Y331" s="55"/>
      <c r="Z331" s="55"/>
      <c r="AA331" s="55"/>
      <c r="AB331" s="55"/>
      <c r="AC331" s="55"/>
      <c r="AD331" s="55"/>
      <c r="AE331" s="55"/>
      <c r="AF331" s="55"/>
      <c r="AG331" s="55"/>
      <c r="AH331" s="55"/>
      <c r="AI331" s="55"/>
      <c r="AJ331" s="55"/>
      <c r="AK331" s="55"/>
      <c r="AL331" s="55"/>
      <c r="AM331" s="55"/>
      <c r="AN331" s="55"/>
      <c r="AO331" s="55"/>
      <c r="AP331" s="55"/>
      <c r="AQ331" s="55"/>
      <c r="AR331" s="55"/>
      <c r="AS331" s="55"/>
      <c r="AT331" s="55"/>
      <c r="AU331" s="55"/>
      <c r="AV331" s="55"/>
      <c r="AW331" s="55"/>
      <c r="AX331" s="55"/>
    </row>
    <row r="332" spans="1:50" ht="15" customHeight="1" x14ac:dyDescent="0.25">
      <c r="A332" s="86"/>
      <c r="B332" s="235"/>
      <c r="C332" s="604" t="str">
        <f>Translate!$E$485</f>
        <v>Costs to be financed</v>
      </c>
      <c r="D332" s="162"/>
      <c r="E332" s="56"/>
      <c r="F332" s="151"/>
      <c r="G332" s="56"/>
      <c r="H332" s="56"/>
      <c r="I332" s="89"/>
      <c r="J332" s="56"/>
      <c r="K332" s="56"/>
      <c r="L332" s="56"/>
      <c r="M332" s="56"/>
      <c r="N332" s="56"/>
      <c r="O332" s="56"/>
      <c r="P332" s="56"/>
      <c r="Q332" s="56"/>
      <c r="R332" s="56"/>
      <c r="S332" s="56"/>
      <c r="T332" s="56"/>
      <c r="U332" s="56"/>
      <c r="V332" s="56"/>
      <c r="W332" s="56"/>
      <c r="X332" s="56"/>
      <c r="Y332" s="56"/>
      <c r="Z332" s="56"/>
      <c r="AA332" s="56"/>
      <c r="AB332" s="56"/>
      <c r="AC332" s="56"/>
      <c r="AD332" s="56"/>
      <c r="AE332" s="56"/>
      <c r="AF332" s="56"/>
      <c r="AG332" s="56"/>
      <c r="AH332" s="56"/>
      <c r="AI332" s="56"/>
      <c r="AJ332" s="56"/>
      <c r="AK332" s="56"/>
      <c r="AL332" s="56"/>
      <c r="AM332" s="56"/>
      <c r="AN332" s="56"/>
      <c r="AO332" s="56"/>
      <c r="AP332" s="56"/>
      <c r="AQ332" s="56"/>
      <c r="AR332" s="56"/>
      <c r="AS332" s="56"/>
      <c r="AT332" s="56"/>
      <c r="AU332" s="56"/>
      <c r="AV332" s="56"/>
      <c r="AW332" s="56"/>
      <c r="AX332" s="56"/>
    </row>
    <row r="333" spans="1:50" s="40" customFormat="1" ht="15" customHeight="1" x14ac:dyDescent="0.25">
      <c r="A333" s="139"/>
      <c r="B333" s="235"/>
      <c r="C333" s="613"/>
      <c r="D333" s="354"/>
      <c r="E333" s="140" t="str">
        <f xml:space="preserve"> ProjectCashflows!E$239</f>
        <v>Development costs, after ELT</v>
      </c>
      <c r="F333" s="540">
        <f xml:space="preserve"> ProjectCashflows!F$239</f>
        <v>0</v>
      </c>
      <c r="G333" s="140" t="str">
        <f xml:space="preserve"> ProjectCashflows!G$239</f>
        <v>US$ mn</v>
      </c>
      <c r="H333" s="140">
        <f xml:space="preserve"> ProjectCashflows!H$239</f>
        <v>0</v>
      </c>
      <c r="I333" s="140">
        <f ca="1" xml:space="preserve"> ProjectCashflows!I$239</f>
        <v>10455.572281430788</v>
      </c>
      <c r="J333" s="140">
        <f xml:space="preserve"> ProjectCashflows!J$239</f>
        <v>0</v>
      </c>
      <c r="K333" s="140">
        <f ca="1" xml:space="preserve"> ProjectCashflows!K$239</f>
        <v>0</v>
      </c>
      <c r="L333" s="140">
        <f ca="1" xml:space="preserve"> ProjectCashflows!L$239</f>
        <v>51</v>
      </c>
      <c r="M333" s="140">
        <f ca="1" xml:space="preserve"> ProjectCashflows!M$239</f>
        <v>312.12</v>
      </c>
      <c r="N333" s="140">
        <f ca="1" xml:space="preserve"> ProjectCashflows!N$239</f>
        <v>1273.4495999999999</v>
      </c>
      <c r="O333" s="140">
        <f ca="1" xml:space="preserve"> ProjectCashflows!O$239</f>
        <v>1298.918592</v>
      </c>
      <c r="P333" s="140">
        <f ca="1" xml:space="preserve"> ProjectCashflows!P$239</f>
        <v>2318.5696867199999</v>
      </c>
      <c r="Q333" s="140">
        <f ca="1" xml:space="preserve"> ProjectCashflows!Q$239</f>
        <v>1238.7786611904</v>
      </c>
      <c r="R333" s="140">
        <f ca="1" xml:space="preserve"> ProjectCashflows!R$239</f>
        <v>516.90855044217597</v>
      </c>
      <c r="S333" s="140">
        <f ca="1" xml:space="preserve"> ProjectCashflows!S$239</f>
        <v>292.91484525056643</v>
      </c>
      <c r="T333" s="140">
        <f ca="1" xml:space="preserve"> ProjectCashflows!T$239</f>
        <v>298.77314215557777</v>
      </c>
      <c r="U333" s="140">
        <f ca="1" xml:space="preserve"> ProjectCashflows!U$239</f>
        <v>304.74860499868936</v>
      </c>
      <c r="V333" s="140">
        <f ca="1" xml:space="preserve"> ProjectCashflows!V$239</f>
        <v>310.8435770986631</v>
      </c>
      <c r="W333" s="140">
        <f ca="1" xml:space="preserve"> ProjectCashflows!W$239</f>
        <v>317.06044864063637</v>
      </c>
      <c r="X333" s="140">
        <f ca="1" xml:space="preserve"> ProjectCashflows!X$239</f>
        <v>323.40165761344906</v>
      </c>
      <c r="Y333" s="140">
        <f ca="1" xml:space="preserve"> ProjectCashflows!Y$239</f>
        <v>329.86969076571808</v>
      </c>
      <c r="Z333" s="140">
        <f ca="1" xml:space="preserve"> ProjectCashflows!Z$239</f>
        <v>336.46708458103245</v>
      </c>
      <c r="AA333" s="140">
        <f ca="1" xml:space="preserve"> ProjectCashflows!AA$239</f>
        <v>343.19642627265313</v>
      </c>
      <c r="AB333" s="140">
        <f ca="1" xml:space="preserve"> ProjectCashflows!AB$239</f>
        <v>0</v>
      </c>
      <c r="AC333" s="140">
        <f ca="1" xml:space="preserve"> ProjectCashflows!AC$239</f>
        <v>0</v>
      </c>
      <c r="AD333" s="140">
        <f ca="1" xml:space="preserve"> ProjectCashflows!AD$239</f>
        <v>291.36223450555974</v>
      </c>
      <c r="AE333" s="140">
        <f ca="1" xml:space="preserve"> ProjectCashflows!AE$239</f>
        <v>297.18947919567097</v>
      </c>
      <c r="AF333" s="140">
        <f ca="1" xml:space="preserve"> ProjectCashflows!AF$239</f>
        <v>0</v>
      </c>
      <c r="AG333" s="140">
        <f ca="1" xml:space="preserve"> ProjectCashflows!AG$239</f>
        <v>0</v>
      </c>
      <c r="AH333" s="140">
        <f ca="1" xml:space="preserve"> ProjectCashflows!AH$239</f>
        <v>0</v>
      </c>
      <c r="AI333" s="140">
        <f ca="1" xml:space="preserve"> ProjectCashflows!AI$239</f>
        <v>0</v>
      </c>
      <c r="AJ333" s="140">
        <f ca="1" xml:space="preserve"> ProjectCashflows!AJ$239</f>
        <v>0</v>
      </c>
      <c r="AK333" s="140">
        <f ca="1" xml:space="preserve"> ProjectCashflows!AK$239</f>
        <v>0</v>
      </c>
      <c r="AL333" s="140">
        <f ca="1" xml:space="preserve"> ProjectCashflows!AL$239</f>
        <v>0</v>
      </c>
      <c r="AM333" s="140">
        <f ca="1" xml:space="preserve"> ProjectCashflows!AM$239</f>
        <v>0</v>
      </c>
      <c r="AN333" s="140">
        <f ca="1" xml:space="preserve"> ProjectCashflows!AN$239</f>
        <v>0</v>
      </c>
      <c r="AO333" s="140">
        <f ca="1" xml:space="preserve"> ProjectCashflows!AO$239</f>
        <v>0</v>
      </c>
      <c r="AP333" s="140">
        <f ca="1" xml:space="preserve"> ProjectCashflows!AP$239</f>
        <v>0</v>
      </c>
      <c r="AQ333" s="140">
        <f ca="1" xml:space="preserve"> ProjectCashflows!AQ$239</f>
        <v>0</v>
      </c>
      <c r="AR333" s="140">
        <f ca="1" xml:space="preserve"> ProjectCashflows!AR$239</f>
        <v>0</v>
      </c>
      <c r="AS333" s="140">
        <f ca="1" xml:space="preserve"> ProjectCashflows!AS$239</f>
        <v>0</v>
      </c>
      <c r="AT333" s="140">
        <f ca="1" xml:space="preserve"> ProjectCashflows!AT$239</f>
        <v>0</v>
      </c>
      <c r="AU333" s="140">
        <f ca="1" xml:space="preserve"> ProjectCashflows!AU$239</f>
        <v>0</v>
      </c>
      <c r="AV333" s="140">
        <f ca="1" xml:space="preserve"> ProjectCashflows!AV$239</f>
        <v>0</v>
      </c>
      <c r="AW333" s="140">
        <f ca="1" xml:space="preserve"> ProjectCashflows!AW$239</f>
        <v>0</v>
      </c>
      <c r="AX333" s="140">
        <f ca="1" xml:space="preserve"> ProjectCashflows!AX$239</f>
        <v>0</v>
      </c>
    </row>
    <row r="334" spans="1:50" ht="15" customHeight="1" x14ac:dyDescent="0.25">
      <c r="A334" s="86"/>
      <c r="B334" s="235"/>
      <c r="C334" s="604"/>
      <c r="D334" s="162"/>
      <c r="E334" s="55" t="str">
        <f>E333 &amp; " " &amp; Translate!E549</f>
        <v>Development costs, after ELT during financing period</v>
      </c>
      <c r="F334" s="64"/>
      <c r="G334" s="55" t="str">
        <f xml:space="preserve"> Translate!E$603</f>
        <v>US$ mn</v>
      </c>
      <c r="H334" s="55"/>
      <c r="I334" s="55">
        <f ca="1" xml:space="preserve"> SUM(K334:AX334)</f>
        <v>5254.0578787199993</v>
      </c>
      <c r="J334" s="55"/>
      <c r="K334" s="55">
        <f t="shared" ref="K334:AX334" ca="1" si="70" xml:space="preserve"> K333 * K325</f>
        <v>0</v>
      </c>
      <c r="L334" s="55">
        <f t="shared" ca="1" si="70"/>
        <v>51</v>
      </c>
      <c r="M334" s="55">
        <f t="shared" ca="1" si="70"/>
        <v>312.12</v>
      </c>
      <c r="N334" s="55">
        <f t="shared" ca="1" si="70"/>
        <v>1273.4495999999999</v>
      </c>
      <c r="O334" s="55">
        <f t="shared" ca="1" si="70"/>
        <v>1298.918592</v>
      </c>
      <c r="P334" s="55">
        <f t="shared" ca="1" si="70"/>
        <v>2318.5696867199999</v>
      </c>
      <c r="Q334" s="55">
        <f t="shared" ca="1" si="70"/>
        <v>0</v>
      </c>
      <c r="R334" s="55">
        <f t="shared" ca="1" si="70"/>
        <v>0</v>
      </c>
      <c r="S334" s="55">
        <f t="shared" ca="1" si="70"/>
        <v>0</v>
      </c>
      <c r="T334" s="55">
        <f t="shared" ca="1" si="70"/>
        <v>0</v>
      </c>
      <c r="U334" s="55">
        <f t="shared" ca="1" si="70"/>
        <v>0</v>
      </c>
      <c r="V334" s="55">
        <f t="shared" ca="1" si="70"/>
        <v>0</v>
      </c>
      <c r="W334" s="55">
        <f t="shared" ca="1" si="70"/>
        <v>0</v>
      </c>
      <c r="X334" s="55">
        <f t="shared" ca="1" si="70"/>
        <v>0</v>
      </c>
      <c r="Y334" s="55">
        <f t="shared" ca="1" si="70"/>
        <v>0</v>
      </c>
      <c r="Z334" s="55">
        <f t="shared" ca="1" si="70"/>
        <v>0</v>
      </c>
      <c r="AA334" s="55">
        <f t="shared" ca="1" si="70"/>
        <v>0</v>
      </c>
      <c r="AB334" s="55">
        <f t="shared" ca="1" si="70"/>
        <v>0</v>
      </c>
      <c r="AC334" s="55">
        <f t="shared" ca="1" si="70"/>
        <v>0</v>
      </c>
      <c r="AD334" s="55">
        <f t="shared" ca="1" si="70"/>
        <v>0</v>
      </c>
      <c r="AE334" s="55">
        <f t="shared" ca="1" si="70"/>
        <v>0</v>
      </c>
      <c r="AF334" s="55">
        <f t="shared" ca="1" si="70"/>
        <v>0</v>
      </c>
      <c r="AG334" s="55">
        <f t="shared" ca="1" si="70"/>
        <v>0</v>
      </c>
      <c r="AH334" s="55">
        <f t="shared" ca="1" si="70"/>
        <v>0</v>
      </c>
      <c r="AI334" s="55">
        <f t="shared" ca="1" si="70"/>
        <v>0</v>
      </c>
      <c r="AJ334" s="55">
        <f t="shared" ca="1" si="70"/>
        <v>0</v>
      </c>
      <c r="AK334" s="55">
        <f t="shared" ca="1" si="70"/>
        <v>0</v>
      </c>
      <c r="AL334" s="55">
        <f t="shared" ca="1" si="70"/>
        <v>0</v>
      </c>
      <c r="AM334" s="55">
        <f t="shared" ca="1" si="70"/>
        <v>0</v>
      </c>
      <c r="AN334" s="55">
        <f t="shared" ca="1" si="70"/>
        <v>0</v>
      </c>
      <c r="AO334" s="55">
        <f t="shared" ca="1" si="70"/>
        <v>0</v>
      </c>
      <c r="AP334" s="55">
        <f t="shared" ca="1" si="70"/>
        <v>0</v>
      </c>
      <c r="AQ334" s="55">
        <f t="shared" ca="1" si="70"/>
        <v>0</v>
      </c>
      <c r="AR334" s="55">
        <f t="shared" ca="1" si="70"/>
        <v>0</v>
      </c>
      <c r="AS334" s="55">
        <f t="shared" ca="1" si="70"/>
        <v>0</v>
      </c>
      <c r="AT334" s="55">
        <f t="shared" ca="1" si="70"/>
        <v>0</v>
      </c>
      <c r="AU334" s="55">
        <f t="shared" ca="1" si="70"/>
        <v>0</v>
      </c>
      <c r="AV334" s="55">
        <f t="shared" ca="1" si="70"/>
        <v>0</v>
      </c>
      <c r="AW334" s="55">
        <f t="shared" ca="1" si="70"/>
        <v>0</v>
      </c>
      <c r="AX334" s="55">
        <f t="shared" ca="1" si="70"/>
        <v>0</v>
      </c>
    </row>
    <row r="335" spans="1:50" ht="15" customHeight="1" x14ac:dyDescent="0.25">
      <c r="A335" s="86"/>
      <c r="B335" s="677"/>
      <c r="C335" s="604"/>
      <c r="D335" s="217"/>
      <c r="E335" s="402" t="str">
        <f xml:space="preserve"> FiscalModel!E$86</f>
        <v>Proportion development costs borrowed</v>
      </c>
      <c r="F335" s="534">
        <f xml:space="preserve"> FiscalModel!F$86</f>
        <v>0.7</v>
      </c>
      <c r="G335" s="402" t="str">
        <f xml:space="preserve"> FiscalModel!G$86</f>
        <v>%</v>
      </c>
      <c r="H335" s="13"/>
      <c r="I335" s="217"/>
      <c r="J335" s="237"/>
      <c r="K335" s="98"/>
      <c r="L335" s="98"/>
      <c r="M335" s="98"/>
      <c r="N335" s="98"/>
      <c r="O335" s="98"/>
      <c r="P335" s="98"/>
      <c r="Q335" s="98"/>
      <c r="R335" s="98"/>
      <c r="S335" s="98"/>
      <c r="T335" s="98"/>
      <c r="U335" s="98"/>
      <c r="V335" s="98"/>
      <c r="W335" s="98"/>
      <c r="X335" s="98"/>
      <c r="Y335" s="98"/>
      <c r="Z335" s="98"/>
      <c r="AA335" s="98"/>
      <c r="AB335" s="98"/>
      <c r="AC335" s="98"/>
      <c r="AD335" s="98"/>
      <c r="AE335" s="98"/>
      <c r="AF335" s="98"/>
      <c r="AG335" s="98"/>
      <c r="AH335" s="98"/>
      <c r="AI335" s="98"/>
      <c r="AJ335" s="98"/>
      <c r="AK335" s="98"/>
      <c r="AL335" s="98"/>
      <c r="AM335" s="98"/>
      <c r="AN335" s="98"/>
      <c r="AO335" s="98"/>
      <c r="AP335" s="98"/>
      <c r="AQ335" s="98"/>
      <c r="AR335" s="98"/>
      <c r="AS335" s="98"/>
      <c r="AT335" s="98"/>
      <c r="AU335" s="98"/>
      <c r="AV335" s="98"/>
      <c r="AW335" s="98"/>
      <c r="AX335" s="98"/>
    </row>
    <row r="336" spans="1:50" s="7" customFormat="1" ht="15" customHeight="1" x14ac:dyDescent="0.25">
      <c r="A336" s="70"/>
      <c r="B336" s="689"/>
      <c r="C336" s="612"/>
      <c r="D336" s="238"/>
      <c r="E336" s="190" t="str">
        <f xml:space="preserve"> Translate!E$260</f>
        <v>Loan drawdowns (mid-period)</v>
      </c>
      <c r="F336" s="242"/>
      <c r="G336" s="190" t="str">
        <f xml:space="preserve"> Translate!E$603</f>
        <v>US$ mn</v>
      </c>
      <c r="H336" s="190"/>
      <c r="I336" s="190">
        <f ca="1" xml:space="preserve"> SUM(K336:AX336)</f>
        <v>3677.8405151039997</v>
      </c>
      <c r="J336" s="190"/>
      <c r="K336" s="190">
        <f t="shared" ref="K336:AX336" ca="1" si="71" xml:space="preserve"> K334 * $F335</f>
        <v>0</v>
      </c>
      <c r="L336" s="190">
        <f t="shared" ca="1" si="71"/>
        <v>35.699999999999996</v>
      </c>
      <c r="M336" s="190">
        <f t="shared" ca="1" si="71"/>
        <v>218.48399999999998</v>
      </c>
      <c r="N336" s="190">
        <f t="shared" ca="1" si="71"/>
        <v>891.41471999999987</v>
      </c>
      <c r="O336" s="190">
        <f t="shared" ca="1" si="71"/>
        <v>909.24301439999988</v>
      </c>
      <c r="P336" s="190">
        <f t="shared" ca="1" si="71"/>
        <v>1622.998780704</v>
      </c>
      <c r="Q336" s="190">
        <f t="shared" ca="1" si="71"/>
        <v>0</v>
      </c>
      <c r="R336" s="190">
        <f t="shared" ca="1" si="71"/>
        <v>0</v>
      </c>
      <c r="S336" s="190">
        <f t="shared" ca="1" si="71"/>
        <v>0</v>
      </c>
      <c r="T336" s="190">
        <f t="shared" ca="1" si="71"/>
        <v>0</v>
      </c>
      <c r="U336" s="190">
        <f t="shared" ca="1" si="71"/>
        <v>0</v>
      </c>
      <c r="V336" s="190">
        <f t="shared" ca="1" si="71"/>
        <v>0</v>
      </c>
      <c r="W336" s="190">
        <f t="shared" ca="1" si="71"/>
        <v>0</v>
      </c>
      <c r="X336" s="190">
        <f t="shared" ca="1" si="71"/>
        <v>0</v>
      </c>
      <c r="Y336" s="190">
        <f t="shared" ca="1" si="71"/>
        <v>0</v>
      </c>
      <c r="Z336" s="190">
        <f t="shared" ca="1" si="71"/>
        <v>0</v>
      </c>
      <c r="AA336" s="190">
        <f t="shared" ca="1" si="71"/>
        <v>0</v>
      </c>
      <c r="AB336" s="190">
        <f t="shared" ca="1" si="71"/>
        <v>0</v>
      </c>
      <c r="AC336" s="190">
        <f t="shared" ca="1" si="71"/>
        <v>0</v>
      </c>
      <c r="AD336" s="190">
        <f t="shared" ca="1" si="71"/>
        <v>0</v>
      </c>
      <c r="AE336" s="190">
        <f t="shared" ca="1" si="71"/>
        <v>0</v>
      </c>
      <c r="AF336" s="190">
        <f t="shared" ca="1" si="71"/>
        <v>0</v>
      </c>
      <c r="AG336" s="190">
        <f t="shared" ca="1" si="71"/>
        <v>0</v>
      </c>
      <c r="AH336" s="190">
        <f t="shared" ca="1" si="71"/>
        <v>0</v>
      </c>
      <c r="AI336" s="190">
        <f t="shared" ca="1" si="71"/>
        <v>0</v>
      </c>
      <c r="AJ336" s="190">
        <f t="shared" ca="1" si="71"/>
        <v>0</v>
      </c>
      <c r="AK336" s="190">
        <f t="shared" ca="1" si="71"/>
        <v>0</v>
      </c>
      <c r="AL336" s="190">
        <f t="shared" ca="1" si="71"/>
        <v>0</v>
      </c>
      <c r="AM336" s="190">
        <f t="shared" ca="1" si="71"/>
        <v>0</v>
      </c>
      <c r="AN336" s="190">
        <f t="shared" ca="1" si="71"/>
        <v>0</v>
      </c>
      <c r="AO336" s="190">
        <f t="shared" ca="1" si="71"/>
        <v>0</v>
      </c>
      <c r="AP336" s="190">
        <f t="shared" ca="1" si="71"/>
        <v>0</v>
      </c>
      <c r="AQ336" s="190">
        <f t="shared" ca="1" si="71"/>
        <v>0</v>
      </c>
      <c r="AR336" s="190">
        <f t="shared" ca="1" si="71"/>
        <v>0</v>
      </c>
      <c r="AS336" s="190">
        <f t="shared" ca="1" si="71"/>
        <v>0</v>
      </c>
      <c r="AT336" s="190">
        <f t="shared" ca="1" si="71"/>
        <v>0</v>
      </c>
      <c r="AU336" s="190">
        <f t="shared" ca="1" si="71"/>
        <v>0</v>
      </c>
      <c r="AV336" s="190">
        <f t="shared" ca="1" si="71"/>
        <v>0</v>
      </c>
      <c r="AW336" s="190">
        <f t="shared" ca="1" si="71"/>
        <v>0</v>
      </c>
      <c r="AX336" s="190">
        <f t="shared" ca="1" si="71"/>
        <v>0</v>
      </c>
    </row>
    <row r="337" spans="1:50" ht="15" customHeight="1" x14ac:dyDescent="0.25">
      <c r="A337" s="85"/>
      <c r="B337" s="677"/>
      <c r="C337" s="628"/>
      <c r="D337" s="238"/>
      <c r="E337" s="239"/>
      <c r="F337" s="555"/>
      <c r="G337" s="239"/>
      <c r="H337" s="13"/>
      <c r="I337" s="238"/>
      <c r="J337" s="240"/>
      <c r="K337" s="12"/>
      <c r="L337" s="12"/>
      <c r="M337" s="12"/>
      <c r="N337" s="12"/>
      <c r="O337" s="12"/>
      <c r="P337" s="12"/>
      <c r="Q337" s="12"/>
      <c r="R337" s="12"/>
      <c r="S337" s="12"/>
      <c r="T337" s="12"/>
      <c r="U337" s="12"/>
      <c r="V337" s="12"/>
      <c r="W337" s="12"/>
      <c r="X337" s="12"/>
      <c r="Y337" s="12"/>
      <c r="Z337" s="12"/>
      <c r="AA337" s="12"/>
      <c r="AB337" s="12"/>
      <c r="AC337" s="12"/>
      <c r="AD337" s="12"/>
      <c r="AE337" s="12"/>
      <c r="AF337" s="12"/>
      <c r="AG337" s="12"/>
      <c r="AH337" s="12"/>
      <c r="AI337" s="12"/>
      <c r="AJ337" s="12"/>
      <c r="AK337" s="12"/>
      <c r="AL337" s="12"/>
      <c r="AM337" s="12"/>
      <c r="AN337" s="12"/>
      <c r="AO337" s="12"/>
      <c r="AP337" s="12"/>
      <c r="AQ337" s="12"/>
      <c r="AR337" s="12"/>
      <c r="AS337" s="12"/>
      <c r="AT337" s="12"/>
      <c r="AU337" s="12"/>
      <c r="AV337" s="12"/>
      <c r="AW337" s="12"/>
      <c r="AX337" s="12"/>
    </row>
    <row r="338" spans="1:50" ht="15" customHeight="1" x14ac:dyDescent="0.25">
      <c r="A338" s="85"/>
      <c r="B338" s="677" t="str">
        <f>Translate!$E$426</f>
        <v>Loan account</v>
      </c>
      <c r="C338" s="628"/>
      <c r="D338" s="238"/>
      <c r="E338" s="239"/>
      <c r="F338" s="555"/>
      <c r="G338" s="239"/>
      <c r="H338" s="13"/>
      <c r="I338" s="238"/>
      <c r="J338" s="240"/>
      <c r="K338" s="12"/>
      <c r="L338" s="12"/>
      <c r="M338" s="12"/>
      <c r="N338" s="12"/>
      <c r="O338" s="12"/>
      <c r="P338" s="12"/>
      <c r="Q338" s="12"/>
      <c r="R338" s="12"/>
      <c r="S338" s="12"/>
      <c r="T338" s="12"/>
      <c r="U338" s="12"/>
      <c r="V338" s="12"/>
      <c r="W338" s="12"/>
      <c r="X338" s="12"/>
      <c r="Y338" s="12"/>
      <c r="Z338" s="12"/>
      <c r="AA338" s="12"/>
      <c r="AB338" s="12"/>
      <c r="AC338" s="12"/>
      <c r="AD338" s="12"/>
      <c r="AE338" s="12"/>
      <c r="AF338" s="12"/>
      <c r="AG338" s="12"/>
      <c r="AH338" s="12"/>
      <c r="AI338" s="12"/>
      <c r="AJ338" s="12"/>
      <c r="AK338" s="12"/>
      <c r="AL338" s="12"/>
      <c r="AM338" s="12"/>
      <c r="AN338" s="12"/>
      <c r="AO338" s="12"/>
      <c r="AP338" s="12"/>
      <c r="AQ338" s="12"/>
      <c r="AR338" s="12"/>
      <c r="AS338" s="12"/>
      <c r="AT338" s="12"/>
      <c r="AU338" s="12"/>
      <c r="AV338" s="12"/>
      <c r="AW338" s="12"/>
      <c r="AX338" s="12"/>
    </row>
    <row r="339" spans="1:50" ht="15" customHeight="1" x14ac:dyDescent="0.25">
      <c r="A339" s="241"/>
      <c r="B339" s="675"/>
      <c r="C339" s="615"/>
      <c r="D339" s="64"/>
      <c r="E339" s="190" t="str">
        <f t="shared" ref="E339:AX339" si="72" xml:space="preserve"> E$330</f>
        <v>Post-financing Production years, after ELT :cumulative</v>
      </c>
      <c r="F339" s="242">
        <f t="shared" si="72"/>
        <v>0</v>
      </c>
      <c r="G339" s="190" t="str">
        <f t="shared" si="72"/>
        <v>Year</v>
      </c>
      <c r="H339" s="190">
        <f t="shared" si="72"/>
        <v>0</v>
      </c>
      <c r="I339" s="190">
        <f t="shared" si="72"/>
        <v>0</v>
      </c>
      <c r="J339" s="190">
        <f t="shared" si="72"/>
        <v>0</v>
      </c>
      <c r="K339" s="190">
        <f t="shared" ca="1" si="72"/>
        <v>0</v>
      </c>
      <c r="L339" s="190">
        <f t="shared" ca="1" si="72"/>
        <v>0</v>
      </c>
      <c r="M339" s="190">
        <f t="shared" ca="1" si="72"/>
        <v>0</v>
      </c>
      <c r="N339" s="190">
        <f t="shared" ca="1" si="72"/>
        <v>0</v>
      </c>
      <c r="O339" s="190">
        <f t="shared" ca="1" si="72"/>
        <v>0</v>
      </c>
      <c r="P339" s="190">
        <f t="shared" ca="1" si="72"/>
        <v>0</v>
      </c>
      <c r="Q339" s="190">
        <f t="shared" ca="1" si="72"/>
        <v>1</v>
      </c>
      <c r="R339" s="190">
        <f t="shared" ca="1" si="72"/>
        <v>2</v>
      </c>
      <c r="S339" s="190">
        <f t="shared" ca="1" si="72"/>
        <v>3</v>
      </c>
      <c r="T339" s="190">
        <f t="shared" ca="1" si="72"/>
        <v>4</v>
      </c>
      <c r="U339" s="190">
        <f t="shared" ca="1" si="72"/>
        <v>5</v>
      </c>
      <c r="V339" s="190">
        <f t="shared" ca="1" si="72"/>
        <v>6</v>
      </c>
      <c r="W339" s="190">
        <f t="shared" ca="1" si="72"/>
        <v>7</v>
      </c>
      <c r="X339" s="190">
        <f t="shared" ca="1" si="72"/>
        <v>8</v>
      </c>
      <c r="Y339" s="190">
        <f t="shared" ca="1" si="72"/>
        <v>9</v>
      </c>
      <c r="Z339" s="190">
        <f t="shared" ca="1" si="72"/>
        <v>10</v>
      </c>
      <c r="AA339" s="190">
        <f t="shared" ca="1" si="72"/>
        <v>11</v>
      </c>
      <c r="AB339" s="190">
        <f t="shared" ca="1" si="72"/>
        <v>12</v>
      </c>
      <c r="AC339" s="190">
        <f t="shared" ca="1" si="72"/>
        <v>13</v>
      </c>
      <c r="AD339" s="190">
        <f t="shared" ca="1" si="72"/>
        <v>14</v>
      </c>
      <c r="AE339" s="190">
        <f t="shared" ca="1" si="72"/>
        <v>15</v>
      </c>
      <c r="AF339" s="190">
        <f t="shared" ca="1" si="72"/>
        <v>16</v>
      </c>
      <c r="AG339" s="190">
        <f t="shared" ca="1" si="72"/>
        <v>17</v>
      </c>
      <c r="AH339" s="190">
        <f t="shared" ca="1" si="72"/>
        <v>18</v>
      </c>
      <c r="AI339" s="190">
        <f t="shared" ca="1" si="72"/>
        <v>19</v>
      </c>
      <c r="AJ339" s="190">
        <f t="shared" ca="1" si="72"/>
        <v>20</v>
      </c>
      <c r="AK339" s="190">
        <f t="shared" ca="1" si="72"/>
        <v>21</v>
      </c>
      <c r="AL339" s="190">
        <f t="shared" ca="1" si="72"/>
        <v>22</v>
      </c>
      <c r="AM339" s="190">
        <f t="shared" ca="1" si="72"/>
        <v>23</v>
      </c>
      <c r="AN339" s="190">
        <f t="shared" ca="1" si="72"/>
        <v>24</v>
      </c>
      <c r="AO339" s="190">
        <f t="shared" ca="1" si="72"/>
        <v>25</v>
      </c>
      <c r="AP339" s="190">
        <f t="shared" ca="1" si="72"/>
        <v>25</v>
      </c>
      <c r="AQ339" s="190">
        <f t="shared" ca="1" si="72"/>
        <v>25</v>
      </c>
      <c r="AR339" s="190">
        <f t="shared" ca="1" si="72"/>
        <v>25</v>
      </c>
      <c r="AS339" s="190">
        <f t="shared" ca="1" si="72"/>
        <v>25</v>
      </c>
      <c r="AT339" s="190">
        <f t="shared" ca="1" si="72"/>
        <v>25</v>
      </c>
      <c r="AU339" s="190">
        <f t="shared" ca="1" si="72"/>
        <v>25</v>
      </c>
      <c r="AV339" s="190">
        <f t="shared" ca="1" si="72"/>
        <v>25</v>
      </c>
      <c r="AW339" s="190">
        <f t="shared" ca="1" si="72"/>
        <v>25</v>
      </c>
      <c r="AX339" s="190">
        <f t="shared" ca="1" si="72"/>
        <v>25</v>
      </c>
    </row>
    <row r="340" spans="1:50" ht="15" customHeight="1" x14ac:dyDescent="0.25">
      <c r="A340" s="86"/>
      <c r="B340" s="677"/>
      <c r="C340" s="604"/>
      <c r="D340" s="217"/>
      <c r="E340" s="490" t="str">
        <f xml:space="preserve"> FiscalModel!E$87</f>
        <v>Repayment period (yrs after financing period)</v>
      </c>
      <c r="F340" s="408">
        <f xml:space="preserve"> FiscalModel!F$87</f>
        <v>10</v>
      </c>
      <c r="G340" s="490" t="str">
        <f xml:space="preserve"> FiscalModel!G$87</f>
        <v>Year</v>
      </c>
      <c r="H340" s="190"/>
      <c r="I340" s="190"/>
      <c r="J340" s="190"/>
      <c r="K340" s="190"/>
      <c r="L340" s="190"/>
      <c r="M340" s="190"/>
      <c r="N340" s="190"/>
      <c r="O340" s="190"/>
      <c r="P340" s="190"/>
      <c r="Q340" s="190"/>
      <c r="R340" s="190"/>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row>
    <row r="341" spans="1:50" ht="15" customHeight="1" x14ac:dyDescent="0.25">
      <c r="A341" s="45"/>
      <c r="B341" s="675"/>
      <c r="C341" s="629"/>
      <c r="D341" s="242"/>
      <c r="E341" s="190" t="str">
        <f xml:space="preserve"> Translate!E$261</f>
        <v>Loan repayment flag</v>
      </c>
      <c r="F341" s="242"/>
      <c r="G341" s="190" t="str">
        <f>Translate!$E$405</f>
        <v>Flag</v>
      </c>
      <c r="H341" s="190"/>
      <c r="I341" s="190">
        <f ca="1" xml:space="preserve"> SUM(K341:AX341)</f>
        <v>10</v>
      </c>
      <c r="J341" s="190"/>
      <c r="K341" s="190">
        <f t="shared" ref="K341:AX341" ca="1" si="73" xml:space="preserve"> AND( K339 &gt;0, K339 &lt;= $F340) * 1</f>
        <v>0</v>
      </c>
      <c r="L341" s="190">
        <f t="shared" ca="1" si="73"/>
        <v>0</v>
      </c>
      <c r="M341" s="190">
        <f t="shared" ca="1" si="73"/>
        <v>0</v>
      </c>
      <c r="N341" s="190">
        <f t="shared" ca="1" si="73"/>
        <v>0</v>
      </c>
      <c r="O341" s="190">
        <f t="shared" ca="1" si="73"/>
        <v>0</v>
      </c>
      <c r="P341" s="190">
        <f t="shared" ca="1" si="73"/>
        <v>0</v>
      </c>
      <c r="Q341" s="190">
        <f t="shared" ca="1" si="73"/>
        <v>1</v>
      </c>
      <c r="R341" s="190">
        <f t="shared" ca="1" si="73"/>
        <v>1</v>
      </c>
      <c r="S341" s="190">
        <f t="shared" ca="1" si="73"/>
        <v>1</v>
      </c>
      <c r="T341" s="190">
        <f t="shared" ca="1" si="73"/>
        <v>1</v>
      </c>
      <c r="U341" s="190">
        <f t="shared" ca="1" si="73"/>
        <v>1</v>
      </c>
      <c r="V341" s="190">
        <f t="shared" ca="1" si="73"/>
        <v>1</v>
      </c>
      <c r="W341" s="190">
        <f t="shared" ca="1" si="73"/>
        <v>1</v>
      </c>
      <c r="X341" s="190">
        <f t="shared" ca="1" si="73"/>
        <v>1</v>
      </c>
      <c r="Y341" s="190">
        <f t="shared" ca="1" si="73"/>
        <v>1</v>
      </c>
      <c r="Z341" s="190">
        <f t="shared" ca="1" si="73"/>
        <v>1</v>
      </c>
      <c r="AA341" s="190">
        <f t="shared" ca="1" si="73"/>
        <v>0</v>
      </c>
      <c r="AB341" s="190">
        <f t="shared" ca="1" si="73"/>
        <v>0</v>
      </c>
      <c r="AC341" s="190">
        <f t="shared" ca="1" si="73"/>
        <v>0</v>
      </c>
      <c r="AD341" s="190">
        <f t="shared" ca="1" si="73"/>
        <v>0</v>
      </c>
      <c r="AE341" s="190">
        <f t="shared" ca="1" si="73"/>
        <v>0</v>
      </c>
      <c r="AF341" s="190">
        <f t="shared" ca="1" si="73"/>
        <v>0</v>
      </c>
      <c r="AG341" s="190">
        <f t="shared" ca="1" si="73"/>
        <v>0</v>
      </c>
      <c r="AH341" s="190">
        <f t="shared" ca="1" si="73"/>
        <v>0</v>
      </c>
      <c r="AI341" s="190">
        <f t="shared" ca="1" si="73"/>
        <v>0</v>
      </c>
      <c r="AJ341" s="190">
        <f t="shared" ca="1" si="73"/>
        <v>0</v>
      </c>
      <c r="AK341" s="190">
        <f t="shared" ca="1" si="73"/>
        <v>0</v>
      </c>
      <c r="AL341" s="190">
        <f t="shared" ca="1" si="73"/>
        <v>0</v>
      </c>
      <c r="AM341" s="190">
        <f t="shared" ca="1" si="73"/>
        <v>0</v>
      </c>
      <c r="AN341" s="190">
        <f t="shared" ca="1" si="73"/>
        <v>0</v>
      </c>
      <c r="AO341" s="190">
        <f t="shared" ca="1" si="73"/>
        <v>0</v>
      </c>
      <c r="AP341" s="190">
        <f t="shared" ca="1" si="73"/>
        <v>0</v>
      </c>
      <c r="AQ341" s="190">
        <f t="shared" ca="1" si="73"/>
        <v>0</v>
      </c>
      <c r="AR341" s="190">
        <f t="shared" ca="1" si="73"/>
        <v>0</v>
      </c>
      <c r="AS341" s="190">
        <f t="shared" ca="1" si="73"/>
        <v>0</v>
      </c>
      <c r="AT341" s="190">
        <f t="shared" ca="1" si="73"/>
        <v>0</v>
      </c>
      <c r="AU341" s="190">
        <f t="shared" ca="1" si="73"/>
        <v>0</v>
      </c>
      <c r="AV341" s="190">
        <f t="shared" ca="1" si="73"/>
        <v>0</v>
      </c>
      <c r="AW341" s="190">
        <f t="shared" ca="1" si="73"/>
        <v>0</v>
      </c>
      <c r="AX341" s="190">
        <f t="shared" ca="1" si="73"/>
        <v>0</v>
      </c>
    </row>
    <row r="342" spans="1:50" ht="15" customHeight="1" x14ac:dyDescent="0.25">
      <c r="A342" s="85"/>
      <c r="B342" s="677"/>
      <c r="C342" s="628"/>
      <c r="D342" s="238"/>
      <c r="E342" s="239" t="str">
        <f xml:space="preserve"> Translate!E$262</f>
        <v>Proportion of remaining loan balance to be paid</v>
      </c>
      <c r="F342" s="555"/>
      <c r="G342" s="239" t="s">
        <v>24</v>
      </c>
      <c r="H342" s="13"/>
      <c r="I342" s="238"/>
      <c r="J342" s="240"/>
      <c r="K342" s="239">
        <f ca="1" xml:space="preserve"> IFERROR( K341 / SUM(K341:$AX341), 0 )</f>
        <v>0</v>
      </c>
      <c r="L342" s="239">
        <f ca="1" xml:space="preserve"> IFERROR( L341 / SUM(L341:$AX341), 0 )</f>
        <v>0</v>
      </c>
      <c r="M342" s="239">
        <f ca="1" xml:space="preserve"> IFERROR( M341 / SUM(M341:$AX341), 0 )</f>
        <v>0</v>
      </c>
      <c r="N342" s="239">
        <f ca="1" xml:space="preserve"> IFERROR( N341 / SUM(N341:$AX341), 0 )</f>
        <v>0</v>
      </c>
      <c r="O342" s="239">
        <f ca="1" xml:space="preserve"> IFERROR( O341 / SUM(O341:$AX341), 0 )</f>
        <v>0</v>
      </c>
      <c r="P342" s="239">
        <f ca="1" xml:space="preserve"> IFERROR( P341 / SUM(P341:$AX341), 0 )</f>
        <v>0</v>
      </c>
      <c r="Q342" s="239">
        <f ca="1" xml:space="preserve"> IFERROR( Q341 / SUM(Q341:$AX341), 0 )</f>
        <v>0.1</v>
      </c>
      <c r="R342" s="239">
        <f ca="1" xml:space="preserve"> IFERROR( R341 / SUM(R341:$AX341), 0 )</f>
        <v>0.1111111111111111</v>
      </c>
      <c r="S342" s="239">
        <f ca="1" xml:space="preserve"> IFERROR( S341 / SUM(S341:$AX341), 0 )</f>
        <v>0.125</v>
      </c>
      <c r="T342" s="239">
        <f ca="1" xml:space="preserve"> IFERROR( T341 / SUM(T341:$AX341), 0 )</f>
        <v>0.14285714285714285</v>
      </c>
      <c r="U342" s="239">
        <f ca="1" xml:space="preserve"> IFERROR( U341 / SUM(U341:$AX341), 0 )</f>
        <v>0.16666666666666666</v>
      </c>
      <c r="V342" s="239">
        <f ca="1" xml:space="preserve"> IFERROR( V341 / SUM(V341:$AX341), 0 )</f>
        <v>0.2</v>
      </c>
      <c r="W342" s="239">
        <f ca="1" xml:space="preserve"> IFERROR( W341 / SUM(W341:$AX341), 0 )</f>
        <v>0.25</v>
      </c>
      <c r="X342" s="239">
        <f ca="1" xml:space="preserve"> IFERROR( X341 / SUM(X341:$AX341), 0 )</f>
        <v>0.33333333333333331</v>
      </c>
      <c r="Y342" s="239">
        <f ca="1" xml:space="preserve"> IFERROR( Y341 / SUM(Y341:$AX341), 0 )</f>
        <v>0.5</v>
      </c>
      <c r="Z342" s="239">
        <f ca="1" xml:space="preserve"> IFERROR( Z341 / SUM(Z341:$AX341), 0 )</f>
        <v>1</v>
      </c>
      <c r="AA342" s="239">
        <f ca="1" xml:space="preserve"> IFERROR( AA341 / SUM(AA341:$AX341), 0 )</f>
        <v>0</v>
      </c>
      <c r="AB342" s="239">
        <f ca="1" xml:space="preserve"> IFERROR( AB341 / SUM(AB341:$AX341), 0 )</f>
        <v>0</v>
      </c>
      <c r="AC342" s="239">
        <f ca="1" xml:space="preserve"> IFERROR( AC341 / SUM(AC341:$AX341), 0 )</f>
        <v>0</v>
      </c>
      <c r="AD342" s="239">
        <f ca="1" xml:space="preserve"> IFERROR( AD341 / SUM(AD341:$AX341), 0 )</f>
        <v>0</v>
      </c>
      <c r="AE342" s="239">
        <f ca="1" xml:space="preserve"> IFERROR( AE341 / SUM(AE341:$AX341), 0 )</f>
        <v>0</v>
      </c>
      <c r="AF342" s="239">
        <f ca="1" xml:space="preserve"> IFERROR( AF341 / SUM(AF341:$AX341), 0 )</f>
        <v>0</v>
      </c>
      <c r="AG342" s="239">
        <f ca="1" xml:space="preserve"> IFERROR( AG341 / SUM(AG341:$AX341), 0 )</f>
        <v>0</v>
      </c>
      <c r="AH342" s="239">
        <f ca="1" xml:space="preserve"> IFERROR( AH341 / SUM(AH341:$AX341), 0 )</f>
        <v>0</v>
      </c>
      <c r="AI342" s="239">
        <f ca="1" xml:space="preserve"> IFERROR( AI341 / SUM(AI341:$AX341), 0 )</f>
        <v>0</v>
      </c>
      <c r="AJ342" s="239">
        <f ca="1" xml:space="preserve"> IFERROR( AJ341 / SUM(AJ341:$AX341), 0 )</f>
        <v>0</v>
      </c>
      <c r="AK342" s="239">
        <f ca="1" xml:space="preserve"> IFERROR( AK341 / SUM(AK341:$AX341), 0 )</f>
        <v>0</v>
      </c>
      <c r="AL342" s="239">
        <f ca="1" xml:space="preserve"> IFERROR( AL341 / SUM(AL341:$AX341), 0 )</f>
        <v>0</v>
      </c>
      <c r="AM342" s="239">
        <f ca="1" xml:space="preserve"> IFERROR( AM341 / SUM(AM341:$AX341), 0 )</f>
        <v>0</v>
      </c>
      <c r="AN342" s="239">
        <f ca="1" xml:space="preserve"> IFERROR( AN341 / SUM(AN341:$AX341), 0 )</f>
        <v>0</v>
      </c>
      <c r="AO342" s="239">
        <f ca="1" xml:space="preserve"> IFERROR( AO341 / SUM(AO341:$AX341), 0 )</f>
        <v>0</v>
      </c>
      <c r="AP342" s="239">
        <f ca="1" xml:space="preserve"> IFERROR( AP341 / SUM(AP341:$AX341), 0 )</f>
        <v>0</v>
      </c>
      <c r="AQ342" s="239">
        <f ca="1" xml:space="preserve"> IFERROR( AQ341 / SUM(AQ341:$AX341), 0 )</f>
        <v>0</v>
      </c>
      <c r="AR342" s="239">
        <f ca="1" xml:space="preserve"> IFERROR( AR341 / SUM(AR341:$AX341), 0 )</f>
        <v>0</v>
      </c>
      <c r="AS342" s="239">
        <f ca="1" xml:space="preserve"> IFERROR( AS341 / SUM(AS341:$AX341), 0 )</f>
        <v>0</v>
      </c>
      <c r="AT342" s="239">
        <f ca="1" xml:space="preserve"> IFERROR( AT341 / SUM(AT341:$AX341), 0 )</f>
        <v>0</v>
      </c>
      <c r="AU342" s="239">
        <f ca="1" xml:space="preserve"> IFERROR( AU341 / SUM(AU341:$AX341), 0 )</f>
        <v>0</v>
      </c>
      <c r="AV342" s="239">
        <f ca="1" xml:space="preserve"> IFERROR( AV341 / SUM(AV341:$AX341), 0 )</f>
        <v>0</v>
      </c>
      <c r="AW342" s="239">
        <f ca="1" xml:space="preserve"> IFERROR( AW341 / SUM(AW341:$AX341), 0 )</f>
        <v>0</v>
      </c>
      <c r="AX342" s="239">
        <f ca="1" xml:space="preserve"> IFERROR( AX341 / SUM(AX341:$AX341), 0 )</f>
        <v>0</v>
      </c>
    </row>
    <row r="343" spans="1:50" ht="15" customHeight="1" x14ac:dyDescent="0.25">
      <c r="A343" s="85"/>
      <c r="B343" s="677"/>
      <c r="C343" s="628"/>
      <c r="D343" s="238"/>
      <c r="E343" s="239"/>
      <c r="F343" s="555"/>
      <c r="G343" s="239"/>
      <c r="H343" s="13"/>
      <c r="I343" s="238"/>
      <c r="J343" s="240"/>
      <c r="K343" s="12"/>
      <c r="L343" s="12"/>
      <c r="M343" s="12"/>
      <c r="N343" s="12"/>
      <c r="O343" s="12"/>
      <c r="P343" s="12"/>
      <c r="Q343" s="12"/>
      <c r="R343" s="12"/>
      <c r="S343" s="12"/>
      <c r="T343" s="12"/>
      <c r="U343" s="12"/>
      <c r="V343" s="12"/>
      <c r="W343" s="12"/>
      <c r="X343" s="12"/>
      <c r="Y343" s="12"/>
      <c r="Z343" s="12"/>
      <c r="AA343" s="12"/>
      <c r="AB343" s="12"/>
      <c r="AC343" s="12"/>
      <c r="AD343" s="12"/>
      <c r="AE343" s="12"/>
      <c r="AF343" s="12"/>
      <c r="AG343" s="12"/>
      <c r="AH343" s="12"/>
      <c r="AI343" s="12"/>
      <c r="AJ343" s="12"/>
      <c r="AK343" s="12"/>
      <c r="AL343" s="12"/>
      <c r="AM343" s="12"/>
      <c r="AN343" s="12"/>
      <c r="AO343" s="12"/>
      <c r="AP343" s="12"/>
      <c r="AQ343" s="12"/>
      <c r="AR343" s="12"/>
      <c r="AS343" s="12"/>
      <c r="AT343" s="12"/>
      <c r="AU343" s="12"/>
      <c r="AV343" s="12"/>
      <c r="AW343" s="12"/>
      <c r="AX343" s="12"/>
    </row>
    <row r="344" spans="1:50" ht="15" customHeight="1" x14ac:dyDescent="0.25">
      <c r="A344" s="85"/>
      <c r="B344" s="677"/>
      <c r="C344" s="628"/>
      <c r="D344" s="238"/>
      <c r="E344" s="402" t="str">
        <f xml:space="preserve"> FiscalModel!E$88</f>
        <v>Loan real interest rate</v>
      </c>
      <c r="F344" s="534">
        <f xml:space="preserve"> FiscalModel!F$88</f>
        <v>0.03</v>
      </c>
      <c r="G344" s="402" t="str">
        <f xml:space="preserve"> FiscalModel!G$88</f>
        <v>%</v>
      </c>
      <c r="H344" s="13"/>
      <c r="I344" s="238"/>
      <c r="J344" s="240"/>
      <c r="K344" s="12"/>
      <c r="L344" s="12"/>
      <c r="M344" s="12"/>
      <c r="N344" s="12"/>
      <c r="O344" s="12"/>
      <c r="P344" s="12"/>
      <c r="Q344" s="12"/>
      <c r="R344" s="12"/>
      <c r="S344" s="12"/>
      <c r="T344" s="12"/>
      <c r="U344" s="12"/>
      <c r="V344" s="12"/>
      <c r="W344" s="12"/>
      <c r="X344" s="12"/>
      <c r="Y344" s="12"/>
      <c r="Z344" s="12"/>
      <c r="AA344" s="12"/>
      <c r="AB344" s="12"/>
      <c r="AC344" s="12"/>
      <c r="AD344" s="12"/>
      <c r="AE344" s="12"/>
      <c r="AF344" s="12"/>
      <c r="AG344" s="12"/>
      <c r="AH344" s="12"/>
      <c r="AI344" s="12"/>
      <c r="AJ344" s="12"/>
      <c r="AK344" s="12"/>
      <c r="AL344" s="12"/>
      <c r="AM344" s="12"/>
      <c r="AN344" s="12"/>
      <c r="AO344" s="12"/>
      <c r="AP344" s="12"/>
      <c r="AQ344" s="12"/>
      <c r="AR344" s="12"/>
      <c r="AS344" s="12"/>
      <c r="AT344" s="12"/>
      <c r="AU344" s="12"/>
      <c r="AV344" s="12"/>
      <c r="AW344" s="12"/>
      <c r="AX344" s="12"/>
    </row>
    <row r="345" spans="1:50" ht="15" customHeight="1" x14ac:dyDescent="0.25">
      <c r="A345" s="85"/>
      <c r="B345" s="677"/>
      <c r="C345" s="628"/>
      <c r="D345" s="238"/>
      <c r="E345" s="141" t="str">
        <f xml:space="preserve"> Inputs!E$45</f>
        <v>Inflation rate</v>
      </c>
      <c r="F345" s="445">
        <f xml:space="preserve"> Inputs!F$45</f>
        <v>0.02</v>
      </c>
      <c r="G345" s="141" t="str">
        <f xml:space="preserve"> Inputs!G$45</f>
        <v>%</v>
      </c>
      <c r="H345" s="13"/>
      <c r="I345" s="238"/>
      <c r="J345" s="240"/>
      <c r="K345" s="12"/>
      <c r="L345" s="12"/>
      <c r="M345" s="12"/>
      <c r="N345" s="12"/>
      <c r="O345" s="12"/>
      <c r="P345" s="12"/>
      <c r="Q345" s="12"/>
      <c r="R345" s="12"/>
      <c r="S345" s="12"/>
      <c r="T345" s="12"/>
      <c r="U345" s="12"/>
      <c r="V345" s="12"/>
      <c r="W345" s="12"/>
      <c r="X345" s="12"/>
      <c r="Y345" s="12"/>
      <c r="Z345" s="12"/>
      <c r="AA345" s="12"/>
      <c r="AB345" s="12"/>
      <c r="AC345" s="12"/>
      <c r="AD345" s="12"/>
      <c r="AE345" s="12"/>
      <c r="AF345" s="12"/>
      <c r="AG345" s="12"/>
      <c r="AH345" s="12"/>
      <c r="AI345" s="12"/>
      <c r="AJ345" s="12"/>
      <c r="AK345" s="12"/>
      <c r="AL345" s="12"/>
      <c r="AM345" s="12"/>
      <c r="AN345" s="12"/>
      <c r="AO345" s="12"/>
      <c r="AP345" s="12"/>
      <c r="AQ345" s="12"/>
      <c r="AR345" s="12"/>
      <c r="AS345" s="12"/>
      <c r="AT345" s="12"/>
      <c r="AU345" s="12"/>
      <c r="AV345" s="12"/>
      <c r="AW345" s="12"/>
      <c r="AX345" s="12"/>
    </row>
    <row r="346" spans="1:50" ht="15" customHeight="1" x14ac:dyDescent="0.25">
      <c r="A346" s="85"/>
      <c r="B346" s="677"/>
      <c r="C346" s="628"/>
      <c r="D346" s="238"/>
      <c r="E346" s="239" t="str">
        <f xml:space="preserve"> Translate!E$263</f>
        <v>Loan nominal interest rate</v>
      </c>
      <c r="F346" s="555">
        <f xml:space="preserve"> ( 1 + F344 ) * ( 1 + F345 ) - 1</f>
        <v>5.0599999999999978E-2</v>
      </c>
      <c r="G346" s="239" t="s">
        <v>24</v>
      </c>
      <c r="H346" s="13"/>
      <c r="I346" s="238"/>
      <c r="J346" s="240"/>
      <c r="K346" s="12"/>
      <c r="L346" s="12"/>
      <c r="M346" s="12"/>
      <c r="N346" s="12"/>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c r="AM346" s="12"/>
      <c r="AN346" s="12"/>
      <c r="AO346" s="12"/>
      <c r="AP346" s="12"/>
      <c r="AQ346" s="12"/>
      <c r="AR346" s="12"/>
      <c r="AS346" s="12"/>
      <c r="AT346" s="12"/>
      <c r="AU346" s="12"/>
      <c r="AV346" s="12"/>
      <c r="AW346" s="12"/>
      <c r="AX346" s="12"/>
    </row>
    <row r="347" spans="1:50" ht="15" customHeight="1" x14ac:dyDescent="0.25">
      <c r="A347" s="85"/>
      <c r="B347" s="677"/>
      <c r="C347" s="628"/>
      <c r="D347" s="238"/>
      <c r="E347" s="239"/>
      <c r="F347" s="555"/>
      <c r="G347" s="239"/>
      <c r="H347" s="13"/>
      <c r="I347" s="238"/>
      <c r="J347" s="240"/>
      <c r="K347" s="12"/>
      <c r="L347" s="12"/>
      <c r="M347" s="12"/>
      <c r="N347" s="12"/>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c r="AM347" s="12"/>
      <c r="AN347" s="12"/>
      <c r="AO347" s="12"/>
      <c r="AP347" s="12"/>
      <c r="AQ347" s="12"/>
      <c r="AR347" s="12"/>
      <c r="AS347" s="12"/>
      <c r="AT347" s="12"/>
      <c r="AU347" s="12"/>
      <c r="AV347" s="12"/>
      <c r="AW347" s="12"/>
      <c r="AX347" s="12"/>
    </row>
    <row r="348" spans="1:50" ht="15" customHeight="1" x14ac:dyDescent="0.25">
      <c r="A348" s="243"/>
      <c r="B348" s="671"/>
      <c r="C348" s="630"/>
      <c r="D348" s="244" t="str">
        <f>Translate!E529</f>
        <v>add</v>
      </c>
      <c r="E348" s="243" t="str">
        <f xml:space="preserve"> Translate!E$264</f>
        <v>Loan account opening balance: BEG</v>
      </c>
      <c r="F348" s="244"/>
      <c r="G348" s="243" t="str">
        <f xml:space="preserve"> Translate!E$603</f>
        <v>US$ mn</v>
      </c>
      <c r="H348" s="243"/>
      <c r="I348" s="243"/>
      <c r="J348" s="243"/>
      <c r="K348" s="243">
        <f t="shared" ref="K348:AX348" si="74" xml:space="preserve"> J354</f>
        <v>0</v>
      </c>
      <c r="L348" s="243">
        <f t="shared" ca="1" si="74"/>
        <v>0</v>
      </c>
      <c r="M348" s="243">
        <f t="shared" ca="1" si="74"/>
        <v>36.603209999999997</v>
      </c>
      <c r="N348" s="243">
        <f t="shared" ca="1" si="74"/>
        <v>262.46697762599996</v>
      </c>
      <c r="O348" s="243">
        <f t="shared" ca="1" si="74"/>
        <v>1189.7153191098755</v>
      </c>
      <c r="P348" s="243">
        <f t="shared" ca="1" si="74"/>
        <v>2182.1617769211553</v>
      </c>
      <c r="Q348" s="243">
        <f t="shared" ca="1" si="74"/>
        <v>3956.6398126891763</v>
      </c>
      <c r="R348" s="243">
        <f t="shared" ca="1" si="74"/>
        <v>3560.9758314202586</v>
      </c>
      <c r="S348" s="243">
        <f t="shared" ca="1" si="74"/>
        <v>3165.3118501513409</v>
      </c>
      <c r="T348" s="243">
        <f t="shared" ca="1" si="74"/>
        <v>2769.6478688824232</v>
      </c>
      <c r="U348" s="243">
        <f t="shared" ca="1" si="74"/>
        <v>2373.9838876135054</v>
      </c>
      <c r="V348" s="243">
        <f t="shared" ca="1" si="74"/>
        <v>1978.3199063445879</v>
      </c>
      <c r="W348" s="243">
        <f t="shared" ca="1" si="74"/>
        <v>1582.6559250756704</v>
      </c>
      <c r="X348" s="243">
        <f t="shared" ca="1" si="74"/>
        <v>1186.9919438067527</v>
      </c>
      <c r="Y348" s="243">
        <f t="shared" ca="1" si="74"/>
        <v>791.32796253783522</v>
      </c>
      <c r="Z348" s="243">
        <f t="shared" ca="1" si="74"/>
        <v>395.66398126891761</v>
      </c>
      <c r="AA348" s="243">
        <f t="shared" ca="1" si="74"/>
        <v>0</v>
      </c>
      <c r="AB348" s="243">
        <f t="shared" ca="1" si="74"/>
        <v>0</v>
      </c>
      <c r="AC348" s="243">
        <f t="shared" ca="1" si="74"/>
        <v>0</v>
      </c>
      <c r="AD348" s="243">
        <f t="shared" ca="1" si="74"/>
        <v>0</v>
      </c>
      <c r="AE348" s="243">
        <f t="shared" ca="1" si="74"/>
        <v>0</v>
      </c>
      <c r="AF348" s="243">
        <f t="shared" ca="1" si="74"/>
        <v>0</v>
      </c>
      <c r="AG348" s="243">
        <f t="shared" ca="1" si="74"/>
        <v>0</v>
      </c>
      <c r="AH348" s="243">
        <f t="shared" ca="1" si="74"/>
        <v>0</v>
      </c>
      <c r="AI348" s="243">
        <f t="shared" ca="1" si="74"/>
        <v>0</v>
      </c>
      <c r="AJ348" s="243">
        <f t="shared" ca="1" si="74"/>
        <v>0</v>
      </c>
      <c r="AK348" s="243">
        <f t="shared" ca="1" si="74"/>
        <v>0</v>
      </c>
      <c r="AL348" s="243">
        <f t="shared" ca="1" si="74"/>
        <v>0</v>
      </c>
      <c r="AM348" s="243">
        <f t="shared" ca="1" si="74"/>
        <v>0</v>
      </c>
      <c r="AN348" s="243">
        <f t="shared" ca="1" si="74"/>
        <v>0</v>
      </c>
      <c r="AO348" s="243">
        <f t="shared" ca="1" si="74"/>
        <v>0</v>
      </c>
      <c r="AP348" s="243">
        <f t="shared" ca="1" si="74"/>
        <v>0</v>
      </c>
      <c r="AQ348" s="243">
        <f t="shared" ca="1" si="74"/>
        <v>0</v>
      </c>
      <c r="AR348" s="243">
        <f t="shared" ca="1" si="74"/>
        <v>0</v>
      </c>
      <c r="AS348" s="243">
        <f t="shared" ca="1" si="74"/>
        <v>0</v>
      </c>
      <c r="AT348" s="243">
        <f t="shared" ca="1" si="74"/>
        <v>0</v>
      </c>
      <c r="AU348" s="243">
        <f t="shared" ca="1" si="74"/>
        <v>0</v>
      </c>
      <c r="AV348" s="243">
        <f t="shared" ca="1" si="74"/>
        <v>0</v>
      </c>
      <c r="AW348" s="243">
        <f t="shared" ca="1" si="74"/>
        <v>0</v>
      </c>
      <c r="AX348" s="243">
        <f t="shared" ca="1" si="74"/>
        <v>0</v>
      </c>
    </row>
    <row r="349" spans="1:50" ht="15" customHeight="1" x14ac:dyDescent="0.25">
      <c r="A349" s="190"/>
      <c r="B349" s="672"/>
      <c r="C349" s="617"/>
      <c r="D349" s="242" t="str">
        <f>Translate!E529</f>
        <v>add</v>
      </c>
      <c r="E349" s="190" t="str">
        <f t="shared" ref="E349:AX349" si="75" xml:space="preserve"> E$336</f>
        <v>Loan drawdowns (mid-period)</v>
      </c>
      <c r="F349" s="242">
        <f t="shared" si="75"/>
        <v>0</v>
      </c>
      <c r="G349" s="190" t="str">
        <f t="shared" si="75"/>
        <v>US$ mn</v>
      </c>
      <c r="H349" s="190">
        <f t="shared" si="75"/>
        <v>0</v>
      </c>
      <c r="I349" s="190">
        <f t="shared" ca="1" si="75"/>
        <v>3677.8405151039997</v>
      </c>
      <c r="J349" s="190">
        <f t="shared" si="75"/>
        <v>0</v>
      </c>
      <c r="K349" s="190">
        <f t="shared" ca="1" si="75"/>
        <v>0</v>
      </c>
      <c r="L349" s="190">
        <f t="shared" ca="1" si="75"/>
        <v>35.699999999999996</v>
      </c>
      <c r="M349" s="190">
        <f t="shared" ca="1" si="75"/>
        <v>218.48399999999998</v>
      </c>
      <c r="N349" s="190">
        <f t="shared" ca="1" si="75"/>
        <v>891.41471999999987</v>
      </c>
      <c r="O349" s="190">
        <f t="shared" ca="1" si="75"/>
        <v>909.24301439999988</v>
      </c>
      <c r="P349" s="190">
        <f t="shared" ca="1" si="75"/>
        <v>1622.998780704</v>
      </c>
      <c r="Q349" s="190">
        <f t="shared" ca="1" si="75"/>
        <v>0</v>
      </c>
      <c r="R349" s="190">
        <f t="shared" ca="1" si="75"/>
        <v>0</v>
      </c>
      <c r="S349" s="190">
        <f t="shared" ca="1" si="75"/>
        <v>0</v>
      </c>
      <c r="T349" s="190">
        <f t="shared" ca="1" si="75"/>
        <v>0</v>
      </c>
      <c r="U349" s="190">
        <f t="shared" ca="1" si="75"/>
        <v>0</v>
      </c>
      <c r="V349" s="190">
        <f t="shared" ca="1" si="75"/>
        <v>0</v>
      </c>
      <c r="W349" s="190">
        <f t="shared" ca="1" si="75"/>
        <v>0</v>
      </c>
      <c r="X349" s="190">
        <f t="shared" ca="1" si="75"/>
        <v>0</v>
      </c>
      <c r="Y349" s="190">
        <f t="shared" ca="1" si="75"/>
        <v>0</v>
      </c>
      <c r="Z349" s="190">
        <f t="shared" ca="1" si="75"/>
        <v>0</v>
      </c>
      <c r="AA349" s="190">
        <f t="shared" ca="1" si="75"/>
        <v>0</v>
      </c>
      <c r="AB349" s="190">
        <f t="shared" ca="1" si="75"/>
        <v>0</v>
      </c>
      <c r="AC349" s="190">
        <f t="shared" ca="1" si="75"/>
        <v>0</v>
      </c>
      <c r="AD349" s="190">
        <f t="shared" ca="1" si="75"/>
        <v>0</v>
      </c>
      <c r="AE349" s="190">
        <f t="shared" ca="1" si="75"/>
        <v>0</v>
      </c>
      <c r="AF349" s="190">
        <f t="shared" ca="1" si="75"/>
        <v>0</v>
      </c>
      <c r="AG349" s="190">
        <f t="shared" ca="1" si="75"/>
        <v>0</v>
      </c>
      <c r="AH349" s="190">
        <f t="shared" ca="1" si="75"/>
        <v>0</v>
      </c>
      <c r="AI349" s="190">
        <f t="shared" ca="1" si="75"/>
        <v>0</v>
      </c>
      <c r="AJ349" s="190">
        <f t="shared" ca="1" si="75"/>
        <v>0</v>
      </c>
      <c r="AK349" s="190">
        <f t="shared" ca="1" si="75"/>
        <v>0</v>
      </c>
      <c r="AL349" s="190">
        <f t="shared" ca="1" si="75"/>
        <v>0</v>
      </c>
      <c r="AM349" s="190">
        <f t="shared" ca="1" si="75"/>
        <v>0</v>
      </c>
      <c r="AN349" s="190">
        <f t="shared" ca="1" si="75"/>
        <v>0</v>
      </c>
      <c r="AO349" s="190">
        <f t="shared" ca="1" si="75"/>
        <v>0</v>
      </c>
      <c r="AP349" s="190">
        <f t="shared" ca="1" si="75"/>
        <v>0</v>
      </c>
      <c r="AQ349" s="190">
        <f t="shared" ca="1" si="75"/>
        <v>0</v>
      </c>
      <c r="AR349" s="190">
        <f t="shared" ca="1" si="75"/>
        <v>0</v>
      </c>
      <c r="AS349" s="190">
        <f t="shared" ca="1" si="75"/>
        <v>0</v>
      </c>
      <c r="AT349" s="190">
        <f t="shared" ca="1" si="75"/>
        <v>0</v>
      </c>
      <c r="AU349" s="190">
        <f t="shared" ca="1" si="75"/>
        <v>0</v>
      </c>
      <c r="AV349" s="190">
        <f t="shared" ca="1" si="75"/>
        <v>0</v>
      </c>
      <c r="AW349" s="190">
        <f t="shared" ca="1" si="75"/>
        <v>0</v>
      </c>
      <c r="AX349" s="190">
        <f t="shared" ca="1" si="75"/>
        <v>0</v>
      </c>
    </row>
    <row r="350" spans="1:50" ht="15" customHeight="1" x14ac:dyDescent="0.25">
      <c r="A350" s="190"/>
      <c r="B350" s="672"/>
      <c r="C350" s="617"/>
      <c r="D350" s="242" t="str">
        <f>Translate!E529</f>
        <v>add</v>
      </c>
      <c r="E350" s="190" t="str">
        <f xml:space="preserve"> Translate!E$265</f>
        <v>Interest charged</v>
      </c>
      <c r="F350" s="242"/>
      <c r="G350" s="190" t="str">
        <f xml:space="preserve"> Translate!E$603</f>
        <v>US$ mn</v>
      </c>
      <c r="H350" s="190"/>
      <c r="I350" s="190">
        <f ca="1" xml:space="preserve"> SUM(K350:AX350)</f>
        <v>1379.9321574565743</v>
      </c>
      <c r="J350" s="190"/>
      <c r="K350" s="190">
        <f ca="1" xml:space="preserve"> (K348 + K349 / 2) * $F346</f>
        <v>0</v>
      </c>
      <c r="L350" s="190">
        <f t="shared" ref="L350:AX350" ca="1" si="76" xml:space="preserve"> (L348 + L349 / 2) * $F346</f>
        <v>0.90320999999999951</v>
      </c>
      <c r="M350" s="190">
        <f t="shared" ca="1" si="76"/>
        <v>7.379767625999996</v>
      </c>
      <c r="N350" s="190">
        <f t="shared" ca="1" si="76"/>
        <v>35.833621483875582</v>
      </c>
      <c r="O350" s="190">
        <f t="shared" ca="1" si="76"/>
        <v>83.203443411279665</v>
      </c>
      <c r="P350" s="190">
        <f t="shared" ca="1" si="76"/>
        <v>151.47925506402157</v>
      </c>
      <c r="Q350" s="190">
        <f t="shared" ca="1" si="76"/>
        <v>200.20597452207224</v>
      </c>
      <c r="R350" s="190">
        <f t="shared" ca="1" si="76"/>
        <v>180.18537706986501</v>
      </c>
      <c r="S350" s="190">
        <f t="shared" ca="1" si="76"/>
        <v>160.16477961765779</v>
      </c>
      <c r="T350" s="190">
        <f t="shared" ca="1" si="76"/>
        <v>140.14418216545056</v>
      </c>
      <c r="U350" s="190">
        <f t="shared" ca="1" si="76"/>
        <v>120.12358471324332</v>
      </c>
      <c r="V350" s="190">
        <f t="shared" ca="1" si="76"/>
        <v>100.10298726103611</v>
      </c>
      <c r="W350" s="190">
        <f t="shared" ca="1" si="76"/>
        <v>80.082389808828893</v>
      </c>
      <c r="X350" s="190">
        <f t="shared" ca="1" si="76"/>
        <v>60.061792356621659</v>
      </c>
      <c r="Y350" s="190">
        <f t="shared" ca="1" si="76"/>
        <v>40.041194904414446</v>
      </c>
      <c r="Z350" s="190">
        <f t="shared" ca="1" si="76"/>
        <v>20.020597452207223</v>
      </c>
      <c r="AA350" s="190">
        <f t="shared" ca="1" si="76"/>
        <v>0</v>
      </c>
      <c r="AB350" s="190">
        <f t="shared" ca="1" si="76"/>
        <v>0</v>
      </c>
      <c r="AC350" s="190">
        <f t="shared" ca="1" si="76"/>
        <v>0</v>
      </c>
      <c r="AD350" s="190">
        <f t="shared" ca="1" si="76"/>
        <v>0</v>
      </c>
      <c r="AE350" s="190">
        <f t="shared" ca="1" si="76"/>
        <v>0</v>
      </c>
      <c r="AF350" s="190">
        <f t="shared" ca="1" si="76"/>
        <v>0</v>
      </c>
      <c r="AG350" s="190">
        <f t="shared" ca="1" si="76"/>
        <v>0</v>
      </c>
      <c r="AH350" s="190">
        <f t="shared" ca="1" si="76"/>
        <v>0</v>
      </c>
      <c r="AI350" s="190">
        <f t="shared" ca="1" si="76"/>
        <v>0</v>
      </c>
      <c r="AJ350" s="190">
        <f t="shared" ca="1" si="76"/>
        <v>0</v>
      </c>
      <c r="AK350" s="190">
        <f t="shared" ca="1" si="76"/>
        <v>0</v>
      </c>
      <c r="AL350" s="190">
        <f t="shared" ca="1" si="76"/>
        <v>0</v>
      </c>
      <c r="AM350" s="190">
        <f t="shared" ca="1" si="76"/>
        <v>0</v>
      </c>
      <c r="AN350" s="190">
        <f t="shared" ca="1" si="76"/>
        <v>0</v>
      </c>
      <c r="AO350" s="190">
        <f t="shared" ca="1" si="76"/>
        <v>0</v>
      </c>
      <c r="AP350" s="190">
        <f t="shared" ca="1" si="76"/>
        <v>0</v>
      </c>
      <c r="AQ350" s="190">
        <f t="shared" ca="1" si="76"/>
        <v>0</v>
      </c>
      <c r="AR350" s="190">
        <f t="shared" ca="1" si="76"/>
        <v>0</v>
      </c>
      <c r="AS350" s="190">
        <f t="shared" ca="1" si="76"/>
        <v>0</v>
      </c>
      <c r="AT350" s="190">
        <f t="shared" ca="1" si="76"/>
        <v>0</v>
      </c>
      <c r="AU350" s="190">
        <f t="shared" ca="1" si="76"/>
        <v>0</v>
      </c>
      <c r="AV350" s="190">
        <f t="shared" ca="1" si="76"/>
        <v>0</v>
      </c>
      <c r="AW350" s="190">
        <f t="shared" ca="1" si="76"/>
        <v>0</v>
      </c>
      <c r="AX350" s="190">
        <f t="shared" ca="1" si="76"/>
        <v>0</v>
      </c>
    </row>
    <row r="351" spans="1:50" ht="15" customHeight="1" x14ac:dyDescent="0.25">
      <c r="A351" s="190"/>
      <c r="B351" s="672"/>
      <c r="C351" s="617"/>
      <c r="D351" s="242" t="str">
        <f>Translate!E530</f>
        <v>less</v>
      </c>
      <c r="E351" s="190" t="str">
        <f xml:space="preserve"> Translate!E$266</f>
        <v>Interest payments (end of period)</v>
      </c>
      <c r="F351" s="242"/>
      <c r="G351" s="190" t="str">
        <f xml:space="preserve"> Translate!E$603</f>
        <v>US$ mn</v>
      </c>
      <c r="H351" s="190"/>
      <c r="I351" s="190">
        <f ca="1" xml:space="preserve"> SUM(K351:AX351)</f>
        <v>1101.1328598713974</v>
      </c>
      <c r="J351" s="190"/>
      <c r="K351" s="190">
        <f t="shared" ref="K351:AX351" ca="1" si="77" xml:space="preserve"> K350 * K341</f>
        <v>0</v>
      </c>
      <c r="L351" s="190">
        <f t="shared" ca="1" si="77"/>
        <v>0</v>
      </c>
      <c r="M351" s="190">
        <f t="shared" ca="1" si="77"/>
        <v>0</v>
      </c>
      <c r="N351" s="190">
        <f t="shared" ca="1" si="77"/>
        <v>0</v>
      </c>
      <c r="O351" s="190">
        <f t="shared" ca="1" si="77"/>
        <v>0</v>
      </c>
      <c r="P351" s="190">
        <f t="shared" ca="1" si="77"/>
        <v>0</v>
      </c>
      <c r="Q351" s="190">
        <f t="shared" ca="1" si="77"/>
        <v>200.20597452207224</v>
      </c>
      <c r="R351" s="190">
        <f t="shared" ca="1" si="77"/>
        <v>180.18537706986501</v>
      </c>
      <c r="S351" s="190">
        <f t="shared" ca="1" si="77"/>
        <v>160.16477961765779</v>
      </c>
      <c r="T351" s="190">
        <f t="shared" ca="1" si="77"/>
        <v>140.14418216545056</v>
      </c>
      <c r="U351" s="190">
        <f t="shared" ca="1" si="77"/>
        <v>120.12358471324332</v>
      </c>
      <c r="V351" s="190">
        <f t="shared" ca="1" si="77"/>
        <v>100.10298726103611</v>
      </c>
      <c r="W351" s="190">
        <f t="shared" ca="1" si="77"/>
        <v>80.082389808828893</v>
      </c>
      <c r="X351" s="190">
        <f t="shared" ca="1" si="77"/>
        <v>60.061792356621659</v>
      </c>
      <c r="Y351" s="190">
        <f t="shared" ca="1" si="77"/>
        <v>40.041194904414446</v>
      </c>
      <c r="Z351" s="190">
        <f t="shared" ca="1" si="77"/>
        <v>20.020597452207223</v>
      </c>
      <c r="AA351" s="190">
        <f t="shared" ca="1" si="77"/>
        <v>0</v>
      </c>
      <c r="AB351" s="190">
        <f t="shared" ca="1" si="77"/>
        <v>0</v>
      </c>
      <c r="AC351" s="190">
        <f t="shared" ca="1" si="77"/>
        <v>0</v>
      </c>
      <c r="AD351" s="190">
        <f t="shared" ca="1" si="77"/>
        <v>0</v>
      </c>
      <c r="AE351" s="190">
        <f t="shared" ca="1" si="77"/>
        <v>0</v>
      </c>
      <c r="AF351" s="190">
        <f t="shared" ca="1" si="77"/>
        <v>0</v>
      </c>
      <c r="AG351" s="190">
        <f t="shared" ca="1" si="77"/>
        <v>0</v>
      </c>
      <c r="AH351" s="190">
        <f t="shared" ca="1" si="77"/>
        <v>0</v>
      </c>
      <c r="AI351" s="190">
        <f t="shared" ca="1" si="77"/>
        <v>0</v>
      </c>
      <c r="AJ351" s="190">
        <f t="shared" ca="1" si="77"/>
        <v>0</v>
      </c>
      <c r="AK351" s="190">
        <f t="shared" ca="1" si="77"/>
        <v>0</v>
      </c>
      <c r="AL351" s="190">
        <f t="shared" ca="1" si="77"/>
        <v>0</v>
      </c>
      <c r="AM351" s="190">
        <f t="shared" ca="1" si="77"/>
        <v>0</v>
      </c>
      <c r="AN351" s="190">
        <f t="shared" ca="1" si="77"/>
        <v>0</v>
      </c>
      <c r="AO351" s="190">
        <f t="shared" ca="1" si="77"/>
        <v>0</v>
      </c>
      <c r="AP351" s="190">
        <f t="shared" ca="1" si="77"/>
        <v>0</v>
      </c>
      <c r="AQ351" s="190">
        <f t="shared" ca="1" si="77"/>
        <v>0</v>
      </c>
      <c r="AR351" s="190">
        <f t="shared" ca="1" si="77"/>
        <v>0</v>
      </c>
      <c r="AS351" s="190">
        <f t="shared" ca="1" si="77"/>
        <v>0</v>
      </c>
      <c r="AT351" s="190">
        <f t="shared" ca="1" si="77"/>
        <v>0</v>
      </c>
      <c r="AU351" s="190">
        <f t="shared" ca="1" si="77"/>
        <v>0</v>
      </c>
      <c r="AV351" s="190">
        <f t="shared" ca="1" si="77"/>
        <v>0</v>
      </c>
      <c r="AW351" s="190">
        <f t="shared" ca="1" si="77"/>
        <v>0</v>
      </c>
      <c r="AX351" s="190">
        <f t="shared" ca="1" si="77"/>
        <v>0</v>
      </c>
    </row>
    <row r="352" spans="1:50" ht="15" customHeight="1" x14ac:dyDescent="0.25">
      <c r="A352" s="190"/>
      <c r="B352" s="672"/>
      <c r="C352" s="617"/>
      <c r="D352" s="242"/>
      <c r="E352" s="190" t="str">
        <f xml:space="preserve"> Translate!E$267</f>
        <v>Loan balance to be paid</v>
      </c>
      <c r="F352" s="242"/>
      <c r="G352" s="190" t="str">
        <f xml:space="preserve"> Translate!E$603</f>
        <v>US$ mn</v>
      </c>
      <c r="H352" s="190"/>
      <c r="I352" s="190"/>
      <c r="J352" s="190"/>
      <c r="K352" s="190">
        <f t="shared" ref="K352:AX352" ca="1" si="78" xml:space="preserve"> K348 + K350 + K349 - K351</f>
        <v>0</v>
      </c>
      <c r="L352" s="190">
        <f t="shared" ca="1" si="78"/>
        <v>36.603209999999997</v>
      </c>
      <c r="M352" s="190">
        <f t="shared" ca="1" si="78"/>
        <v>262.46697762599996</v>
      </c>
      <c r="N352" s="190">
        <f t="shared" ca="1" si="78"/>
        <v>1189.7153191098755</v>
      </c>
      <c r="O352" s="190">
        <f t="shared" ca="1" si="78"/>
        <v>2182.1617769211553</v>
      </c>
      <c r="P352" s="190">
        <f t="shared" ca="1" si="78"/>
        <v>3956.6398126891763</v>
      </c>
      <c r="Q352" s="190">
        <f t="shared" ca="1" si="78"/>
        <v>3956.6398126891763</v>
      </c>
      <c r="R352" s="190">
        <f t="shared" ca="1" si="78"/>
        <v>3560.9758314202586</v>
      </c>
      <c r="S352" s="190">
        <f t="shared" ca="1" si="78"/>
        <v>3165.3118501513409</v>
      </c>
      <c r="T352" s="190">
        <f t="shared" ca="1" si="78"/>
        <v>2769.6478688824232</v>
      </c>
      <c r="U352" s="190">
        <f t="shared" ca="1" si="78"/>
        <v>2373.9838876135054</v>
      </c>
      <c r="V352" s="190">
        <f t="shared" ca="1" si="78"/>
        <v>1978.3199063445882</v>
      </c>
      <c r="W352" s="190">
        <f t="shared" ca="1" si="78"/>
        <v>1582.6559250756704</v>
      </c>
      <c r="X352" s="190">
        <f t="shared" ca="1" si="78"/>
        <v>1186.9919438067527</v>
      </c>
      <c r="Y352" s="190">
        <f t="shared" ca="1" si="78"/>
        <v>791.32796253783522</v>
      </c>
      <c r="Z352" s="190">
        <f t="shared" ca="1" si="78"/>
        <v>395.66398126891761</v>
      </c>
      <c r="AA352" s="190">
        <f t="shared" ca="1" si="78"/>
        <v>0</v>
      </c>
      <c r="AB352" s="190">
        <f t="shared" ca="1" si="78"/>
        <v>0</v>
      </c>
      <c r="AC352" s="190">
        <f t="shared" ca="1" si="78"/>
        <v>0</v>
      </c>
      <c r="AD352" s="190">
        <f t="shared" ca="1" si="78"/>
        <v>0</v>
      </c>
      <c r="AE352" s="190">
        <f t="shared" ca="1" si="78"/>
        <v>0</v>
      </c>
      <c r="AF352" s="190">
        <f t="shared" ca="1" si="78"/>
        <v>0</v>
      </c>
      <c r="AG352" s="190">
        <f t="shared" ca="1" si="78"/>
        <v>0</v>
      </c>
      <c r="AH352" s="190">
        <f t="shared" ca="1" si="78"/>
        <v>0</v>
      </c>
      <c r="AI352" s="190">
        <f t="shared" ca="1" si="78"/>
        <v>0</v>
      </c>
      <c r="AJ352" s="190">
        <f t="shared" ca="1" si="78"/>
        <v>0</v>
      </c>
      <c r="AK352" s="190">
        <f t="shared" ca="1" si="78"/>
        <v>0</v>
      </c>
      <c r="AL352" s="190">
        <f t="shared" ca="1" si="78"/>
        <v>0</v>
      </c>
      <c r="AM352" s="190">
        <f t="shared" ca="1" si="78"/>
        <v>0</v>
      </c>
      <c r="AN352" s="190">
        <f t="shared" ca="1" si="78"/>
        <v>0</v>
      </c>
      <c r="AO352" s="190">
        <f t="shared" ca="1" si="78"/>
        <v>0</v>
      </c>
      <c r="AP352" s="190">
        <f t="shared" ca="1" si="78"/>
        <v>0</v>
      </c>
      <c r="AQ352" s="190">
        <f t="shared" ca="1" si="78"/>
        <v>0</v>
      </c>
      <c r="AR352" s="190">
        <f t="shared" ca="1" si="78"/>
        <v>0</v>
      </c>
      <c r="AS352" s="190">
        <f t="shared" ca="1" si="78"/>
        <v>0</v>
      </c>
      <c r="AT352" s="190">
        <f t="shared" ca="1" si="78"/>
        <v>0</v>
      </c>
      <c r="AU352" s="190">
        <f t="shared" ca="1" si="78"/>
        <v>0</v>
      </c>
      <c r="AV352" s="190">
        <f t="shared" ca="1" si="78"/>
        <v>0</v>
      </c>
      <c r="AW352" s="190">
        <f t="shared" ca="1" si="78"/>
        <v>0</v>
      </c>
      <c r="AX352" s="190">
        <f t="shared" ca="1" si="78"/>
        <v>0</v>
      </c>
    </row>
    <row r="353" spans="1:50" ht="15" customHeight="1" x14ac:dyDescent="0.25">
      <c r="A353" s="190"/>
      <c r="B353" s="672"/>
      <c r="C353" s="617"/>
      <c r="D353" s="242" t="str">
        <f>Translate!E530</f>
        <v>less</v>
      </c>
      <c r="E353" s="190" t="str">
        <f xml:space="preserve"> Translate!E$268</f>
        <v>Principal repayments (end of period)</v>
      </c>
      <c r="F353" s="242"/>
      <c r="G353" s="190" t="str">
        <f xml:space="preserve"> Translate!E$603</f>
        <v>US$ mn</v>
      </c>
      <c r="H353" s="190"/>
      <c r="I353" s="190">
        <f ca="1" xml:space="preserve"> SUM(K353:AX353)</f>
        <v>3956.6398126891763</v>
      </c>
      <c r="J353" s="190"/>
      <c r="K353" s="190">
        <f t="shared" ref="K353:AX353" ca="1" si="79" xml:space="preserve"> K352 * K342</f>
        <v>0</v>
      </c>
      <c r="L353" s="190">
        <f t="shared" ca="1" si="79"/>
        <v>0</v>
      </c>
      <c r="M353" s="190">
        <f t="shared" ca="1" si="79"/>
        <v>0</v>
      </c>
      <c r="N353" s="190">
        <f t="shared" ca="1" si="79"/>
        <v>0</v>
      </c>
      <c r="O353" s="190">
        <f t="shared" ca="1" si="79"/>
        <v>0</v>
      </c>
      <c r="P353" s="190">
        <f t="shared" ca="1" si="79"/>
        <v>0</v>
      </c>
      <c r="Q353" s="190">
        <f t="shared" ca="1" si="79"/>
        <v>395.66398126891767</v>
      </c>
      <c r="R353" s="190">
        <f t="shared" ca="1" si="79"/>
        <v>395.66398126891761</v>
      </c>
      <c r="S353" s="190">
        <f t="shared" ca="1" si="79"/>
        <v>395.66398126891761</v>
      </c>
      <c r="T353" s="190">
        <f t="shared" ca="1" si="79"/>
        <v>395.66398126891755</v>
      </c>
      <c r="U353" s="190">
        <f t="shared" ca="1" si="79"/>
        <v>395.66398126891755</v>
      </c>
      <c r="V353" s="190">
        <f t="shared" ca="1" si="79"/>
        <v>395.66398126891767</v>
      </c>
      <c r="W353" s="190">
        <f t="shared" ca="1" si="79"/>
        <v>395.66398126891761</v>
      </c>
      <c r="X353" s="190">
        <f t="shared" ca="1" si="79"/>
        <v>395.66398126891755</v>
      </c>
      <c r="Y353" s="190">
        <f t="shared" ca="1" si="79"/>
        <v>395.66398126891761</v>
      </c>
      <c r="Z353" s="190">
        <f t="shared" ca="1" si="79"/>
        <v>395.66398126891761</v>
      </c>
      <c r="AA353" s="190">
        <f t="shared" ca="1" si="79"/>
        <v>0</v>
      </c>
      <c r="AB353" s="190">
        <f t="shared" ca="1" si="79"/>
        <v>0</v>
      </c>
      <c r="AC353" s="190">
        <f t="shared" ca="1" si="79"/>
        <v>0</v>
      </c>
      <c r="AD353" s="190">
        <f t="shared" ca="1" si="79"/>
        <v>0</v>
      </c>
      <c r="AE353" s="190">
        <f t="shared" ca="1" si="79"/>
        <v>0</v>
      </c>
      <c r="AF353" s="190">
        <f t="shared" ca="1" si="79"/>
        <v>0</v>
      </c>
      <c r="AG353" s="190">
        <f t="shared" ca="1" si="79"/>
        <v>0</v>
      </c>
      <c r="AH353" s="190">
        <f t="shared" ca="1" si="79"/>
        <v>0</v>
      </c>
      <c r="AI353" s="190">
        <f t="shared" ca="1" si="79"/>
        <v>0</v>
      </c>
      <c r="AJ353" s="190">
        <f t="shared" ca="1" si="79"/>
        <v>0</v>
      </c>
      <c r="AK353" s="190">
        <f t="shared" ca="1" si="79"/>
        <v>0</v>
      </c>
      <c r="AL353" s="190">
        <f t="shared" ca="1" si="79"/>
        <v>0</v>
      </c>
      <c r="AM353" s="190">
        <f t="shared" ca="1" si="79"/>
        <v>0</v>
      </c>
      <c r="AN353" s="190">
        <f t="shared" ca="1" si="79"/>
        <v>0</v>
      </c>
      <c r="AO353" s="190">
        <f t="shared" ca="1" si="79"/>
        <v>0</v>
      </c>
      <c r="AP353" s="190">
        <f t="shared" ca="1" si="79"/>
        <v>0</v>
      </c>
      <c r="AQ353" s="190">
        <f t="shared" ca="1" si="79"/>
        <v>0</v>
      </c>
      <c r="AR353" s="190">
        <f t="shared" ca="1" si="79"/>
        <v>0</v>
      </c>
      <c r="AS353" s="190">
        <f t="shared" ca="1" si="79"/>
        <v>0</v>
      </c>
      <c r="AT353" s="190">
        <f t="shared" ca="1" si="79"/>
        <v>0</v>
      </c>
      <c r="AU353" s="190">
        <f t="shared" ca="1" si="79"/>
        <v>0</v>
      </c>
      <c r="AV353" s="190">
        <f t="shared" ca="1" si="79"/>
        <v>0</v>
      </c>
      <c r="AW353" s="190">
        <f t="shared" ca="1" si="79"/>
        <v>0</v>
      </c>
      <c r="AX353" s="190">
        <f t="shared" ca="1" si="79"/>
        <v>0</v>
      </c>
    </row>
    <row r="354" spans="1:50" ht="15" customHeight="1" x14ac:dyDescent="0.25">
      <c r="A354" s="245"/>
      <c r="B354" s="673"/>
      <c r="C354" s="631"/>
      <c r="D354" s="246"/>
      <c r="E354" s="245" t="str">
        <f xml:space="preserve"> Translate!E$269</f>
        <v>Loan closing balance: END</v>
      </c>
      <c r="F354" s="246"/>
      <c r="G354" s="245" t="str">
        <f xml:space="preserve"> Translate!E$603</f>
        <v>US$ mn</v>
      </c>
      <c r="H354" s="245"/>
      <c r="I354" s="245"/>
      <c r="J354" s="247"/>
      <c r="K354" s="245">
        <f t="shared" ref="K354:AX354" ca="1" si="80" xml:space="preserve"> K352 - K353</f>
        <v>0</v>
      </c>
      <c r="L354" s="245">
        <f t="shared" ca="1" si="80"/>
        <v>36.603209999999997</v>
      </c>
      <c r="M354" s="245">
        <f t="shared" ca="1" si="80"/>
        <v>262.46697762599996</v>
      </c>
      <c r="N354" s="245">
        <f t="shared" ca="1" si="80"/>
        <v>1189.7153191098755</v>
      </c>
      <c r="O354" s="245">
        <f t="shared" ca="1" si="80"/>
        <v>2182.1617769211553</v>
      </c>
      <c r="P354" s="245">
        <f t="shared" ca="1" si="80"/>
        <v>3956.6398126891763</v>
      </c>
      <c r="Q354" s="245">
        <f t="shared" ca="1" si="80"/>
        <v>3560.9758314202586</v>
      </c>
      <c r="R354" s="245">
        <f t="shared" ca="1" si="80"/>
        <v>3165.3118501513409</v>
      </c>
      <c r="S354" s="245">
        <f t="shared" ca="1" si="80"/>
        <v>2769.6478688824232</v>
      </c>
      <c r="T354" s="245">
        <f t="shared" ca="1" si="80"/>
        <v>2373.9838876135054</v>
      </c>
      <c r="U354" s="245">
        <f t="shared" ca="1" si="80"/>
        <v>1978.3199063445879</v>
      </c>
      <c r="V354" s="245">
        <f t="shared" ca="1" si="80"/>
        <v>1582.6559250756704</v>
      </c>
      <c r="W354" s="245">
        <f t="shared" ca="1" si="80"/>
        <v>1186.9919438067527</v>
      </c>
      <c r="X354" s="245">
        <f t="shared" ca="1" si="80"/>
        <v>791.32796253783522</v>
      </c>
      <c r="Y354" s="245">
        <f t="shared" ca="1" si="80"/>
        <v>395.66398126891761</v>
      </c>
      <c r="Z354" s="245">
        <f t="shared" ca="1" si="80"/>
        <v>0</v>
      </c>
      <c r="AA354" s="245">
        <f t="shared" ca="1" si="80"/>
        <v>0</v>
      </c>
      <c r="AB354" s="245">
        <f t="shared" ca="1" si="80"/>
        <v>0</v>
      </c>
      <c r="AC354" s="245">
        <f t="shared" ca="1" si="80"/>
        <v>0</v>
      </c>
      <c r="AD354" s="245">
        <f t="shared" ca="1" si="80"/>
        <v>0</v>
      </c>
      <c r="AE354" s="245">
        <f t="shared" ca="1" si="80"/>
        <v>0</v>
      </c>
      <c r="AF354" s="245">
        <f t="shared" ca="1" si="80"/>
        <v>0</v>
      </c>
      <c r="AG354" s="245">
        <f t="shared" ca="1" si="80"/>
        <v>0</v>
      </c>
      <c r="AH354" s="245">
        <f t="shared" ca="1" si="80"/>
        <v>0</v>
      </c>
      <c r="AI354" s="245">
        <f t="shared" ca="1" si="80"/>
        <v>0</v>
      </c>
      <c r="AJ354" s="245">
        <f t="shared" ca="1" si="80"/>
        <v>0</v>
      </c>
      <c r="AK354" s="245">
        <f t="shared" ca="1" si="80"/>
        <v>0</v>
      </c>
      <c r="AL354" s="245">
        <f t="shared" ca="1" si="80"/>
        <v>0</v>
      </c>
      <c r="AM354" s="245">
        <f t="shared" ca="1" si="80"/>
        <v>0</v>
      </c>
      <c r="AN354" s="245">
        <f t="shared" ca="1" si="80"/>
        <v>0</v>
      </c>
      <c r="AO354" s="245">
        <f t="shared" ca="1" si="80"/>
        <v>0</v>
      </c>
      <c r="AP354" s="245">
        <f t="shared" ca="1" si="80"/>
        <v>0</v>
      </c>
      <c r="AQ354" s="245">
        <f t="shared" ca="1" si="80"/>
        <v>0</v>
      </c>
      <c r="AR354" s="245">
        <f t="shared" ca="1" si="80"/>
        <v>0</v>
      </c>
      <c r="AS354" s="245">
        <f t="shared" ca="1" si="80"/>
        <v>0</v>
      </c>
      <c r="AT354" s="245">
        <f t="shared" ca="1" si="80"/>
        <v>0</v>
      </c>
      <c r="AU354" s="245">
        <f t="shared" ca="1" si="80"/>
        <v>0</v>
      </c>
      <c r="AV354" s="245">
        <f t="shared" ca="1" si="80"/>
        <v>0</v>
      </c>
      <c r="AW354" s="245">
        <f t="shared" ca="1" si="80"/>
        <v>0</v>
      </c>
      <c r="AX354" s="245">
        <f t="shared" ca="1" si="80"/>
        <v>0</v>
      </c>
    </row>
    <row r="355" spans="1:50" ht="15" customHeight="1" x14ac:dyDescent="0.25">
      <c r="A355" s="85"/>
      <c r="B355" s="677"/>
      <c r="C355" s="628"/>
      <c r="D355" s="238"/>
      <c r="E355" s="13"/>
      <c r="F355" s="269"/>
      <c r="G355" s="13"/>
      <c r="H355" s="13"/>
      <c r="I355" s="238"/>
      <c r="J355" s="240"/>
      <c r="K355" s="12"/>
      <c r="L355" s="12"/>
      <c r="M355" s="12"/>
      <c r="N355" s="12"/>
      <c r="O355" s="12"/>
      <c r="P355" s="12"/>
      <c r="Q355" s="12"/>
      <c r="R355" s="12"/>
      <c r="S355" s="12"/>
      <c r="T355" s="12"/>
      <c r="U355" s="12"/>
      <c r="V355" s="12"/>
      <c r="W355" s="12"/>
      <c r="X355" s="12"/>
      <c r="Y355" s="12"/>
      <c r="Z355" s="12"/>
      <c r="AA355" s="12"/>
      <c r="AB355" s="12"/>
      <c r="AC355" s="12"/>
      <c r="AD355" s="12"/>
      <c r="AE355" s="12"/>
      <c r="AF355" s="12"/>
      <c r="AG355" s="12"/>
      <c r="AH355" s="12"/>
      <c r="AI355" s="12"/>
      <c r="AJ355" s="12"/>
      <c r="AK355" s="12"/>
      <c r="AL355" s="12"/>
      <c r="AM355" s="12"/>
      <c r="AN355" s="12"/>
      <c r="AO355" s="12"/>
      <c r="AP355" s="12"/>
      <c r="AQ355" s="12"/>
      <c r="AR355" s="12"/>
      <c r="AS355" s="12"/>
      <c r="AT355" s="12"/>
      <c r="AU355" s="12"/>
      <c r="AV355" s="12"/>
      <c r="AW355" s="12"/>
      <c r="AX355" s="12"/>
    </row>
    <row r="356" spans="1:50" ht="15" customHeight="1" x14ac:dyDescent="0.25">
      <c r="A356" s="85"/>
      <c r="B356" s="677"/>
      <c r="C356" s="628"/>
      <c r="D356" s="238"/>
      <c r="E356" s="13" t="str">
        <f>Translate!E$601 &amp; ": "  &amp; E350</f>
        <v>Total: Interest charged</v>
      </c>
      <c r="F356" s="269">
        <f ca="1" xml:space="preserve"> SUM(K350:AX350)</f>
        <v>1379.9321574565743</v>
      </c>
      <c r="G356" s="13" t="str">
        <f xml:space="preserve"> G350</f>
        <v>US$ mn</v>
      </c>
      <c r="H356" s="13"/>
      <c r="I356" s="238"/>
      <c r="J356" s="240"/>
      <c r="K356" s="12"/>
      <c r="L356" s="12"/>
      <c r="M356" s="12"/>
      <c r="N356" s="12"/>
      <c r="O356" s="12"/>
      <c r="P356" s="12"/>
      <c r="Q356" s="12"/>
      <c r="R356" s="12"/>
      <c r="S356" s="12"/>
      <c r="T356" s="12"/>
      <c r="U356" s="12"/>
      <c r="V356" s="12"/>
      <c r="W356" s="12"/>
      <c r="X356" s="12"/>
      <c r="Y356" s="12"/>
      <c r="Z356" s="12"/>
      <c r="AA356" s="12"/>
      <c r="AB356" s="12"/>
      <c r="AC356" s="12"/>
      <c r="AD356" s="12"/>
      <c r="AE356" s="12"/>
      <c r="AF356" s="12"/>
      <c r="AG356" s="12"/>
      <c r="AH356" s="12"/>
      <c r="AI356" s="12"/>
      <c r="AJ356" s="12"/>
      <c r="AK356" s="12"/>
      <c r="AL356" s="12"/>
      <c r="AM356" s="12"/>
      <c r="AN356" s="12"/>
      <c r="AO356" s="12"/>
      <c r="AP356" s="12"/>
      <c r="AQ356" s="12"/>
      <c r="AR356" s="12"/>
      <c r="AS356" s="12"/>
      <c r="AT356" s="12"/>
      <c r="AU356" s="12"/>
      <c r="AV356" s="12"/>
      <c r="AW356" s="12"/>
      <c r="AX356" s="12"/>
    </row>
    <row r="357" spans="1:50" ht="15" customHeight="1" x14ac:dyDescent="0.25">
      <c r="A357" s="85"/>
      <c r="B357" s="677"/>
      <c r="C357" s="628"/>
      <c r="D357" s="238"/>
      <c r="E357" s="13" t="str">
        <f>Translate!E$601 &amp; ": "  &amp; E349</f>
        <v>Total: Loan drawdowns (mid-period)</v>
      </c>
      <c r="F357" s="269">
        <f ca="1" xml:space="preserve"> SUM(K349:AX349)</f>
        <v>3677.8405151039997</v>
      </c>
      <c r="G357" s="13" t="str">
        <f xml:space="preserve"> G349</f>
        <v>US$ mn</v>
      </c>
      <c r="H357" s="13"/>
      <c r="I357" s="238"/>
      <c r="J357" s="240"/>
      <c r="K357" s="12"/>
      <c r="L357" s="12"/>
      <c r="M357" s="12"/>
      <c r="N357" s="12"/>
      <c r="O357" s="12"/>
      <c r="P357" s="12"/>
      <c r="Q357" s="12"/>
      <c r="R357" s="12"/>
      <c r="S357" s="12"/>
      <c r="T357" s="12"/>
      <c r="U357" s="12"/>
      <c r="V357" s="12"/>
      <c r="W357" s="12"/>
      <c r="X357" s="12"/>
      <c r="Y357" s="12"/>
      <c r="Z357" s="12"/>
      <c r="AA357" s="12"/>
      <c r="AB357" s="12"/>
      <c r="AC357" s="12"/>
      <c r="AD357" s="12"/>
      <c r="AE357" s="12"/>
      <c r="AF357" s="12"/>
      <c r="AG357" s="12"/>
      <c r="AH357" s="12"/>
      <c r="AI357" s="12"/>
      <c r="AJ357" s="12"/>
      <c r="AK357" s="12"/>
      <c r="AL357" s="12"/>
      <c r="AM357" s="12"/>
      <c r="AN357" s="12"/>
      <c r="AO357" s="12"/>
      <c r="AP357" s="12"/>
      <c r="AQ357" s="12"/>
      <c r="AR357" s="12"/>
      <c r="AS357" s="12"/>
      <c r="AT357" s="12"/>
      <c r="AU357" s="12"/>
      <c r="AV357" s="12"/>
      <c r="AW357" s="12"/>
      <c r="AX357" s="12"/>
    </row>
    <row r="358" spans="1:50" ht="15" customHeight="1" x14ac:dyDescent="0.25">
      <c r="A358" s="85"/>
      <c r="B358" s="677"/>
      <c r="C358" s="628"/>
      <c r="D358" s="238"/>
      <c r="E358" s="13" t="str">
        <f>Translate!E$601 &amp; ": "  &amp; E351</f>
        <v>Total: Interest payments (end of period)</v>
      </c>
      <c r="F358" s="269">
        <f ca="1" xml:space="preserve"> SUM(K351:AX351)</f>
        <v>1101.1328598713974</v>
      </c>
      <c r="G358" s="13" t="str">
        <f xml:space="preserve"> G351</f>
        <v>US$ mn</v>
      </c>
      <c r="H358" s="13"/>
      <c r="I358" s="238"/>
      <c r="J358" s="240"/>
      <c r="K358" s="12"/>
      <c r="L358" s="12"/>
      <c r="M358" s="12"/>
      <c r="N358" s="12"/>
      <c r="O358" s="12"/>
      <c r="P358" s="12"/>
      <c r="Q358" s="12"/>
      <c r="R358" s="12"/>
      <c r="S358" s="12"/>
      <c r="T358" s="12"/>
      <c r="U358" s="12"/>
      <c r="V358" s="12"/>
      <c r="W358" s="12"/>
      <c r="X358" s="12"/>
      <c r="Y358" s="12"/>
      <c r="Z358" s="12"/>
      <c r="AA358" s="12"/>
      <c r="AB358" s="12"/>
      <c r="AC358" s="12"/>
      <c r="AD358" s="12"/>
      <c r="AE358" s="12"/>
      <c r="AF358" s="12"/>
      <c r="AG358" s="12"/>
      <c r="AH358" s="12"/>
      <c r="AI358" s="12"/>
      <c r="AJ358" s="12"/>
      <c r="AK358" s="12"/>
      <c r="AL358" s="12"/>
      <c r="AM358" s="12"/>
      <c r="AN358" s="12"/>
      <c r="AO358" s="12"/>
      <c r="AP358" s="12"/>
      <c r="AQ358" s="12"/>
      <c r="AR358" s="12"/>
      <c r="AS358" s="12"/>
      <c r="AT358" s="12"/>
      <c r="AU358" s="12"/>
      <c r="AV358" s="12"/>
      <c r="AW358" s="12"/>
      <c r="AX358" s="12"/>
    </row>
    <row r="359" spans="1:50" ht="15" customHeight="1" x14ac:dyDescent="0.25">
      <c r="A359" s="85"/>
      <c r="B359" s="677"/>
      <c r="C359" s="628"/>
      <c r="D359" s="238"/>
      <c r="E359" s="13" t="str">
        <f>Translate!E$601 &amp; ": "  &amp; E353</f>
        <v>Total: Principal repayments (end of period)</v>
      </c>
      <c r="F359" s="269">
        <f ca="1" xml:space="preserve"> SUM(K353:AX353)</f>
        <v>3956.6398126891763</v>
      </c>
      <c r="G359" s="13" t="str">
        <f xml:space="preserve"> G353</f>
        <v>US$ mn</v>
      </c>
      <c r="H359" s="13"/>
      <c r="I359" s="238"/>
      <c r="J359" s="240"/>
      <c r="K359" s="12"/>
      <c r="L359" s="12"/>
      <c r="M359" s="12"/>
      <c r="N359" s="12"/>
      <c r="O359" s="12"/>
      <c r="P359" s="12"/>
      <c r="Q359" s="12"/>
      <c r="R359" s="12"/>
      <c r="S359" s="12"/>
      <c r="T359" s="12"/>
      <c r="U359" s="12"/>
      <c r="V359" s="12"/>
      <c r="W359" s="12"/>
      <c r="X359" s="12"/>
      <c r="Y359" s="12"/>
      <c r="Z359" s="12"/>
      <c r="AA359" s="12"/>
      <c r="AB359" s="12"/>
      <c r="AC359" s="12"/>
      <c r="AD359" s="12"/>
      <c r="AE359" s="12"/>
      <c r="AF359" s="12"/>
      <c r="AG359" s="12"/>
      <c r="AH359" s="12"/>
      <c r="AI359" s="12"/>
      <c r="AJ359" s="12"/>
      <c r="AK359" s="12"/>
      <c r="AL359" s="12"/>
      <c r="AM359" s="12"/>
      <c r="AN359" s="12"/>
      <c r="AO359" s="12"/>
      <c r="AP359" s="12"/>
      <c r="AQ359" s="12"/>
      <c r="AR359" s="12"/>
      <c r="AS359" s="12"/>
      <c r="AT359" s="12"/>
      <c r="AU359" s="12"/>
      <c r="AV359" s="12"/>
      <c r="AW359" s="12"/>
      <c r="AX359" s="12"/>
    </row>
    <row r="360" spans="1:50" ht="15" customHeight="1" x14ac:dyDescent="0.25">
      <c r="A360" s="85"/>
      <c r="B360" s="677"/>
      <c r="C360" s="628"/>
      <c r="D360" s="238"/>
      <c r="E360" s="13" t="str">
        <f xml:space="preserve"> Translate!E$755 &amp; " " &amp; Translate!E$427</f>
        <v>Check:  Loan cashflows</v>
      </c>
      <c r="F360" s="157">
        <f ca="1">IF(ABS(F356 + F357 - F358 - F359)&gt;CHK_TOL,1,0)</f>
        <v>0</v>
      </c>
      <c r="G360" s="13" t="str">
        <f xml:space="preserve"> Translate!E$604</f>
        <v>Check</v>
      </c>
      <c r="H360" s="13"/>
      <c r="I360" s="238"/>
      <c r="J360" s="240"/>
      <c r="K360" s="12"/>
      <c r="L360" s="12"/>
      <c r="M360" s="12"/>
      <c r="N360" s="12"/>
      <c r="O360" s="12"/>
      <c r="P360" s="12"/>
      <c r="Q360" s="12"/>
      <c r="R360" s="12"/>
      <c r="S360" s="12"/>
      <c r="T360" s="12"/>
      <c r="U360" s="12"/>
      <c r="V360" s="12"/>
      <c r="W360" s="12"/>
      <c r="X360" s="12"/>
      <c r="Y360" s="12"/>
      <c r="Z360" s="12"/>
      <c r="AA360" s="12"/>
      <c r="AB360" s="12"/>
      <c r="AC360" s="12"/>
      <c r="AD360" s="12"/>
      <c r="AE360" s="12"/>
      <c r="AF360" s="12"/>
      <c r="AG360" s="12"/>
      <c r="AH360" s="12"/>
      <c r="AI360" s="12"/>
      <c r="AJ360" s="12"/>
      <c r="AK360" s="12"/>
      <c r="AL360" s="12"/>
      <c r="AM360" s="12"/>
      <c r="AN360" s="12"/>
      <c r="AO360" s="12"/>
      <c r="AP360" s="12"/>
      <c r="AQ360" s="12"/>
      <c r="AR360" s="12"/>
      <c r="AS360" s="12"/>
      <c r="AT360" s="12"/>
      <c r="AU360" s="12"/>
      <c r="AV360" s="12"/>
      <c r="AW360" s="12"/>
      <c r="AX360" s="12"/>
    </row>
    <row r="361" spans="1:50" ht="15" customHeight="1" x14ac:dyDescent="0.25">
      <c r="A361" s="86"/>
      <c r="B361" s="677"/>
      <c r="C361" s="604"/>
      <c r="D361" s="217"/>
      <c r="E361" s="13"/>
      <c r="F361" s="560"/>
      <c r="G361" s="13"/>
      <c r="H361" s="13"/>
      <c r="I361" s="217"/>
      <c r="J361" s="237"/>
      <c r="K361" s="98"/>
      <c r="L361" s="98"/>
      <c r="M361" s="98"/>
      <c r="N361" s="98"/>
      <c r="O361" s="98"/>
      <c r="P361" s="98"/>
      <c r="Q361" s="98"/>
      <c r="R361" s="98"/>
      <c r="S361" s="98"/>
      <c r="T361" s="98"/>
      <c r="U361" s="98"/>
      <c r="V361" s="98"/>
      <c r="W361" s="98"/>
      <c r="X361" s="98"/>
      <c r="Y361" s="98"/>
      <c r="Z361" s="98"/>
      <c r="AA361" s="98"/>
      <c r="AB361" s="98"/>
      <c r="AC361" s="98"/>
      <c r="AD361" s="98"/>
      <c r="AE361" s="98"/>
      <c r="AF361" s="98"/>
      <c r="AG361" s="98"/>
      <c r="AH361" s="98"/>
      <c r="AI361" s="98"/>
      <c r="AJ361" s="98"/>
      <c r="AK361" s="98"/>
      <c r="AL361" s="98"/>
      <c r="AM361" s="98"/>
      <c r="AN361" s="98"/>
      <c r="AO361" s="98"/>
      <c r="AP361" s="98"/>
      <c r="AQ361" s="98"/>
      <c r="AR361" s="98"/>
      <c r="AS361" s="98"/>
      <c r="AT361" s="98"/>
      <c r="AU361" s="98"/>
      <c r="AV361" s="98"/>
      <c r="AW361" s="98"/>
      <c r="AX361" s="98"/>
    </row>
    <row r="362" spans="1:50" ht="15" customHeight="1" x14ac:dyDescent="0.25">
      <c r="A362" s="86"/>
      <c r="B362" s="677" t="str">
        <f>Translate!$E$427</f>
        <v>Loan cashflows</v>
      </c>
      <c r="C362" s="604"/>
      <c r="D362" s="217"/>
      <c r="E362" s="13"/>
      <c r="F362" s="560"/>
      <c r="G362" s="13"/>
      <c r="H362" s="13"/>
      <c r="I362" s="217"/>
      <c r="J362" s="237"/>
      <c r="K362" s="216"/>
      <c r="L362" s="216"/>
      <c r="M362" s="216"/>
      <c r="N362" s="216"/>
      <c r="O362" s="216"/>
      <c r="P362" s="216"/>
      <c r="Q362" s="216"/>
      <c r="R362" s="216"/>
      <c r="S362" s="216"/>
      <c r="T362" s="216"/>
      <c r="U362" s="216"/>
      <c r="V362" s="216"/>
      <c r="W362" s="216"/>
      <c r="X362" s="216"/>
      <c r="Y362" s="216"/>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row>
    <row r="363" spans="1:50" ht="15" customHeight="1" x14ac:dyDescent="0.25">
      <c r="A363" s="241"/>
      <c r="B363" s="675"/>
      <c r="C363" s="615"/>
      <c r="D363" s="64" t="str">
        <f>Translate!E529</f>
        <v>add</v>
      </c>
      <c r="E363" s="411" t="str">
        <f t="shared" ref="E363:J363" si="81">E353</f>
        <v>Principal repayments (end of period)</v>
      </c>
      <c r="F363" s="410">
        <f t="shared" si="81"/>
        <v>0</v>
      </c>
      <c r="G363" s="411" t="str">
        <f t="shared" si="81"/>
        <v>US$ mn</v>
      </c>
      <c r="H363" s="411">
        <f t="shared" si="81"/>
        <v>0</v>
      </c>
      <c r="I363" s="411">
        <f t="shared" ca="1" si="81"/>
        <v>3956.6398126891763</v>
      </c>
      <c r="J363" s="411">
        <f t="shared" si="81"/>
        <v>0</v>
      </c>
      <c r="K363" s="411">
        <f ca="1">K353</f>
        <v>0</v>
      </c>
      <c r="L363" s="411">
        <f t="shared" ref="L363:AX363" ca="1" si="82">L353</f>
        <v>0</v>
      </c>
      <c r="M363" s="411">
        <f t="shared" ca="1" si="82"/>
        <v>0</v>
      </c>
      <c r="N363" s="411">
        <f t="shared" ca="1" si="82"/>
        <v>0</v>
      </c>
      <c r="O363" s="411">
        <f t="shared" ca="1" si="82"/>
        <v>0</v>
      </c>
      <c r="P363" s="411">
        <f t="shared" ca="1" si="82"/>
        <v>0</v>
      </c>
      <c r="Q363" s="411">
        <f t="shared" ca="1" si="82"/>
        <v>395.66398126891767</v>
      </c>
      <c r="R363" s="411">
        <f t="shared" ca="1" si="82"/>
        <v>395.66398126891761</v>
      </c>
      <c r="S363" s="411">
        <f t="shared" ca="1" si="82"/>
        <v>395.66398126891761</v>
      </c>
      <c r="T363" s="411">
        <f t="shared" ca="1" si="82"/>
        <v>395.66398126891755</v>
      </c>
      <c r="U363" s="411">
        <f t="shared" ca="1" si="82"/>
        <v>395.66398126891755</v>
      </c>
      <c r="V363" s="411">
        <f t="shared" ca="1" si="82"/>
        <v>395.66398126891767</v>
      </c>
      <c r="W363" s="411">
        <f t="shared" ca="1" si="82"/>
        <v>395.66398126891761</v>
      </c>
      <c r="X363" s="411">
        <f t="shared" ca="1" si="82"/>
        <v>395.66398126891755</v>
      </c>
      <c r="Y363" s="411">
        <f t="shared" ca="1" si="82"/>
        <v>395.66398126891761</v>
      </c>
      <c r="Z363" s="411">
        <f t="shared" ca="1" si="82"/>
        <v>395.66398126891761</v>
      </c>
      <c r="AA363" s="411">
        <f t="shared" ca="1" si="82"/>
        <v>0</v>
      </c>
      <c r="AB363" s="411">
        <f t="shared" ca="1" si="82"/>
        <v>0</v>
      </c>
      <c r="AC363" s="411">
        <f t="shared" ca="1" si="82"/>
        <v>0</v>
      </c>
      <c r="AD363" s="411">
        <f t="shared" ca="1" si="82"/>
        <v>0</v>
      </c>
      <c r="AE363" s="411">
        <f t="shared" ca="1" si="82"/>
        <v>0</v>
      </c>
      <c r="AF363" s="411">
        <f t="shared" ca="1" si="82"/>
        <v>0</v>
      </c>
      <c r="AG363" s="411">
        <f t="shared" ca="1" si="82"/>
        <v>0</v>
      </c>
      <c r="AH363" s="411">
        <f t="shared" ca="1" si="82"/>
        <v>0</v>
      </c>
      <c r="AI363" s="411">
        <f t="shared" ca="1" si="82"/>
        <v>0</v>
      </c>
      <c r="AJ363" s="411">
        <f t="shared" ca="1" si="82"/>
        <v>0</v>
      </c>
      <c r="AK363" s="411">
        <f t="shared" ca="1" si="82"/>
        <v>0</v>
      </c>
      <c r="AL363" s="411">
        <f t="shared" ca="1" si="82"/>
        <v>0</v>
      </c>
      <c r="AM363" s="411">
        <f t="shared" ca="1" si="82"/>
        <v>0</v>
      </c>
      <c r="AN363" s="411">
        <f t="shared" ca="1" si="82"/>
        <v>0</v>
      </c>
      <c r="AO363" s="411">
        <f t="shared" ca="1" si="82"/>
        <v>0</v>
      </c>
      <c r="AP363" s="411">
        <f t="shared" ca="1" si="82"/>
        <v>0</v>
      </c>
      <c r="AQ363" s="411">
        <f t="shared" ca="1" si="82"/>
        <v>0</v>
      </c>
      <c r="AR363" s="411">
        <f t="shared" ca="1" si="82"/>
        <v>0</v>
      </c>
      <c r="AS363" s="411">
        <f t="shared" ca="1" si="82"/>
        <v>0</v>
      </c>
      <c r="AT363" s="411">
        <f t="shared" ca="1" si="82"/>
        <v>0</v>
      </c>
      <c r="AU363" s="411">
        <f t="shared" ca="1" si="82"/>
        <v>0</v>
      </c>
      <c r="AV363" s="411">
        <f t="shared" ca="1" si="82"/>
        <v>0</v>
      </c>
      <c r="AW363" s="411">
        <f t="shared" ca="1" si="82"/>
        <v>0</v>
      </c>
      <c r="AX363" s="411">
        <f t="shared" ca="1" si="82"/>
        <v>0</v>
      </c>
    </row>
    <row r="364" spans="1:50" ht="15" customHeight="1" x14ac:dyDescent="0.25">
      <c r="A364" s="241"/>
      <c r="B364" s="675"/>
      <c r="C364" s="615"/>
      <c r="D364" s="64" t="str">
        <f>Translate!E529</f>
        <v>add</v>
      </c>
      <c r="E364" s="411" t="str">
        <f t="shared" ref="E364:J364" si="83">E351</f>
        <v>Interest payments (end of period)</v>
      </c>
      <c r="F364" s="410">
        <f t="shared" si="83"/>
        <v>0</v>
      </c>
      <c r="G364" s="411" t="str">
        <f t="shared" si="83"/>
        <v>US$ mn</v>
      </c>
      <c r="H364" s="411">
        <f t="shared" si="83"/>
        <v>0</v>
      </c>
      <c r="I364" s="411">
        <f t="shared" ca="1" si="83"/>
        <v>1101.1328598713974</v>
      </c>
      <c r="J364" s="411">
        <f t="shared" si="83"/>
        <v>0</v>
      </c>
      <c r="K364" s="411">
        <f ca="1">K351</f>
        <v>0</v>
      </c>
      <c r="L364" s="411">
        <f t="shared" ref="L364:AX364" ca="1" si="84">L351</f>
        <v>0</v>
      </c>
      <c r="M364" s="411">
        <f t="shared" ca="1" si="84"/>
        <v>0</v>
      </c>
      <c r="N364" s="411">
        <f t="shared" ca="1" si="84"/>
        <v>0</v>
      </c>
      <c r="O364" s="411">
        <f t="shared" ca="1" si="84"/>
        <v>0</v>
      </c>
      <c r="P364" s="411">
        <f t="shared" ca="1" si="84"/>
        <v>0</v>
      </c>
      <c r="Q364" s="411">
        <f t="shared" ca="1" si="84"/>
        <v>200.20597452207224</v>
      </c>
      <c r="R364" s="411">
        <f t="shared" ca="1" si="84"/>
        <v>180.18537706986501</v>
      </c>
      <c r="S364" s="411">
        <f t="shared" ca="1" si="84"/>
        <v>160.16477961765779</v>
      </c>
      <c r="T364" s="411">
        <f t="shared" ca="1" si="84"/>
        <v>140.14418216545056</v>
      </c>
      <c r="U364" s="411">
        <f t="shared" ca="1" si="84"/>
        <v>120.12358471324332</v>
      </c>
      <c r="V364" s="411">
        <f t="shared" ca="1" si="84"/>
        <v>100.10298726103611</v>
      </c>
      <c r="W364" s="411">
        <f t="shared" ca="1" si="84"/>
        <v>80.082389808828893</v>
      </c>
      <c r="X364" s="411">
        <f t="shared" ca="1" si="84"/>
        <v>60.061792356621659</v>
      </c>
      <c r="Y364" s="411">
        <f t="shared" ca="1" si="84"/>
        <v>40.041194904414446</v>
      </c>
      <c r="Z364" s="411">
        <f t="shared" ca="1" si="84"/>
        <v>20.020597452207223</v>
      </c>
      <c r="AA364" s="411">
        <f t="shared" ca="1" si="84"/>
        <v>0</v>
      </c>
      <c r="AB364" s="411">
        <f t="shared" ca="1" si="84"/>
        <v>0</v>
      </c>
      <c r="AC364" s="411">
        <f t="shared" ca="1" si="84"/>
        <v>0</v>
      </c>
      <c r="AD364" s="411">
        <f t="shared" ca="1" si="84"/>
        <v>0</v>
      </c>
      <c r="AE364" s="411">
        <f t="shared" ca="1" si="84"/>
        <v>0</v>
      </c>
      <c r="AF364" s="411">
        <f t="shared" ca="1" si="84"/>
        <v>0</v>
      </c>
      <c r="AG364" s="411">
        <f t="shared" ca="1" si="84"/>
        <v>0</v>
      </c>
      <c r="AH364" s="411">
        <f t="shared" ca="1" si="84"/>
        <v>0</v>
      </c>
      <c r="AI364" s="411">
        <f t="shared" ca="1" si="84"/>
        <v>0</v>
      </c>
      <c r="AJ364" s="411">
        <f t="shared" ca="1" si="84"/>
        <v>0</v>
      </c>
      <c r="AK364" s="411">
        <f t="shared" ca="1" si="84"/>
        <v>0</v>
      </c>
      <c r="AL364" s="411">
        <f t="shared" ca="1" si="84"/>
        <v>0</v>
      </c>
      <c r="AM364" s="411">
        <f t="shared" ca="1" si="84"/>
        <v>0</v>
      </c>
      <c r="AN364" s="411">
        <f t="shared" ca="1" si="84"/>
        <v>0</v>
      </c>
      <c r="AO364" s="411">
        <f t="shared" ca="1" si="84"/>
        <v>0</v>
      </c>
      <c r="AP364" s="411">
        <f t="shared" ca="1" si="84"/>
        <v>0</v>
      </c>
      <c r="AQ364" s="411">
        <f t="shared" ca="1" si="84"/>
        <v>0</v>
      </c>
      <c r="AR364" s="411">
        <f t="shared" ca="1" si="84"/>
        <v>0</v>
      </c>
      <c r="AS364" s="411">
        <f t="shared" ca="1" si="84"/>
        <v>0</v>
      </c>
      <c r="AT364" s="411">
        <f t="shared" ca="1" si="84"/>
        <v>0</v>
      </c>
      <c r="AU364" s="411">
        <f t="shared" ca="1" si="84"/>
        <v>0</v>
      </c>
      <c r="AV364" s="411">
        <f t="shared" ca="1" si="84"/>
        <v>0</v>
      </c>
      <c r="AW364" s="411">
        <f t="shared" ca="1" si="84"/>
        <v>0</v>
      </c>
      <c r="AX364" s="411">
        <f t="shared" ca="1" si="84"/>
        <v>0</v>
      </c>
    </row>
    <row r="365" spans="1:50" ht="15" customHeight="1" x14ac:dyDescent="0.25">
      <c r="A365" s="241"/>
      <c r="B365" s="675"/>
      <c r="C365" s="615"/>
      <c r="D365" s="64" t="str">
        <f>Translate!E530</f>
        <v>less</v>
      </c>
      <c r="E365" s="411" t="str">
        <f t="shared" ref="E365:J365" si="85">E349</f>
        <v>Loan drawdowns (mid-period)</v>
      </c>
      <c r="F365" s="410">
        <f t="shared" si="85"/>
        <v>0</v>
      </c>
      <c r="G365" s="411" t="str">
        <f t="shared" si="85"/>
        <v>US$ mn</v>
      </c>
      <c r="H365" s="411">
        <f t="shared" si="85"/>
        <v>0</v>
      </c>
      <c r="I365" s="411">
        <f t="shared" ca="1" si="85"/>
        <v>3677.8405151039997</v>
      </c>
      <c r="J365" s="411">
        <f t="shared" si="85"/>
        <v>0</v>
      </c>
      <c r="K365" s="411">
        <f ca="1">K349</f>
        <v>0</v>
      </c>
      <c r="L365" s="411">
        <f t="shared" ref="L365:AX365" ca="1" si="86">L349</f>
        <v>35.699999999999996</v>
      </c>
      <c r="M365" s="411">
        <f t="shared" ca="1" si="86"/>
        <v>218.48399999999998</v>
      </c>
      <c r="N365" s="411">
        <f t="shared" ca="1" si="86"/>
        <v>891.41471999999987</v>
      </c>
      <c r="O365" s="411">
        <f t="shared" ca="1" si="86"/>
        <v>909.24301439999988</v>
      </c>
      <c r="P365" s="411">
        <f t="shared" ca="1" si="86"/>
        <v>1622.998780704</v>
      </c>
      <c r="Q365" s="411">
        <f t="shared" ca="1" si="86"/>
        <v>0</v>
      </c>
      <c r="R365" s="411">
        <f t="shared" ca="1" si="86"/>
        <v>0</v>
      </c>
      <c r="S365" s="411">
        <f t="shared" ca="1" si="86"/>
        <v>0</v>
      </c>
      <c r="T365" s="411">
        <f t="shared" ca="1" si="86"/>
        <v>0</v>
      </c>
      <c r="U365" s="411">
        <f t="shared" ca="1" si="86"/>
        <v>0</v>
      </c>
      <c r="V365" s="411">
        <f t="shared" ca="1" si="86"/>
        <v>0</v>
      </c>
      <c r="W365" s="411">
        <f t="shared" ca="1" si="86"/>
        <v>0</v>
      </c>
      <c r="X365" s="411">
        <f t="shared" ca="1" si="86"/>
        <v>0</v>
      </c>
      <c r="Y365" s="411">
        <f t="shared" ca="1" si="86"/>
        <v>0</v>
      </c>
      <c r="Z365" s="411">
        <f t="shared" ca="1" si="86"/>
        <v>0</v>
      </c>
      <c r="AA365" s="411">
        <f t="shared" ca="1" si="86"/>
        <v>0</v>
      </c>
      <c r="AB365" s="411">
        <f t="shared" ca="1" si="86"/>
        <v>0</v>
      </c>
      <c r="AC365" s="411">
        <f t="shared" ca="1" si="86"/>
        <v>0</v>
      </c>
      <c r="AD365" s="411">
        <f t="shared" ca="1" si="86"/>
        <v>0</v>
      </c>
      <c r="AE365" s="411">
        <f t="shared" ca="1" si="86"/>
        <v>0</v>
      </c>
      <c r="AF365" s="411">
        <f t="shared" ca="1" si="86"/>
        <v>0</v>
      </c>
      <c r="AG365" s="411">
        <f t="shared" ca="1" si="86"/>
        <v>0</v>
      </c>
      <c r="AH365" s="411">
        <f t="shared" ca="1" si="86"/>
        <v>0</v>
      </c>
      <c r="AI365" s="411">
        <f t="shared" ca="1" si="86"/>
        <v>0</v>
      </c>
      <c r="AJ365" s="411">
        <f t="shared" ca="1" si="86"/>
        <v>0</v>
      </c>
      <c r="AK365" s="411">
        <f t="shared" ca="1" si="86"/>
        <v>0</v>
      </c>
      <c r="AL365" s="411">
        <f t="shared" ca="1" si="86"/>
        <v>0</v>
      </c>
      <c r="AM365" s="411">
        <f t="shared" ca="1" si="86"/>
        <v>0</v>
      </c>
      <c r="AN365" s="411">
        <f t="shared" ca="1" si="86"/>
        <v>0</v>
      </c>
      <c r="AO365" s="411">
        <f t="shared" ca="1" si="86"/>
        <v>0</v>
      </c>
      <c r="AP365" s="411">
        <f t="shared" ca="1" si="86"/>
        <v>0</v>
      </c>
      <c r="AQ365" s="411">
        <f t="shared" ca="1" si="86"/>
        <v>0</v>
      </c>
      <c r="AR365" s="411">
        <f t="shared" ca="1" si="86"/>
        <v>0</v>
      </c>
      <c r="AS365" s="411">
        <f t="shared" ca="1" si="86"/>
        <v>0</v>
      </c>
      <c r="AT365" s="411">
        <f t="shared" ca="1" si="86"/>
        <v>0</v>
      </c>
      <c r="AU365" s="411">
        <f t="shared" ca="1" si="86"/>
        <v>0</v>
      </c>
      <c r="AV365" s="411">
        <f t="shared" ca="1" si="86"/>
        <v>0</v>
      </c>
      <c r="AW365" s="411">
        <f t="shared" ca="1" si="86"/>
        <v>0</v>
      </c>
      <c r="AX365" s="411">
        <f t="shared" ca="1" si="86"/>
        <v>0</v>
      </c>
    </row>
    <row r="366" spans="1:50" s="485" customFormat="1" ht="15" customHeight="1" x14ac:dyDescent="0.25">
      <c r="A366" s="511"/>
      <c r="B366" s="684"/>
      <c r="C366" s="632"/>
      <c r="D366" s="511"/>
      <c r="E366" s="511" t="str">
        <f xml:space="preserve"> Translate!E$270</f>
        <v>Loan cashflows before interest withholding tax</v>
      </c>
      <c r="F366" s="574"/>
      <c r="G366" s="511" t="str">
        <f xml:space="preserve"> Translate!E$603</f>
        <v>US$ mn</v>
      </c>
      <c r="H366" s="511"/>
      <c r="I366" s="511">
        <f ca="1" xml:space="preserve"> SUM(K366:AX366)</f>
        <v>1379.9321574565736</v>
      </c>
      <c r="J366" s="511"/>
      <c r="K366" s="511">
        <f ca="1" xml:space="preserve"> K363 + K364 - K365</f>
        <v>0</v>
      </c>
      <c r="L366" s="511">
        <f t="shared" ref="L366:AX366" ca="1" si="87" xml:space="preserve"> L363 + L364 - L365</f>
        <v>-35.699999999999996</v>
      </c>
      <c r="M366" s="511">
        <f t="shared" ca="1" si="87"/>
        <v>-218.48399999999998</v>
      </c>
      <c r="N366" s="511">
        <f t="shared" ca="1" si="87"/>
        <v>-891.41471999999987</v>
      </c>
      <c r="O366" s="511">
        <f t="shared" ca="1" si="87"/>
        <v>-909.24301439999988</v>
      </c>
      <c r="P366" s="511">
        <f t="shared" ca="1" si="87"/>
        <v>-1622.998780704</v>
      </c>
      <c r="Q366" s="511">
        <f t="shared" ca="1" si="87"/>
        <v>595.86995579098993</v>
      </c>
      <c r="R366" s="511">
        <f t="shared" ca="1" si="87"/>
        <v>575.84935833878262</v>
      </c>
      <c r="S366" s="511">
        <f t="shared" ca="1" si="87"/>
        <v>555.82876088657542</v>
      </c>
      <c r="T366" s="511">
        <f t="shared" ca="1" si="87"/>
        <v>535.80816343436811</v>
      </c>
      <c r="U366" s="511">
        <f t="shared" ca="1" si="87"/>
        <v>515.78756598216091</v>
      </c>
      <c r="V366" s="511">
        <f t="shared" ca="1" si="87"/>
        <v>495.76696852995377</v>
      </c>
      <c r="W366" s="511">
        <f t="shared" ca="1" si="87"/>
        <v>475.74637107774652</v>
      </c>
      <c r="X366" s="511">
        <f t="shared" ca="1" si="87"/>
        <v>455.7257736255392</v>
      </c>
      <c r="Y366" s="511">
        <f t="shared" ca="1" si="87"/>
        <v>435.70517617333206</v>
      </c>
      <c r="Z366" s="511">
        <f t="shared" ca="1" si="87"/>
        <v>415.68457872112481</v>
      </c>
      <c r="AA366" s="511">
        <f t="shared" ca="1" si="87"/>
        <v>0</v>
      </c>
      <c r="AB366" s="511">
        <f t="shared" ca="1" si="87"/>
        <v>0</v>
      </c>
      <c r="AC366" s="511">
        <f t="shared" ca="1" si="87"/>
        <v>0</v>
      </c>
      <c r="AD366" s="511">
        <f t="shared" ca="1" si="87"/>
        <v>0</v>
      </c>
      <c r="AE366" s="511">
        <f t="shared" ca="1" si="87"/>
        <v>0</v>
      </c>
      <c r="AF366" s="511">
        <f t="shared" ca="1" si="87"/>
        <v>0</v>
      </c>
      <c r="AG366" s="511">
        <f t="shared" ca="1" si="87"/>
        <v>0</v>
      </c>
      <c r="AH366" s="511">
        <f t="shared" ca="1" si="87"/>
        <v>0</v>
      </c>
      <c r="AI366" s="511">
        <f t="shared" ca="1" si="87"/>
        <v>0</v>
      </c>
      <c r="AJ366" s="511">
        <f t="shared" ca="1" si="87"/>
        <v>0</v>
      </c>
      <c r="AK366" s="511">
        <f t="shared" ca="1" si="87"/>
        <v>0</v>
      </c>
      <c r="AL366" s="511">
        <f t="shared" ca="1" si="87"/>
        <v>0</v>
      </c>
      <c r="AM366" s="511">
        <f t="shared" ca="1" si="87"/>
        <v>0</v>
      </c>
      <c r="AN366" s="511">
        <f t="shared" ca="1" si="87"/>
        <v>0</v>
      </c>
      <c r="AO366" s="511">
        <f t="shared" ca="1" si="87"/>
        <v>0</v>
      </c>
      <c r="AP366" s="511">
        <f t="shared" ca="1" si="87"/>
        <v>0</v>
      </c>
      <c r="AQ366" s="511">
        <f t="shared" ca="1" si="87"/>
        <v>0</v>
      </c>
      <c r="AR366" s="511">
        <f t="shared" ca="1" si="87"/>
        <v>0</v>
      </c>
      <c r="AS366" s="511">
        <f t="shared" ca="1" si="87"/>
        <v>0</v>
      </c>
      <c r="AT366" s="511">
        <f t="shared" ca="1" si="87"/>
        <v>0</v>
      </c>
      <c r="AU366" s="511">
        <f t="shared" ca="1" si="87"/>
        <v>0</v>
      </c>
      <c r="AV366" s="511">
        <f t="shared" ca="1" si="87"/>
        <v>0</v>
      </c>
      <c r="AW366" s="511">
        <f t="shared" ca="1" si="87"/>
        <v>0</v>
      </c>
      <c r="AX366" s="511">
        <f t="shared" ca="1" si="87"/>
        <v>0</v>
      </c>
    </row>
    <row r="367" spans="1:50" ht="15" customHeight="1" x14ac:dyDescent="0.25">
      <c r="A367" s="86"/>
      <c r="B367" s="677"/>
      <c r="C367" s="604"/>
      <c r="D367" s="217"/>
      <c r="E367" s="13"/>
      <c r="F367" s="253"/>
      <c r="G367" s="13"/>
      <c r="H367" s="13"/>
      <c r="I367" s="217"/>
      <c r="J367" s="237"/>
      <c r="K367" s="216"/>
      <c r="L367" s="216"/>
      <c r="M367" s="216"/>
      <c r="N367" s="216"/>
      <c r="O367" s="216"/>
      <c r="P367" s="216"/>
      <c r="Q367" s="216"/>
      <c r="R367" s="216"/>
      <c r="S367" s="216"/>
      <c r="T367" s="216"/>
      <c r="U367" s="216"/>
      <c r="V367" s="216"/>
      <c r="W367" s="216"/>
      <c r="X367" s="216"/>
      <c r="Y367" s="216"/>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row>
    <row r="368" spans="1:50" ht="15" customHeight="1" x14ac:dyDescent="0.25">
      <c r="A368" s="86"/>
      <c r="B368" s="677"/>
      <c r="C368" s="604"/>
      <c r="D368" s="217"/>
      <c r="E368" s="55" t="str">
        <f t="shared" ref="E368:AX368" si="88" xml:space="preserve"> E$351</f>
        <v>Interest payments (end of period)</v>
      </c>
      <c r="F368" s="64">
        <f t="shared" si="88"/>
        <v>0</v>
      </c>
      <c r="G368" s="55" t="str">
        <f t="shared" si="88"/>
        <v>US$ mn</v>
      </c>
      <c r="H368" s="55">
        <f t="shared" si="88"/>
        <v>0</v>
      </c>
      <c r="I368" s="55">
        <f t="shared" ca="1" si="88"/>
        <v>1101.1328598713974</v>
      </c>
      <c r="J368" s="55">
        <f t="shared" si="88"/>
        <v>0</v>
      </c>
      <c r="K368" s="55">
        <f t="shared" ca="1" si="88"/>
        <v>0</v>
      </c>
      <c r="L368" s="55">
        <f t="shared" ca="1" si="88"/>
        <v>0</v>
      </c>
      <c r="M368" s="55">
        <f t="shared" ca="1" si="88"/>
        <v>0</v>
      </c>
      <c r="N368" s="55">
        <f t="shared" ca="1" si="88"/>
        <v>0</v>
      </c>
      <c r="O368" s="55">
        <f t="shared" ca="1" si="88"/>
        <v>0</v>
      </c>
      <c r="P368" s="55">
        <f t="shared" ca="1" si="88"/>
        <v>0</v>
      </c>
      <c r="Q368" s="55">
        <f t="shared" ca="1" si="88"/>
        <v>200.20597452207224</v>
      </c>
      <c r="R368" s="55">
        <f t="shared" ca="1" si="88"/>
        <v>180.18537706986501</v>
      </c>
      <c r="S368" s="55">
        <f t="shared" ca="1" si="88"/>
        <v>160.16477961765779</v>
      </c>
      <c r="T368" s="55">
        <f t="shared" ca="1" si="88"/>
        <v>140.14418216545056</v>
      </c>
      <c r="U368" s="55">
        <f t="shared" ca="1" si="88"/>
        <v>120.12358471324332</v>
      </c>
      <c r="V368" s="55">
        <f t="shared" ca="1" si="88"/>
        <v>100.10298726103611</v>
      </c>
      <c r="W368" s="55">
        <f t="shared" ca="1" si="88"/>
        <v>80.082389808828893</v>
      </c>
      <c r="X368" s="55">
        <f t="shared" ca="1" si="88"/>
        <v>60.061792356621659</v>
      </c>
      <c r="Y368" s="55">
        <f t="shared" ca="1" si="88"/>
        <v>40.041194904414446</v>
      </c>
      <c r="Z368" s="55">
        <f t="shared" ca="1" si="88"/>
        <v>20.020597452207223</v>
      </c>
      <c r="AA368" s="55">
        <f t="shared" ca="1" si="88"/>
        <v>0</v>
      </c>
      <c r="AB368" s="55">
        <f t="shared" ca="1" si="88"/>
        <v>0</v>
      </c>
      <c r="AC368" s="55">
        <f t="shared" ca="1" si="88"/>
        <v>0</v>
      </c>
      <c r="AD368" s="55">
        <f t="shared" ca="1" si="88"/>
        <v>0</v>
      </c>
      <c r="AE368" s="55">
        <f t="shared" ca="1" si="88"/>
        <v>0</v>
      </c>
      <c r="AF368" s="55">
        <f t="shared" ca="1" si="88"/>
        <v>0</v>
      </c>
      <c r="AG368" s="55">
        <f t="shared" ca="1" si="88"/>
        <v>0</v>
      </c>
      <c r="AH368" s="55">
        <f t="shared" ca="1" si="88"/>
        <v>0</v>
      </c>
      <c r="AI368" s="55">
        <f t="shared" ca="1" si="88"/>
        <v>0</v>
      </c>
      <c r="AJ368" s="55">
        <f t="shared" ca="1" si="88"/>
        <v>0</v>
      </c>
      <c r="AK368" s="55">
        <f t="shared" ca="1" si="88"/>
        <v>0</v>
      </c>
      <c r="AL368" s="55">
        <f t="shared" ca="1" si="88"/>
        <v>0</v>
      </c>
      <c r="AM368" s="55">
        <f t="shared" ca="1" si="88"/>
        <v>0</v>
      </c>
      <c r="AN368" s="55">
        <f t="shared" ca="1" si="88"/>
        <v>0</v>
      </c>
      <c r="AO368" s="55">
        <f t="shared" ca="1" si="88"/>
        <v>0</v>
      </c>
      <c r="AP368" s="55">
        <f t="shared" ca="1" si="88"/>
        <v>0</v>
      </c>
      <c r="AQ368" s="55">
        <f t="shared" ca="1" si="88"/>
        <v>0</v>
      </c>
      <c r="AR368" s="55">
        <f t="shared" ca="1" si="88"/>
        <v>0</v>
      </c>
      <c r="AS368" s="55">
        <f t="shared" ca="1" si="88"/>
        <v>0</v>
      </c>
      <c r="AT368" s="55">
        <f t="shared" ca="1" si="88"/>
        <v>0</v>
      </c>
      <c r="AU368" s="55">
        <f t="shared" ca="1" si="88"/>
        <v>0</v>
      </c>
      <c r="AV368" s="55">
        <f t="shared" ca="1" si="88"/>
        <v>0</v>
      </c>
      <c r="AW368" s="55">
        <f t="shared" ca="1" si="88"/>
        <v>0</v>
      </c>
      <c r="AX368" s="55">
        <f t="shared" ca="1" si="88"/>
        <v>0</v>
      </c>
    </row>
    <row r="369" spans="1:50" ht="15" customHeight="1" x14ac:dyDescent="0.25">
      <c r="A369" s="86"/>
      <c r="B369" s="677"/>
      <c r="C369" s="604"/>
      <c r="D369" s="217"/>
      <c r="E369" s="402" t="str">
        <f xml:space="preserve"> FiscalModel!E$75</f>
        <v>Interest withholding tax</v>
      </c>
      <c r="F369" s="534">
        <f xml:space="preserve"> FiscalModel!F$75</f>
        <v>0.1</v>
      </c>
      <c r="G369" s="402" t="str">
        <f xml:space="preserve"> FiscalModel!G$75</f>
        <v>%</v>
      </c>
      <c r="H369" s="13"/>
      <c r="I369" s="217"/>
      <c r="J369" s="237"/>
      <c r="K369" s="98"/>
      <c r="L369" s="98"/>
      <c r="M369" s="98"/>
      <c r="N369" s="98"/>
      <c r="O369" s="98"/>
      <c r="P369" s="98"/>
      <c r="Q369" s="98"/>
      <c r="R369" s="98"/>
      <c r="S369" s="98"/>
      <c r="T369" s="98"/>
      <c r="U369" s="98"/>
      <c r="V369" s="98"/>
      <c r="W369" s="98"/>
      <c r="X369" s="98"/>
      <c r="Y369" s="98"/>
      <c r="Z369" s="98"/>
      <c r="AA369" s="98"/>
      <c r="AB369" s="98"/>
      <c r="AC369" s="98"/>
      <c r="AD369" s="98"/>
      <c r="AE369" s="98"/>
      <c r="AF369" s="98"/>
      <c r="AG369" s="98"/>
      <c r="AH369" s="98"/>
      <c r="AI369" s="98"/>
      <c r="AJ369" s="98"/>
      <c r="AK369" s="98"/>
      <c r="AL369" s="98"/>
      <c r="AM369" s="98"/>
      <c r="AN369" s="98"/>
      <c r="AO369" s="98"/>
      <c r="AP369" s="98"/>
      <c r="AQ369" s="98"/>
      <c r="AR369" s="98"/>
      <c r="AS369" s="98"/>
      <c r="AT369" s="98"/>
      <c r="AU369" s="98"/>
      <c r="AV369" s="98"/>
      <c r="AW369" s="98"/>
      <c r="AX369" s="98"/>
    </row>
    <row r="370" spans="1:50" ht="15" customHeight="1" x14ac:dyDescent="0.25">
      <c r="A370" s="45"/>
      <c r="B370" s="675"/>
      <c r="C370" s="629"/>
      <c r="D370" s="190"/>
      <c r="E370" s="190" t="str">
        <f xml:space="preserve"> Translate!E$171</f>
        <v>Interest withholding tax</v>
      </c>
      <c r="F370" s="242"/>
      <c r="G370" s="190" t="str">
        <f xml:space="preserve"> Translate!E$603</f>
        <v>US$ mn</v>
      </c>
      <c r="H370" s="190"/>
      <c r="I370" s="190">
        <f ca="1" xml:space="preserve"> SUM(K370:AX370)</f>
        <v>110.11328598713973</v>
      </c>
      <c r="J370" s="190"/>
      <c r="K370" s="190">
        <f t="shared" ref="K370:AX370" ca="1" si="89" xml:space="preserve"> K368 * $F369</f>
        <v>0</v>
      </c>
      <c r="L370" s="190">
        <f t="shared" ca="1" si="89"/>
        <v>0</v>
      </c>
      <c r="M370" s="190">
        <f t="shared" ca="1" si="89"/>
        <v>0</v>
      </c>
      <c r="N370" s="190">
        <f ca="1" xml:space="preserve"> N368 * $F369</f>
        <v>0</v>
      </c>
      <c r="O370" s="190">
        <f t="shared" ca="1" si="89"/>
        <v>0</v>
      </c>
      <c r="P370" s="190">
        <f t="shared" ca="1" si="89"/>
        <v>0</v>
      </c>
      <c r="Q370" s="190">
        <f t="shared" ca="1" si="89"/>
        <v>20.020597452207227</v>
      </c>
      <c r="R370" s="190">
        <f t="shared" ca="1" si="89"/>
        <v>18.018537706986503</v>
      </c>
      <c r="S370" s="190">
        <f t="shared" ca="1" si="89"/>
        <v>16.01647796176578</v>
      </c>
      <c r="T370" s="190">
        <f t="shared" ca="1" si="89"/>
        <v>14.014418216545057</v>
      </c>
      <c r="U370" s="190">
        <f t="shared" ca="1" si="89"/>
        <v>12.012358471324333</v>
      </c>
      <c r="V370" s="190">
        <f t="shared" ca="1" si="89"/>
        <v>10.010298726103612</v>
      </c>
      <c r="W370" s="190">
        <f t="shared" ca="1" si="89"/>
        <v>8.00823898088289</v>
      </c>
      <c r="X370" s="190">
        <f t="shared" ca="1" si="89"/>
        <v>6.0061792356621666</v>
      </c>
      <c r="Y370" s="190">
        <f t="shared" ca="1" si="89"/>
        <v>4.004119490441445</v>
      </c>
      <c r="Z370" s="190">
        <f t="shared" ca="1" si="89"/>
        <v>2.0020597452207225</v>
      </c>
      <c r="AA370" s="190">
        <f t="shared" ca="1" si="89"/>
        <v>0</v>
      </c>
      <c r="AB370" s="190">
        <f t="shared" ca="1" si="89"/>
        <v>0</v>
      </c>
      <c r="AC370" s="190">
        <f t="shared" ca="1" si="89"/>
        <v>0</v>
      </c>
      <c r="AD370" s="190">
        <f t="shared" ca="1" si="89"/>
        <v>0</v>
      </c>
      <c r="AE370" s="190">
        <f t="shared" ca="1" si="89"/>
        <v>0</v>
      </c>
      <c r="AF370" s="190">
        <f t="shared" ca="1" si="89"/>
        <v>0</v>
      </c>
      <c r="AG370" s="190">
        <f t="shared" ca="1" si="89"/>
        <v>0</v>
      </c>
      <c r="AH370" s="190">
        <f t="shared" ca="1" si="89"/>
        <v>0</v>
      </c>
      <c r="AI370" s="190">
        <f t="shared" ca="1" si="89"/>
        <v>0</v>
      </c>
      <c r="AJ370" s="190">
        <f t="shared" ca="1" si="89"/>
        <v>0</v>
      </c>
      <c r="AK370" s="190">
        <f t="shared" ca="1" si="89"/>
        <v>0</v>
      </c>
      <c r="AL370" s="190">
        <f t="shared" ca="1" si="89"/>
        <v>0</v>
      </c>
      <c r="AM370" s="190">
        <f t="shared" ca="1" si="89"/>
        <v>0</v>
      </c>
      <c r="AN370" s="190">
        <f t="shared" ca="1" si="89"/>
        <v>0</v>
      </c>
      <c r="AO370" s="190">
        <f t="shared" ca="1" si="89"/>
        <v>0</v>
      </c>
      <c r="AP370" s="190">
        <f t="shared" ca="1" si="89"/>
        <v>0</v>
      </c>
      <c r="AQ370" s="190">
        <f t="shared" ca="1" si="89"/>
        <v>0</v>
      </c>
      <c r="AR370" s="190">
        <f t="shared" ca="1" si="89"/>
        <v>0</v>
      </c>
      <c r="AS370" s="190">
        <f t="shared" ca="1" si="89"/>
        <v>0</v>
      </c>
      <c r="AT370" s="190">
        <f t="shared" ca="1" si="89"/>
        <v>0</v>
      </c>
      <c r="AU370" s="190">
        <f t="shared" ca="1" si="89"/>
        <v>0</v>
      </c>
      <c r="AV370" s="190">
        <f t="shared" ca="1" si="89"/>
        <v>0</v>
      </c>
      <c r="AW370" s="190">
        <f t="shared" ca="1" si="89"/>
        <v>0</v>
      </c>
      <c r="AX370" s="190">
        <f t="shared" ca="1" si="89"/>
        <v>0</v>
      </c>
    </row>
    <row r="371" spans="1:50" ht="15" customHeight="1" x14ac:dyDescent="0.25">
      <c r="A371" s="85"/>
      <c r="B371" s="677"/>
      <c r="C371" s="628"/>
      <c r="D371" s="238"/>
      <c r="E371" s="239"/>
      <c r="F371" s="555"/>
      <c r="G371" s="239"/>
      <c r="H371" s="13"/>
      <c r="I371" s="238"/>
      <c r="J371" s="240"/>
      <c r="K371" s="12"/>
      <c r="L371" s="12"/>
      <c r="M371" s="12"/>
      <c r="N371" s="12"/>
      <c r="O371" s="12"/>
      <c r="P371" s="12"/>
      <c r="Q371" s="12"/>
      <c r="R371" s="12"/>
      <c r="S371" s="12"/>
      <c r="T371" s="12"/>
      <c r="U371" s="12"/>
      <c r="V371" s="12"/>
      <c r="W371" s="12"/>
      <c r="X371" s="12"/>
      <c r="Y371" s="12"/>
      <c r="Z371" s="12"/>
      <c r="AA371" s="12"/>
      <c r="AB371" s="12"/>
      <c r="AC371" s="12"/>
      <c r="AD371" s="12"/>
      <c r="AE371" s="12"/>
      <c r="AF371" s="12"/>
      <c r="AG371" s="12"/>
      <c r="AH371" s="12"/>
      <c r="AI371" s="12"/>
      <c r="AJ371" s="12"/>
      <c r="AK371" s="12"/>
      <c r="AL371" s="12"/>
      <c r="AM371" s="12"/>
      <c r="AN371" s="12"/>
      <c r="AO371" s="12"/>
      <c r="AP371" s="12"/>
      <c r="AQ371" s="12"/>
      <c r="AR371" s="12"/>
      <c r="AS371" s="12"/>
      <c r="AT371" s="12"/>
      <c r="AU371" s="12"/>
      <c r="AV371" s="12"/>
      <c r="AW371" s="12"/>
      <c r="AX371" s="12"/>
    </row>
    <row r="372" spans="1:50" s="7" customFormat="1" ht="15" customHeight="1" x14ac:dyDescent="0.25">
      <c r="A372" s="190"/>
      <c r="B372" s="672"/>
      <c r="C372" s="617"/>
      <c r="D372" s="242"/>
      <c r="E372" s="190" t="str">
        <f xml:space="preserve"> Translate!E$271</f>
        <v>Lender cashflows after interest withholding tax</v>
      </c>
      <c r="F372" s="242"/>
      <c r="G372" s="190" t="str">
        <f xml:space="preserve"> Translate!E$603</f>
        <v>US$ mn</v>
      </c>
      <c r="H372" s="190"/>
      <c r="I372" s="190">
        <f ca="1" xml:space="preserve"> SUM(K372:AX372)</f>
        <v>1269.8188714694338</v>
      </c>
      <c r="J372" s="190"/>
      <c r="K372" s="190">
        <f t="shared" ref="K372:AX372" ca="1" si="90" xml:space="preserve"> K366 - K370</f>
        <v>0</v>
      </c>
      <c r="L372" s="190">
        <f t="shared" ca="1" si="90"/>
        <v>-35.699999999999996</v>
      </c>
      <c r="M372" s="190">
        <f t="shared" ca="1" si="90"/>
        <v>-218.48399999999998</v>
      </c>
      <c r="N372" s="190">
        <f t="shared" ca="1" si="90"/>
        <v>-891.41471999999987</v>
      </c>
      <c r="O372" s="190">
        <f t="shared" ca="1" si="90"/>
        <v>-909.24301439999988</v>
      </c>
      <c r="P372" s="190">
        <f t="shared" ca="1" si="90"/>
        <v>-1622.998780704</v>
      </c>
      <c r="Q372" s="190">
        <f t="shared" ca="1" si="90"/>
        <v>575.84935833878274</v>
      </c>
      <c r="R372" s="190">
        <f t="shared" ca="1" si="90"/>
        <v>557.83082063179609</v>
      </c>
      <c r="S372" s="190">
        <f t="shared" ca="1" si="90"/>
        <v>539.81228292480967</v>
      </c>
      <c r="T372" s="190">
        <f t="shared" ca="1" si="90"/>
        <v>521.79374521782302</v>
      </c>
      <c r="U372" s="190">
        <f t="shared" ca="1" si="90"/>
        <v>503.77520751083659</v>
      </c>
      <c r="V372" s="190">
        <f t="shared" ca="1" si="90"/>
        <v>485.75666980385017</v>
      </c>
      <c r="W372" s="190">
        <f t="shared" ca="1" si="90"/>
        <v>467.73813209686364</v>
      </c>
      <c r="X372" s="190">
        <f t="shared" ca="1" si="90"/>
        <v>449.71959438987705</v>
      </c>
      <c r="Y372" s="190">
        <f t="shared" ca="1" si="90"/>
        <v>431.70105668289062</v>
      </c>
      <c r="Z372" s="190">
        <f t="shared" ca="1" si="90"/>
        <v>413.68251897590409</v>
      </c>
      <c r="AA372" s="190">
        <f t="shared" ca="1" si="90"/>
        <v>0</v>
      </c>
      <c r="AB372" s="190">
        <f t="shared" ca="1" si="90"/>
        <v>0</v>
      </c>
      <c r="AC372" s="190">
        <f t="shared" ca="1" si="90"/>
        <v>0</v>
      </c>
      <c r="AD372" s="190">
        <f t="shared" ca="1" si="90"/>
        <v>0</v>
      </c>
      <c r="AE372" s="190">
        <f t="shared" ca="1" si="90"/>
        <v>0</v>
      </c>
      <c r="AF372" s="190">
        <f t="shared" ca="1" si="90"/>
        <v>0</v>
      </c>
      <c r="AG372" s="190">
        <f t="shared" ca="1" si="90"/>
        <v>0</v>
      </c>
      <c r="AH372" s="190">
        <f t="shared" ca="1" si="90"/>
        <v>0</v>
      </c>
      <c r="AI372" s="190">
        <f t="shared" ca="1" si="90"/>
        <v>0</v>
      </c>
      <c r="AJ372" s="190">
        <f t="shared" ca="1" si="90"/>
        <v>0</v>
      </c>
      <c r="AK372" s="190">
        <f t="shared" ca="1" si="90"/>
        <v>0</v>
      </c>
      <c r="AL372" s="190">
        <f t="shared" ca="1" si="90"/>
        <v>0</v>
      </c>
      <c r="AM372" s="190">
        <f t="shared" ca="1" si="90"/>
        <v>0</v>
      </c>
      <c r="AN372" s="190">
        <f t="shared" ca="1" si="90"/>
        <v>0</v>
      </c>
      <c r="AO372" s="190">
        <f t="shared" ca="1" si="90"/>
        <v>0</v>
      </c>
      <c r="AP372" s="190">
        <f t="shared" ca="1" si="90"/>
        <v>0</v>
      </c>
      <c r="AQ372" s="190">
        <f t="shared" ca="1" si="90"/>
        <v>0</v>
      </c>
      <c r="AR372" s="190">
        <f t="shared" ca="1" si="90"/>
        <v>0</v>
      </c>
      <c r="AS372" s="190">
        <f t="shared" ca="1" si="90"/>
        <v>0</v>
      </c>
      <c r="AT372" s="190">
        <f t="shared" ca="1" si="90"/>
        <v>0</v>
      </c>
      <c r="AU372" s="190">
        <f t="shared" ca="1" si="90"/>
        <v>0</v>
      </c>
      <c r="AV372" s="190">
        <f t="shared" ca="1" si="90"/>
        <v>0</v>
      </c>
      <c r="AW372" s="190">
        <f t="shared" ca="1" si="90"/>
        <v>0</v>
      </c>
      <c r="AX372" s="190">
        <f t="shared" ca="1" si="90"/>
        <v>0</v>
      </c>
    </row>
    <row r="373" spans="1:50" ht="15" customHeight="1" x14ac:dyDescent="0.25">
      <c r="A373" s="45"/>
      <c r="B373" s="675"/>
      <c r="C373" s="629"/>
      <c r="D373" s="242"/>
      <c r="E373" s="190" t="str">
        <f xml:space="preserve"> Translate!E$272</f>
        <v>Loan IRR: Lender</v>
      </c>
      <c r="F373" s="555">
        <f ca="1" xml:space="preserve"> IFERROR( IRR(K372:AX372), 0)</f>
        <v>5.0909641863991384E-2</v>
      </c>
      <c r="G373" s="190" t="str">
        <f xml:space="preserve"> Translate!E$408</f>
        <v>% p.a.</v>
      </c>
      <c r="H373" s="190"/>
      <c r="I373" s="190"/>
      <c r="J373" s="190"/>
      <c r="K373" s="190"/>
      <c r="L373" s="190"/>
      <c r="M373" s="190"/>
      <c r="N373" s="190"/>
      <c r="O373" s="190"/>
      <c r="P373" s="190"/>
      <c r="Q373" s="190"/>
      <c r="R373" s="190"/>
      <c r="S373" s="190"/>
      <c r="T373" s="190"/>
      <c r="U373" s="190"/>
      <c r="V373" s="190"/>
      <c r="W373" s="190"/>
      <c r="X373" s="190"/>
      <c r="Y373" s="190"/>
      <c r="Z373" s="190"/>
      <c r="AA373" s="190"/>
      <c r="AB373" s="190"/>
      <c r="AC373" s="190"/>
      <c r="AD373" s="190"/>
      <c r="AE373" s="190"/>
      <c r="AF373" s="190"/>
      <c r="AG373" s="190"/>
      <c r="AH373" s="190"/>
      <c r="AI373" s="190"/>
      <c r="AJ373" s="190"/>
      <c r="AK373" s="190"/>
      <c r="AL373" s="190"/>
      <c r="AM373" s="190"/>
      <c r="AN373" s="190"/>
      <c r="AO373" s="190"/>
      <c r="AP373" s="190"/>
      <c r="AQ373" s="190"/>
      <c r="AR373" s="190"/>
      <c r="AS373" s="190"/>
      <c r="AT373" s="190"/>
      <c r="AU373" s="190"/>
      <c r="AV373" s="190"/>
      <c r="AW373" s="190"/>
      <c r="AX373" s="190"/>
    </row>
    <row r="374" spans="1:50" ht="15" customHeight="1" x14ac:dyDescent="0.25">
      <c r="A374" s="85"/>
      <c r="B374" s="677"/>
      <c r="C374" s="628"/>
      <c r="D374" s="238"/>
      <c r="E374" s="239"/>
      <c r="F374" s="555"/>
      <c r="G374" s="239"/>
      <c r="H374" s="13"/>
      <c r="I374" s="238"/>
      <c r="J374" s="240"/>
      <c r="K374" s="12"/>
      <c r="L374" s="12"/>
      <c r="M374" s="12"/>
      <c r="N374" s="12"/>
      <c r="O374" s="12"/>
      <c r="P374" s="12"/>
      <c r="Q374" s="12"/>
      <c r="R374" s="12"/>
      <c r="S374" s="12"/>
      <c r="T374" s="12"/>
      <c r="U374" s="12"/>
      <c r="V374" s="12"/>
      <c r="W374" s="12"/>
      <c r="X374" s="12"/>
      <c r="Y374" s="12"/>
      <c r="Z374" s="12"/>
      <c r="AA374" s="12"/>
      <c r="AB374" s="12"/>
      <c r="AC374" s="12"/>
      <c r="AD374" s="12"/>
      <c r="AE374" s="12"/>
      <c r="AF374" s="12"/>
      <c r="AG374" s="12"/>
      <c r="AH374" s="12"/>
      <c r="AI374" s="12"/>
      <c r="AJ374" s="12"/>
      <c r="AK374" s="12"/>
      <c r="AL374" s="12"/>
      <c r="AM374" s="12"/>
      <c r="AN374" s="12"/>
      <c r="AO374" s="12"/>
      <c r="AP374" s="12"/>
      <c r="AQ374" s="12"/>
      <c r="AR374" s="12"/>
      <c r="AS374" s="12"/>
      <c r="AT374" s="12"/>
      <c r="AU374" s="12"/>
      <c r="AV374" s="12"/>
      <c r="AW374" s="12"/>
      <c r="AX374" s="12"/>
    </row>
    <row r="375" spans="1:50" ht="15" customHeight="1" x14ac:dyDescent="0.25">
      <c r="A375" s="85"/>
      <c r="B375" s="677"/>
      <c r="C375" s="633" t="str">
        <f>Translate!$E$486</f>
        <v>Interest accounting</v>
      </c>
      <c r="D375" s="250"/>
      <c r="E375" s="239"/>
      <c r="F375" s="555"/>
      <c r="G375" s="239"/>
      <c r="H375" s="13"/>
      <c r="I375" s="238"/>
      <c r="J375" s="240"/>
      <c r="K375" s="12"/>
      <c r="L375" s="12"/>
      <c r="M375" s="12"/>
      <c r="N375" s="12"/>
      <c r="O375" s="12"/>
      <c r="P375" s="12"/>
      <c r="Q375" s="12"/>
      <c r="R375" s="12"/>
      <c r="S375" s="12"/>
      <c r="T375" s="12"/>
      <c r="U375" s="12"/>
      <c r="V375" s="12"/>
      <c r="W375" s="12"/>
      <c r="X375" s="12"/>
      <c r="Y375" s="12"/>
      <c r="Z375" s="12"/>
      <c r="AA375" s="12"/>
      <c r="AB375" s="12"/>
      <c r="AC375" s="12"/>
      <c r="AD375" s="12"/>
      <c r="AE375" s="12"/>
      <c r="AF375" s="12"/>
      <c r="AG375" s="12"/>
      <c r="AH375" s="12"/>
      <c r="AI375" s="12"/>
      <c r="AJ375" s="12"/>
      <c r="AK375" s="12"/>
      <c r="AL375" s="12"/>
      <c r="AM375" s="12"/>
      <c r="AN375" s="12"/>
      <c r="AO375" s="12"/>
      <c r="AP375" s="12"/>
      <c r="AQ375" s="12"/>
      <c r="AR375" s="12"/>
      <c r="AS375" s="12"/>
      <c r="AT375" s="12"/>
      <c r="AU375" s="12"/>
      <c r="AV375" s="12"/>
      <c r="AW375" s="12"/>
      <c r="AX375" s="12"/>
    </row>
    <row r="376" spans="1:50" ht="15" customHeight="1" x14ac:dyDescent="0.25">
      <c r="A376" s="86"/>
      <c r="B376" s="677"/>
      <c r="C376" s="604"/>
      <c r="D376" s="217"/>
      <c r="E376" s="55" t="str">
        <f t="shared" ref="E376:AX376" si="91" xml:space="preserve"> E$350</f>
        <v>Interest charged</v>
      </c>
      <c r="F376" s="64">
        <f t="shared" si="91"/>
        <v>0</v>
      </c>
      <c r="G376" s="55" t="str">
        <f t="shared" si="91"/>
        <v>US$ mn</v>
      </c>
      <c r="H376" s="55">
        <f t="shared" si="91"/>
        <v>0</v>
      </c>
      <c r="I376" s="55">
        <f t="shared" ca="1" si="91"/>
        <v>1379.9321574565743</v>
      </c>
      <c r="J376" s="55">
        <f t="shared" si="91"/>
        <v>0</v>
      </c>
      <c r="K376" s="55">
        <f t="shared" ca="1" si="91"/>
        <v>0</v>
      </c>
      <c r="L376" s="55">
        <f t="shared" ca="1" si="91"/>
        <v>0.90320999999999951</v>
      </c>
      <c r="M376" s="55">
        <f t="shared" ca="1" si="91"/>
        <v>7.379767625999996</v>
      </c>
      <c r="N376" s="55">
        <f t="shared" ca="1" si="91"/>
        <v>35.833621483875582</v>
      </c>
      <c r="O376" s="55">
        <f t="shared" ca="1" si="91"/>
        <v>83.203443411279665</v>
      </c>
      <c r="P376" s="55">
        <f t="shared" ca="1" si="91"/>
        <v>151.47925506402157</v>
      </c>
      <c r="Q376" s="55">
        <f t="shared" ca="1" si="91"/>
        <v>200.20597452207224</v>
      </c>
      <c r="R376" s="55">
        <f t="shared" ca="1" si="91"/>
        <v>180.18537706986501</v>
      </c>
      <c r="S376" s="55">
        <f t="shared" ca="1" si="91"/>
        <v>160.16477961765779</v>
      </c>
      <c r="T376" s="55">
        <f t="shared" ca="1" si="91"/>
        <v>140.14418216545056</v>
      </c>
      <c r="U376" s="55">
        <f t="shared" ca="1" si="91"/>
        <v>120.12358471324332</v>
      </c>
      <c r="V376" s="55">
        <f t="shared" ca="1" si="91"/>
        <v>100.10298726103611</v>
      </c>
      <c r="W376" s="55">
        <f t="shared" ca="1" si="91"/>
        <v>80.082389808828893</v>
      </c>
      <c r="X376" s="55">
        <f t="shared" ca="1" si="91"/>
        <v>60.061792356621659</v>
      </c>
      <c r="Y376" s="55">
        <f t="shared" ca="1" si="91"/>
        <v>40.041194904414446</v>
      </c>
      <c r="Z376" s="55">
        <f t="shared" ca="1" si="91"/>
        <v>20.020597452207223</v>
      </c>
      <c r="AA376" s="55">
        <f t="shared" ca="1" si="91"/>
        <v>0</v>
      </c>
      <c r="AB376" s="55">
        <f t="shared" ca="1" si="91"/>
        <v>0</v>
      </c>
      <c r="AC376" s="55">
        <f t="shared" ca="1" si="91"/>
        <v>0</v>
      </c>
      <c r="AD376" s="55">
        <f t="shared" ca="1" si="91"/>
        <v>0</v>
      </c>
      <c r="AE376" s="55">
        <f t="shared" ca="1" si="91"/>
        <v>0</v>
      </c>
      <c r="AF376" s="55">
        <f t="shared" ca="1" si="91"/>
        <v>0</v>
      </c>
      <c r="AG376" s="55">
        <f t="shared" ca="1" si="91"/>
        <v>0</v>
      </c>
      <c r="AH376" s="55">
        <f t="shared" ca="1" si="91"/>
        <v>0</v>
      </c>
      <c r="AI376" s="55">
        <f t="shared" ca="1" si="91"/>
        <v>0</v>
      </c>
      <c r="AJ376" s="55">
        <f t="shared" ca="1" si="91"/>
        <v>0</v>
      </c>
      <c r="AK376" s="55">
        <f t="shared" ca="1" si="91"/>
        <v>0</v>
      </c>
      <c r="AL376" s="55">
        <f t="shared" ca="1" si="91"/>
        <v>0</v>
      </c>
      <c r="AM376" s="55">
        <f t="shared" ca="1" si="91"/>
        <v>0</v>
      </c>
      <c r="AN376" s="55">
        <f t="shared" ca="1" si="91"/>
        <v>0</v>
      </c>
      <c r="AO376" s="55">
        <f t="shared" ca="1" si="91"/>
        <v>0</v>
      </c>
      <c r="AP376" s="55">
        <f t="shared" ca="1" si="91"/>
        <v>0</v>
      </c>
      <c r="AQ376" s="55">
        <f t="shared" ca="1" si="91"/>
        <v>0</v>
      </c>
      <c r="AR376" s="55">
        <f t="shared" ca="1" si="91"/>
        <v>0</v>
      </c>
      <c r="AS376" s="55">
        <f t="shared" ca="1" si="91"/>
        <v>0</v>
      </c>
      <c r="AT376" s="55">
        <f t="shared" ca="1" si="91"/>
        <v>0</v>
      </c>
      <c r="AU376" s="55">
        <f t="shared" ca="1" si="91"/>
        <v>0</v>
      </c>
      <c r="AV376" s="55">
        <f t="shared" ca="1" si="91"/>
        <v>0</v>
      </c>
      <c r="AW376" s="55">
        <f t="shared" ca="1" si="91"/>
        <v>0</v>
      </c>
      <c r="AX376" s="55">
        <f t="shared" ca="1" si="91"/>
        <v>0</v>
      </c>
    </row>
    <row r="377" spans="1:50" s="40" customFormat="1" ht="15" customHeight="1" x14ac:dyDescent="0.25">
      <c r="A377" s="222"/>
      <c r="B377" s="675"/>
      <c r="C377" s="634"/>
      <c r="D377" s="140"/>
      <c r="E377" s="140" t="str">
        <f xml:space="preserve"> ProjectCashflows!E$181</f>
        <v>Cumulative production years</v>
      </c>
      <c r="F377" s="540">
        <f xml:space="preserve"> ProjectCashflows!F$181</f>
        <v>0</v>
      </c>
      <c r="G377" s="140" t="str">
        <f xml:space="preserve"> ProjectCashflows!G$181</f>
        <v>Year</v>
      </c>
      <c r="H377" s="140">
        <f xml:space="preserve"> ProjectCashflows!H$181</f>
        <v>0</v>
      </c>
      <c r="I377" s="140">
        <f xml:space="preserve"> ProjectCashflows!I$181</f>
        <v>0</v>
      </c>
      <c r="J377" s="140">
        <f xml:space="preserve"> ProjectCashflows!J$181</f>
        <v>0</v>
      </c>
      <c r="K377" s="140">
        <f ca="1" xml:space="preserve"> ProjectCashflows!K$181</f>
        <v>0</v>
      </c>
      <c r="L377" s="140">
        <f ca="1" xml:space="preserve"> ProjectCashflows!L$181</f>
        <v>0</v>
      </c>
      <c r="M377" s="140">
        <f ca="1" xml:space="preserve"> ProjectCashflows!M$181</f>
        <v>0</v>
      </c>
      <c r="N377" s="140">
        <f ca="1" xml:space="preserve"> ProjectCashflows!N$181</f>
        <v>0</v>
      </c>
      <c r="O377" s="140">
        <f ca="1" xml:space="preserve"> ProjectCashflows!O$181</f>
        <v>1</v>
      </c>
      <c r="P377" s="140">
        <f ca="1" xml:space="preserve"> ProjectCashflows!P$181</f>
        <v>2</v>
      </c>
      <c r="Q377" s="140">
        <f ca="1" xml:space="preserve"> ProjectCashflows!Q$181</f>
        <v>3</v>
      </c>
      <c r="R377" s="140">
        <f ca="1" xml:space="preserve"> ProjectCashflows!R$181</f>
        <v>4</v>
      </c>
      <c r="S377" s="140">
        <f ca="1" xml:space="preserve"> ProjectCashflows!S$181</f>
        <v>5</v>
      </c>
      <c r="T377" s="140">
        <f ca="1" xml:space="preserve"> ProjectCashflows!T$181</f>
        <v>6</v>
      </c>
      <c r="U377" s="140">
        <f ca="1" xml:space="preserve"> ProjectCashflows!U$181</f>
        <v>7</v>
      </c>
      <c r="V377" s="140">
        <f ca="1" xml:space="preserve"> ProjectCashflows!V$181</f>
        <v>8</v>
      </c>
      <c r="W377" s="140">
        <f ca="1" xml:space="preserve"> ProjectCashflows!W$181</f>
        <v>9</v>
      </c>
      <c r="X377" s="140">
        <f ca="1" xml:space="preserve"> ProjectCashflows!X$181</f>
        <v>10</v>
      </c>
      <c r="Y377" s="140">
        <f ca="1" xml:space="preserve"> ProjectCashflows!Y$181</f>
        <v>11</v>
      </c>
      <c r="Z377" s="140">
        <f ca="1" xml:space="preserve"> ProjectCashflows!Z$181</f>
        <v>12</v>
      </c>
      <c r="AA377" s="140">
        <f ca="1" xml:space="preserve"> ProjectCashflows!AA$181</f>
        <v>13</v>
      </c>
      <c r="AB377" s="140">
        <f ca="1" xml:space="preserve"> ProjectCashflows!AB$181</f>
        <v>14</v>
      </c>
      <c r="AC377" s="140">
        <f ca="1" xml:space="preserve"> ProjectCashflows!AC$181</f>
        <v>15</v>
      </c>
      <c r="AD377" s="140">
        <f ca="1" xml:space="preserve"> ProjectCashflows!AD$181</f>
        <v>16</v>
      </c>
      <c r="AE377" s="140">
        <f ca="1" xml:space="preserve"> ProjectCashflows!AE$181</f>
        <v>17</v>
      </c>
      <c r="AF377" s="140">
        <f ca="1" xml:space="preserve"> ProjectCashflows!AF$181</f>
        <v>18</v>
      </c>
      <c r="AG377" s="140">
        <f ca="1" xml:space="preserve"> ProjectCashflows!AG$181</f>
        <v>19</v>
      </c>
      <c r="AH377" s="140">
        <f ca="1" xml:space="preserve"> ProjectCashflows!AH$181</f>
        <v>20</v>
      </c>
      <c r="AI377" s="140">
        <f ca="1" xml:space="preserve"> ProjectCashflows!AI$181</f>
        <v>21</v>
      </c>
      <c r="AJ377" s="140">
        <f ca="1" xml:space="preserve"> ProjectCashflows!AJ$181</f>
        <v>22</v>
      </c>
      <c r="AK377" s="140">
        <f ca="1" xml:space="preserve"> ProjectCashflows!AK$181</f>
        <v>23</v>
      </c>
      <c r="AL377" s="140">
        <f ca="1" xml:space="preserve"> ProjectCashflows!AL$181</f>
        <v>24</v>
      </c>
      <c r="AM377" s="140">
        <f ca="1" xml:space="preserve"> ProjectCashflows!AM$181</f>
        <v>25</v>
      </c>
      <c r="AN377" s="140">
        <f ca="1" xml:space="preserve"> ProjectCashflows!AN$181</f>
        <v>26</v>
      </c>
      <c r="AO377" s="140">
        <f ca="1" xml:space="preserve"> ProjectCashflows!AO$181</f>
        <v>27</v>
      </c>
      <c r="AP377" s="140">
        <f ca="1" xml:space="preserve"> ProjectCashflows!AP$181</f>
        <v>0</v>
      </c>
      <c r="AQ377" s="140">
        <f ca="1" xml:space="preserve"> ProjectCashflows!AQ$181</f>
        <v>0</v>
      </c>
      <c r="AR377" s="140">
        <f ca="1" xml:space="preserve"> ProjectCashflows!AR$181</f>
        <v>0</v>
      </c>
      <c r="AS377" s="140">
        <f ca="1" xml:space="preserve"> ProjectCashflows!AS$181</f>
        <v>0</v>
      </c>
      <c r="AT377" s="140">
        <f ca="1" xml:space="preserve"> ProjectCashflows!AT$181</f>
        <v>0</v>
      </c>
      <c r="AU377" s="140">
        <f ca="1" xml:space="preserve"> ProjectCashflows!AU$181</f>
        <v>0</v>
      </c>
      <c r="AV377" s="140">
        <f ca="1" xml:space="preserve"> ProjectCashflows!AV$181</f>
        <v>0</v>
      </c>
      <c r="AW377" s="140">
        <f ca="1" xml:space="preserve"> ProjectCashflows!AW$181</f>
        <v>0</v>
      </c>
      <c r="AX377" s="140">
        <f ca="1" xml:space="preserve"> ProjectCashflows!AX$181</f>
        <v>0</v>
      </c>
    </row>
    <row r="378" spans="1:50" ht="15" customHeight="1" x14ac:dyDescent="0.25">
      <c r="A378" s="86"/>
      <c r="B378" s="677"/>
      <c r="C378" s="604"/>
      <c r="D378" s="217"/>
      <c r="E378" s="13" t="str">
        <f xml:space="preserve"> Translate!E$273</f>
        <v>Interest capitalized into development costs</v>
      </c>
      <c r="F378" s="151"/>
      <c r="G378" s="13" t="str">
        <f xml:space="preserve"> Translate!E$603</f>
        <v>US$ mn</v>
      </c>
      <c r="H378" s="13"/>
      <c r="I378" s="217">
        <f ca="1" xml:space="preserve"> SUM(K378:AX378)</f>
        <v>44.11659910987558</v>
      </c>
      <c r="J378" s="237"/>
      <c r="K378" s="55">
        <f t="shared" ref="K378:AX378" ca="1" si="92" xml:space="preserve"> K376 * (K377 = 0)</f>
        <v>0</v>
      </c>
      <c r="L378" s="55">
        <f t="shared" ca="1" si="92"/>
        <v>0.90320999999999951</v>
      </c>
      <c r="M378" s="55">
        <f t="shared" ca="1" si="92"/>
        <v>7.379767625999996</v>
      </c>
      <c r="N378" s="55">
        <f t="shared" ca="1" si="92"/>
        <v>35.833621483875582</v>
      </c>
      <c r="O378" s="55">
        <f t="shared" ca="1" si="92"/>
        <v>0</v>
      </c>
      <c r="P378" s="55">
        <f t="shared" ca="1" si="92"/>
        <v>0</v>
      </c>
      <c r="Q378" s="55">
        <f t="shared" ca="1" si="92"/>
        <v>0</v>
      </c>
      <c r="R378" s="55">
        <f t="shared" ca="1" si="92"/>
        <v>0</v>
      </c>
      <c r="S378" s="55">
        <f t="shared" ca="1" si="92"/>
        <v>0</v>
      </c>
      <c r="T378" s="55">
        <f t="shared" ca="1" si="92"/>
        <v>0</v>
      </c>
      <c r="U378" s="55">
        <f t="shared" ca="1" si="92"/>
        <v>0</v>
      </c>
      <c r="V378" s="55">
        <f t="shared" ca="1" si="92"/>
        <v>0</v>
      </c>
      <c r="W378" s="55">
        <f t="shared" ca="1" si="92"/>
        <v>0</v>
      </c>
      <c r="X378" s="55">
        <f t="shared" ca="1" si="92"/>
        <v>0</v>
      </c>
      <c r="Y378" s="55">
        <f t="shared" ca="1" si="92"/>
        <v>0</v>
      </c>
      <c r="Z378" s="55">
        <f t="shared" ca="1" si="92"/>
        <v>0</v>
      </c>
      <c r="AA378" s="55">
        <f t="shared" ca="1" si="92"/>
        <v>0</v>
      </c>
      <c r="AB378" s="55">
        <f t="shared" ca="1" si="92"/>
        <v>0</v>
      </c>
      <c r="AC378" s="55">
        <f t="shared" ca="1" si="92"/>
        <v>0</v>
      </c>
      <c r="AD378" s="55">
        <f t="shared" ca="1" si="92"/>
        <v>0</v>
      </c>
      <c r="AE378" s="55">
        <f t="shared" ca="1" si="92"/>
        <v>0</v>
      </c>
      <c r="AF378" s="55">
        <f t="shared" ca="1" si="92"/>
        <v>0</v>
      </c>
      <c r="AG378" s="55">
        <f t="shared" ca="1" si="92"/>
        <v>0</v>
      </c>
      <c r="AH378" s="55">
        <f t="shared" ca="1" si="92"/>
        <v>0</v>
      </c>
      <c r="AI378" s="55">
        <f t="shared" ca="1" si="92"/>
        <v>0</v>
      </c>
      <c r="AJ378" s="55">
        <f t="shared" ca="1" si="92"/>
        <v>0</v>
      </c>
      <c r="AK378" s="55">
        <f t="shared" ca="1" si="92"/>
        <v>0</v>
      </c>
      <c r="AL378" s="55">
        <f t="shared" ca="1" si="92"/>
        <v>0</v>
      </c>
      <c r="AM378" s="55">
        <f t="shared" ca="1" si="92"/>
        <v>0</v>
      </c>
      <c r="AN378" s="55">
        <f t="shared" ca="1" si="92"/>
        <v>0</v>
      </c>
      <c r="AO378" s="55">
        <f t="shared" ca="1" si="92"/>
        <v>0</v>
      </c>
      <c r="AP378" s="55">
        <f t="shared" ca="1" si="92"/>
        <v>0</v>
      </c>
      <c r="AQ378" s="55">
        <f t="shared" ca="1" si="92"/>
        <v>0</v>
      </c>
      <c r="AR378" s="55">
        <f t="shared" ca="1" si="92"/>
        <v>0</v>
      </c>
      <c r="AS378" s="55">
        <f t="shared" ca="1" si="92"/>
        <v>0</v>
      </c>
      <c r="AT378" s="55">
        <f t="shared" ca="1" si="92"/>
        <v>0</v>
      </c>
      <c r="AU378" s="55">
        <f t="shared" ca="1" si="92"/>
        <v>0</v>
      </c>
      <c r="AV378" s="55">
        <f t="shared" ca="1" si="92"/>
        <v>0</v>
      </c>
      <c r="AW378" s="55">
        <f t="shared" ca="1" si="92"/>
        <v>0</v>
      </c>
      <c r="AX378" s="55">
        <f t="shared" ca="1" si="92"/>
        <v>0</v>
      </c>
    </row>
    <row r="379" spans="1:50" ht="15" customHeight="1" x14ac:dyDescent="0.25">
      <c r="A379" s="86"/>
      <c r="B379" s="677"/>
      <c r="C379" s="604"/>
      <c r="D379" s="217"/>
      <c r="E379" s="13" t="str">
        <f xml:space="preserve"> Translate!E$274</f>
        <v>Interest expensed</v>
      </c>
      <c r="F379" s="151"/>
      <c r="G379" s="13" t="str">
        <f xml:space="preserve"> Translate!E$603</f>
        <v>US$ mn</v>
      </c>
      <c r="H379" s="13"/>
      <c r="I379" s="217">
        <f ca="1" xml:space="preserve"> SUM(K379:AX379)</f>
        <v>1335.8155583466985</v>
      </c>
      <c r="J379" s="237"/>
      <c r="K379" s="55">
        <f t="shared" ref="K379:AX379" ca="1" si="93" xml:space="preserve"> K376 * ( K377 &gt; 0 )</f>
        <v>0</v>
      </c>
      <c r="L379" s="55">
        <f t="shared" ca="1" si="93"/>
        <v>0</v>
      </c>
      <c r="M379" s="55">
        <f t="shared" ca="1" si="93"/>
        <v>0</v>
      </c>
      <c r="N379" s="55">
        <f t="shared" ca="1" si="93"/>
        <v>0</v>
      </c>
      <c r="O379" s="55">
        <f t="shared" ca="1" si="93"/>
        <v>83.203443411279665</v>
      </c>
      <c r="P379" s="55">
        <f t="shared" ca="1" si="93"/>
        <v>151.47925506402157</v>
      </c>
      <c r="Q379" s="55">
        <f t="shared" ca="1" si="93"/>
        <v>200.20597452207224</v>
      </c>
      <c r="R379" s="55">
        <f t="shared" ca="1" si="93"/>
        <v>180.18537706986501</v>
      </c>
      <c r="S379" s="55">
        <f t="shared" ca="1" si="93"/>
        <v>160.16477961765779</v>
      </c>
      <c r="T379" s="55">
        <f t="shared" ca="1" si="93"/>
        <v>140.14418216545056</v>
      </c>
      <c r="U379" s="55">
        <f t="shared" ca="1" si="93"/>
        <v>120.12358471324332</v>
      </c>
      <c r="V379" s="55">
        <f t="shared" ca="1" si="93"/>
        <v>100.10298726103611</v>
      </c>
      <c r="W379" s="55">
        <f t="shared" ca="1" si="93"/>
        <v>80.082389808828893</v>
      </c>
      <c r="X379" s="55">
        <f t="shared" ca="1" si="93"/>
        <v>60.061792356621659</v>
      </c>
      <c r="Y379" s="55">
        <f t="shared" ca="1" si="93"/>
        <v>40.041194904414446</v>
      </c>
      <c r="Z379" s="55">
        <f t="shared" ca="1" si="93"/>
        <v>20.020597452207223</v>
      </c>
      <c r="AA379" s="55">
        <f t="shared" ca="1" si="93"/>
        <v>0</v>
      </c>
      <c r="AB379" s="55">
        <f t="shared" ca="1" si="93"/>
        <v>0</v>
      </c>
      <c r="AC379" s="55">
        <f t="shared" ca="1" si="93"/>
        <v>0</v>
      </c>
      <c r="AD379" s="55">
        <f t="shared" ca="1" si="93"/>
        <v>0</v>
      </c>
      <c r="AE379" s="55">
        <f t="shared" ca="1" si="93"/>
        <v>0</v>
      </c>
      <c r="AF379" s="55">
        <f t="shared" ca="1" si="93"/>
        <v>0</v>
      </c>
      <c r="AG379" s="55">
        <f t="shared" ca="1" si="93"/>
        <v>0</v>
      </c>
      <c r="AH379" s="55">
        <f t="shared" ca="1" si="93"/>
        <v>0</v>
      </c>
      <c r="AI379" s="55">
        <f t="shared" ca="1" si="93"/>
        <v>0</v>
      </c>
      <c r="AJ379" s="55">
        <f t="shared" ca="1" si="93"/>
        <v>0</v>
      </c>
      <c r="AK379" s="55">
        <f t="shared" ca="1" si="93"/>
        <v>0</v>
      </c>
      <c r="AL379" s="55">
        <f t="shared" ca="1" si="93"/>
        <v>0</v>
      </c>
      <c r="AM379" s="55">
        <f t="shared" ca="1" si="93"/>
        <v>0</v>
      </c>
      <c r="AN379" s="55">
        <f t="shared" ca="1" si="93"/>
        <v>0</v>
      </c>
      <c r="AO379" s="55">
        <f t="shared" ca="1" si="93"/>
        <v>0</v>
      </c>
      <c r="AP379" s="55">
        <f t="shared" ca="1" si="93"/>
        <v>0</v>
      </c>
      <c r="AQ379" s="55">
        <f t="shared" ca="1" si="93"/>
        <v>0</v>
      </c>
      <c r="AR379" s="55">
        <f t="shared" ca="1" si="93"/>
        <v>0</v>
      </c>
      <c r="AS379" s="55">
        <f t="shared" ca="1" si="93"/>
        <v>0</v>
      </c>
      <c r="AT379" s="55">
        <f t="shared" ca="1" si="93"/>
        <v>0</v>
      </c>
      <c r="AU379" s="55">
        <f t="shared" ca="1" si="93"/>
        <v>0</v>
      </c>
      <c r="AV379" s="55">
        <f t="shared" ca="1" si="93"/>
        <v>0</v>
      </c>
      <c r="AW379" s="55">
        <f t="shared" ca="1" si="93"/>
        <v>0</v>
      </c>
      <c r="AX379" s="55">
        <f t="shared" ca="1" si="93"/>
        <v>0</v>
      </c>
    </row>
    <row r="380" spans="1:50" ht="15" customHeight="1" x14ac:dyDescent="0.25">
      <c r="A380" s="86"/>
      <c r="B380" s="677"/>
      <c r="C380" s="604"/>
      <c r="D380" s="217"/>
      <c r="E380" s="13"/>
      <c r="F380" s="560"/>
      <c r="G380" s="13"/>
      <c r="H380" s="13"/>
      <c r="I380" s="217"/>
      <c r="J380" s="237"/>
      <c r="K380" s="98"/>
      <c r="L380" s="98"/>
      <c r="M380" s="98"/>
      <c r="N380" s="98"/>
      <c r="O380" s="98"/>
      <c r="P380" s="98"/>
      <c r="Q380" s="98"/>
      <c r="R380" s="98"/>
      <c r="S380" s="98"/>
      <c r="T380" s="98"/>
      <c r="U380" s="98"/>
      <c r="V380" s="98"/>
      <c r="W380" s="98"/>
      <c r="X380" s="98"/>
      <c r="Y380" s="98"/>
      <c r="Z380" s="98"/>
      <c r="AA380" s="98"/>
      <c r="AB380" s="98"/>
      <c r="AC380" s="98"/>
      <c r="AD380" s="98"/>
      <c r="AE380" s="98"/>
      <c r="AF380" s="98"/>
      <c r="AG380" s="98"/>
      <c r="AH380" s="98"/>
      <c r="AI380" s="98"/>
      <c r="AJ380" s="98"/>
      <c r="AK380" s="98"/>
      <c r="AL380" s="98"/>
      <c r="AM380" s="98"/>
      <c r="AN380" s="98"/>
      <c r="AO380" s="98"/>
      <c r="AP380" s="98"/>
      <c r="AQ380" s="98"/>
      <c r="AR380" s="98"/>
      <c r="AS380" s="98"/>
      <c r="AT380" s="98"/>
      <c r="AU380" s="98"/>
      <c r="AV380" s="98"/>
      <c r="AW380" s="98"/>
      <c r="AX380" s="98"/>
    </row>
    <row r="381" spans="1:50" ht="15" customHeight="1" x14ac:dyDescent="0.25">
      <c r="A381" s="85"/>
      <c r="B381" s="677"/>
      <c r="C381" s="628"/>
      <c r="D381" s="238"/>
      <c r="E381" s="13" t="str">
        <f>Translate!E$601 &amp; ": "  &amp; E376</f>
        <v>Total: Interest charged</v>
      </c>
      <c r="F381" s="269">
        <f ca="1" xml:space="preserve"> SUM(K376:AX376)</f>
        <v>1379.9321574565743</v>
      </c>
      <c r="G381" s="13" t="str">
        <f xml:space="preserve"> G376</f>
        <v>US$ mn</v>
      </c>
      <c r="H381" s="13"/>
      <c r="I381" s="238"/>
      <c r="J381" s="240"/>
      <c r="K381" s="12"/>
      <c r="L381" s="12"/>
      <c r="M381" s="12"/>
      <c r="N381" s="12"/>
      <c r="O381" s="12"/>
      <c r="P381" s="12"/>
      <c r="Q381" s="12"/>
      <c r="R381" s="12"/>
      <c r="S381" s="12"/>
      <c r="T381" s="12"/>
      <c r="U381" s="12"/>
      <c r="V381" s="12"/>
      <c r="W381" s="12"/>
      <c r="X381" s="12"/>
      <c r="Y381" s="12"/>
      <c r="Z381" s="12"/>
      <c r="AA381" s="12"/>
      <c r="AB381" s="12"/>
      <c r="AC381" s="12"/>
      <c r="AD381" s="12"/>
      <c r="AE381" s="12"/>
      <c r="AF381" s="12"/>
      <c r="AG381" s="12"/>
      <c r="AH381" s="12"/>
      <c r="AI381" s="12"/>
      <c r="AJ381" s="12"/>
      <c r="AK381" s="12"/>
      <c r="AL381" s="12"/>
      <c r="AM381" s="12"/>
      <c r="AN381" s="12"/>
      <c r="AO381" s="12"/>
      <c r="AP381" s="12"/>
      <c r="AQ381" s="12"/>
      <c r="AR381" s="12"/>
      <c r="AS381" s="12"/>
      <c r="AT381" s="12"/>
      <c r="AU381" s="12"/>
      <c r="AV381" s="12"/>
      <c r="AW381" s="12"/>
      <c r="AX381" s="12"/>
    </row>
    <row r="382" spans="1:50" ht="15" customHeight="1" x14ac:dyDescent="0.25">
      <c r="A382" s="86"/>
      <c r="B382" s="677"/>
      <c r="C382" s="604"/>
      <c r="D382" s="217"/>
      <c r="E382" s="13" t="str">
        <f>Translate!E$601 &amp; ": "  &amp; E378</f>
        <v>Total: Interest capitalized into development costs</v>
      </c>
      <c r="F382" s="269">
        <f ca="1" xml:space="preserve"> SUM(K378:AX378)</f>
        <v>44.11659910987558</v>
      </c>
      <c r="G382" s="13" t="str">
        <f xml:space="preserve"> G378</f>
        <v>US$ mn</v>
      </c>
      <c r="H382" s="13"/>
      <c r="I382" s="217"/>
      <c r="J382" s="237"/>
      <c r="K382" s="98"/>
      <c r="L382" s="98"/>
      <c r="M382" s="98"/>
      <c r="N382" s="98"/>
      <c r="O382" s="98"/>
      <c r="P382" s="98"/>
      <c r="Q382" s="98"/>
      <c r="R382" s="98"/>
      <c r="S382" s="98"/>
      <c r="T382" s="98"/>
      <c r="U382" s="98"/>
      <c r="V382" s="98"/>
      <c r="W382" s="98"/>
      <c r="X382" s="98"/>
      <c r="Y382" s="98"/>
      <c r="Z382" s="98"/>
      <c r="AA382" s="98"/>
      <c r="AB382" s="98"/>
      <c r="AC382" s="98"/>
      <c r="AD382" s="98"/>
      <c r="AE382" s="98"/>
      <c r="AF382" s="98"/>
      <c r="AG382" s="98"/>
      <c r="AH382" s="98"/>
      <c r="AI382" s="98"/>
      <c r="AJ382" s="98"/>
      <c r="AK382" s="98"/>
      <c r="AL382" s="98"/>
      <c r="AM382" s="98"/>
      <c r="AN382" s="98"/>
      <c r="AO382" s="98"/>
      <c r="AP382" s="98"/>
      <c r="AQ382" s="98"/>
      <c r="AR382" s="98"/>
      <c r="AS382" s="98"/>
      <c r="AT382" s="98"/>
      <c r="AU382" s="98"/>
      <c r="AV382" s="98"/>
      <c r="AW382" s="98"/>
      <c r="AX382" s="98"/>
    </row>
    <row r="383" spans="1:50" ht="15" customHeight="1" x14ac:dyDescent="0.25">
      <c r="A383" s="86"/>
      <c r="B383" s="677"/>
      <c r="C383" s="604"/>
      <c r="D383" s="217"/>
      <c r="E383" s="13" t="str">
        <f>Translate!E$601 &amp; ": "  &amp; E379</f>
        <v>Total: Interest expensed</v>
      </c>
      <c r="F383" s="269">
        <f ca="1" xml:space="preserve"> SUM(K379:AX379)</f>
        <v>1335.8155583466985</v>
      </c>
      <c r="G383" s="13" t="str">
        <f xml:space="preserve"> G379</f>
        <v>US$ mn</v>
      </c>
      <c r="H383" s="13"/>
      <c r="I383" s="217"/>
      <c r="J383" s="237"/>
      <c r="K383" s="98"/>
      <c r="L383" s="98"/>
      <c r="M383" s="98"/>
      <c r="N383" s="98"/>
      <c r="O383" s="98"/>
      <c r="P383" s="98"/>
      <c r="Q383" s="98"/>
      <c r="R383" s="98"/>
      <c r="S383" s="98"/>
      <c r="T383" s="98"/>
      <c r="U383" s="98"/>
      <c r="V383" s="98"/>
      <c r="W383" s="98"/>
      <c r="X383" s="98"/>
      <c r="Y383" s="98"/>
      <c r="Z383" s="98"/>
      <c r="AA383" s="98"/>
      <c r="AB383" s="98"/>
      <c r="AC383" s="98"/>
      <c r="AD383" s="98"/>
      <c r="AE383" s="98"/>
      <c r="AF383" s="98"/>
      <c r="AG383" s="98"/>
      <c r="AH383" s="98"/>
      <c r="AI383" s="98"/>
      <c r="AJ383" s="98"/>
      <c r="AK383" s="98"/>
      <c r="AL383" s="98"/>
      <c r="AM383" s="98"/>
      <c r="AN383" s="98"/>
      <c r="AO383" s="98"/>
      <c r="AP383" s="98"/>
      <c r="AQ383" s="98"/>
      <c r="AR383" s="98"/>
      <c r="AS383" s="98"/>
      <c r="AT383" s="98"/>
      <c r="AU383" s="98"/>
      <c r="AV383" s="98"/>
      <c r="AW383" s="98"/>
      <c r="AX383" s="98"/>
    </row>
    <row r="384" spans="1:50" ht="15" customHeight="1" x14ac:dyDescent="0.25">
      <c r="A384" s="86"/>
      <c r="B384" s="677"/>
      <c r="C384" s="604"/>
      <c r="D384" s="217"/>
      <c r="E384" s="13" t="str">
        <f xml:space="preserve"> Translate!E$755 &amp; " " &amp; Translate!E$275</f>
        <v>Check:  Interest allocation</v>
      </c>
      <c r="F384" s="157">
        <f ca="1" xml:space="preserve"> IF( ABS( F381 - F382 - F383) &gt; CHK_TOL, 1, 0)</f>
        <v>0</v>
      </c>
      <c r="G384" s="13" t="str">
        <f xml:space="preserve"> Translate!E$604</f>
        <v>Check</v>
      </c>
      <c r="H384" s="13"/>
      <c r="I384" s="217"/>
      <c r="J384" s="237"/>
      <c r="K384" s="98"/>
      <c r="L384" s="98"/>
      <c r="M384" s="98"/>
      <c r="N384" s="98"/>
      <c r="O384" s="98"/>
      <c r="P384" s="98"/>
      <c r="Q384" s="98"/>
      <c r="R384" s="98"/>
      <c r="S384" s="98"/>
      <c r="T384" s="98"/>
      <c r="U384" s="98"/>
      <c r="V384" s="98"/>
      <c r="W384" s="98"/>
      <c r="X384" s="98"/>
      <c r="Y384" s="98"/>
      <c r="Z384" s="98"/>
      <c r="AA384" s="98"/>
      <c r="AB384" s="98"/>
      <c r="AC384" s="98"/>
      <c r="AD384" s="98"/>
      <c r="AE384" s="98"/>
      <c r="AF384" s="98"/>
      <c r="AG384" s="98"/>
      <c r="AH384" s="98"/>
      <c r="AI384" s="98"/>
      <c r="AJ384" s="98"/>
      <c r="AK384" s="98"/>
      <c r="AL384" s="98"/>
      <c r="AM384" s="98"/>
      <c r="AN384" s="98"/>
      <c r="AO384" s="98"/>
      <c r="AP384" s="98"/>
      <c r="AQ384" s="98"/>
      <c r="AR384" s="98"/>
      <c r="AS384" s="98"/>
      <c r="AT384" s="98"/>
      <c r="AU384" s="98"/>
      <c r="AV384" s="98"/>
      <c r="AW384" s="98"/>
      <c r="AX384" s="98"/>
    </row>
    <row r="385" spans="1:50" ht="15" customHeight="1" x14ac:dyDescent="0.25">
      <c r="A385" s="86"/>
      <c r="B385" s="677"/>
      <c r="C385" s="604"/>
      <c r="D385" s="217"/>
      <c r="E385" s="13"/>
      <c r="F385" s="560"/>
      <c r="G385" s="13"/>
      <c r="H385" s="13"/>
      <c r="I385" s="217"/>
      <c r="J385" s="237"/>
      <c r="K385" s="98"/>
      <c r="L385" s="98"/>
      <c r="M385" s="98"/>
      <c r="N385" s="98"/>
      <c r="O385" s="98"/>
      <c r="P385" s="98"/>
      <c r="Q385" s="98"/>
      <c r="R385" s="98"/>
      <c r="S385" s="98"/>
      <c r="T385" s="98"/>
      <c r="U385" s="98"/>
      <c r="V385" s="98"/>
      <c r="W385" s="98"/>
      <c r="X385" s="98"/>
      <c r="Y385" s="98"/>
      <c r="Z385" s="98"/>
      <c r="AA385" s="98"/>
      <c r="AB385" s="98"/>
      <c r="AC385" s="98"/>
      <c r="AD385" s="98"/>
      <c r="AE385" s="98"/>
      <c r="AF385" s="98"/>
      <c r="AG385" s="98"/>
      <c r="AH385" s="98"/>
      <c r="AI385" s="98"/>
      <c r="AJ385" s="98"/>
      <c r="AK385" s="98"/>
      <c r="AL385" s="98"/>
      <c r="AM385" s="98"/>
      <c r="AN385" s="98"/>
      <c r="AO385" s="98"/>
      <c r="AP385" s="98"/>
      <c r="AQ385" s="98"/>
      <c r="AR385" s="98"/>
      <c r="AS385" s="98"/>
      <c r="AT385" s="98"/>
      <c r="AU385" s="98"/>
      <c r="AV385" s="98"/>
      <c r="AW385" s="98"/>
      <c r="AX385" s="98"/>
    </row>
    <row r="386" spans="1:50" ht="15" customHeight="1" x14ac:dyDescent="0.25">
      <c r="A386" s="86"/>
      <c r="B386" s="677" t="str">
        <f>Translate!$E$428</f>
        <v>Allocation of loan transactions to IOC and SOC as borrower</v>
      </c>
      <c r="C386" s="604"/>
      <c r="D386" s="217"/>
      <c r="E386" s="13"/>
      <c r="F386" s="560"/>
      <c r="G386" s="13"/>
      <c r="H386" s="13"/>
      <c r="I386" s="217"/>
      <c r="J386" s="237"/>
      <c r="K386" s="98"/>
      <c r="L386" s="98"/>
      <c r="M386" s="98"/>
      <c r="N386" s="98"/>
      <c r="O386" s="98"/>
      <c r="P386" s="98"/>
      <c r="Q386" s="98"/>
      <c r="R386" s="98"/>
      <c r="S386" s="98"/>
      <c r="T386" s="98"/>
      <c r="U386" s="98"/>
      <c r="V386" s="98"/>
      <c r="W386" s="98"/>
      <c r="X386" s="98"/>
      <c r="Y386" s="98"/>
      <c r="Z386" s="98"/>
      <c r="AA386" s="98"/>
      <c r="AB386" s="98"/>
      <c r="AC386" s="98"/>
      <c r="AD386" s="98"/>
      <c r="AE386" s="98"/>
      <c r="AF386" s="98"/>
      <c r="AG386" s="98"/>
      <c r="AH386" s="98"/>
      <c r="AI386" s="98"/>
      <c r="AJ386" s="98"/>
      <c r="AK386" s="98"/>
      <c r="AL386" s="98"/>
      <c r="AM386" s="98"/>
      <c r="AN386" s="98"/>
      <c r="AO386" s="98"/>
      <c r="AP386" s="98"/>
      <c r="AQ386" s="98"/>
      <c r="AR386" s="98"/>
      <c r="AS386" s="98"/>
      <c r="AT386" s="98"/>
      <c r="AU386" s="98"/>
      <c r="AV386" s="98"/>
      <c r="AW386" s="98"/>
      <c r="AX386" s="98"/>
    </row>
    <row r="387" spans="1:50" ht="15" customHeight="1" x14ac:dyDescent="0.25">
      <c r="A387" s="251"/>
      <c r="B387" s="676"/>
      <c r="C387" s="626"/>
      <c r="D387" s="253"/>
      <c r="E387" s="402" t="str">
        <f xml:space="preserve"> FiscalModel!E$77</f>
        <v>State participation</v>
      </c>
      <c r="F387" s="534">
        <f xml:space="preserve"> FiscalModel!F$77</f>
        <v>0.2</v>
      </c>
      <c r="G387" s="402" t="str">
        <f xml:space="preserve"> FiscalModel!G$77</f>
        <v>%</v>
      </c>
      <c r="H387" s="239"/>
      <c r="I387" s="249"/>
      <c r="J387" s="249"/>
      <c r="K387" s="249"/>
      <c r="L387" s="249"/>
      <c r="M387" s="249"/>
      <c r="N387" s="249"/>
      <c r="O387" s="249"/>
      <c r="P387" s="249"/>
      <c r="Q387" s="249"/>
      <c r="R387" s="249"/>
      <c r="S387" s="249"/>
      <c r="T387" s="249"/>
      <c r="U387" s="249"/>
      <c r="V387" s="249"/>
      <c r="W387" s="249"/>
      <c r="X387" s="249"/>
      <c r="Y387" s="249"/>
      <c r="Z387" s="249"/>
      <c r="AA387" s="249"/>
      <c r="AB387" s="249"/>
      <c r="AC387" s="249"/>
      <c r="AD387" s="249"/>
      <c r="AE387" s="249"/>
      <c r="AF387" s="249"/>
      <c r="AG387" s="249"/>
      <c r="AH387" s="249"/>
      <c r="AI387" s="249"/>
      <c r="AJ387" s="249"/>
      <c r="AK387" s="249"/>
      <c r="AL387" s="249"/>
      <c r="AM387" s="249"/>
      <c r="AN387" s="249"/>
      <c r="AO387" s="249"/>
      <c r="AP387" s="249"/>
      <c r="AQ387" s="249"/>
      <c r="AR387" s="249"/>
      <c r="AS387" s="249"/>
      <c r="AT387" s="249"/>
      <c r="AU387" s="249"/>
      <c r="AV387" s="249"/>
      <c r="AW387" s="249"/>
      <c r="AX387" s="249"/>
    </row>
    <row r="388" spans="1:50" ht="15" customHeight="1" x14ac:dyDescent="0.25">
      <c r="A388" s="86"/>
      <c r="B388" s="677"/>
      <c r="C388" s="604"/>
      <c r="D388" s="217"/>
      <c r="E388" s="400" t="str">
        <f xml:space="preserve"> FiscalModel!E$80</f>
        <v>SOC meets development costs</v>
      </c>
      <c r="F388" s="399" t="str">
        <f xml:space="preserve"> FiscalModel!F$80</f>
        <v>yes</v>
      </c>
      <c r="G388" s="400" t="str">
        <f xml:space="preserve"> FiscalModel!G$80</f>
        <v>Option</v>
      </c>
      <c r="H388" s="13"/>
      <c r="I388" s="217"/>
      <c r="J388" s="237"/>
      <c r="K388" s="98"/>
      <c r="L388" s="98"/>
      <c r="M388" s="98"/>
      <c r="N388" s="98"/>
      <c r="O388" s="98"/>
      <c r="P388" s="98"/>
      <c r="Q388" s="98"/>
      <c r="R388" s="98"/>
      <c r="S388" s="98"/>
      <c r="T388" s="98"/>
      <c r="U388" s="98"/>
      <c r="V388" s="98"/>
      <c r="W388" s="98"/>
      <c r="X388" s="98"/>
      <c r="Y388" s="98"/>
      <c r="Z388" s="98"/>
      <c r="AA388" s="98"/>
      <c r="AB388" s="98"/>
      <c r="AC388" s="98"/>
      <c r="AD388" s="98"/>
      <c r="AE388" s="98"/>
      <c r="AF388" s="98"/>
      <c r="AG388" s="98"/>
      <c r="AH388" s="98"/>
      <c r="AI388" s="98"/>
      <c r="AJ388" s="98"/>
      <c r="AK388" s="98"/>
      <c r="AL388" s="98"/>
      <c r="AM388" s="98"/>
      <c r="AN388" s="98"/>
      <c r="AO388" s="98"/>
      <c r="AP388" s="98"/>
      <c r="AQ388" s="98"/>
      <c r="AR388" s="98"/>
      <c r="AS388" s="98"/>
      <c r="AT388" s="98"/>
      <c r="AU388" s="98"/>
      <c r="AV388" s="98"/>
      <c r="AW388" s="98"/>
      <c r="AX388" s="98"/>
    </row>
    <row r="389" spans="1:50" ht="15" customHeight="1" x14ac:dyDescent="0.25">
      <c r="B389" s="675"/>
      <c r="C389" s="615"/>
      <c r="D389" s="48"/>
      <c r="E389" s="222" t="str">
        <f>Inputs!E$87</f>
        <v>Label: yes</v>
      </c>
      <c r="F389" s="533" t="str">
        <f>Inputs!F$87</f>
        <v>yes</v>
      </c>
      <c r="G389" s="222" t="str">
        <f>Inputs!G$87</f>
        <v>Label</v>
      </c>
      <c r="H389" s="48"/>
      <c r="I389" s="48"/>
    </row>
    <row r="390" spans="1:50" ht="15" customHeight="1" x14ac:dyDescent="0.25">
      <c r="B390" s="675"/>
      <c r="C390" s="615"/>
      <c r="D390" s="48"/>
      <c r="E390" s="222" t="str">
        <f>Inputs!E$88</f>
        <v>Label: no</v>
      </c>
      <c r="F390" s="533" t="str">
        <f>Inputs!F$88</f>
        <v>no</v>
      </c>
      <c r="G390" s="222" t="str">
        <f>Inputs!G$88</f>
        <v>Label</v>
      </c>
      <c r="H390" s="48"/>
      <c r="I390" s="48"/>
    </row>
    <row r="391" spans="1:50" ht="15" customHeight="1" x14ac:dyDescent="0.25">
      <c r="A391" s="86"/>
      <c r="B391" s="677"/>
      <c r="C391" s="604"/>
      <c r="D391" s="217"/>
      <c r="E391" s="13" t="str">
        <f xml:space="preserve"> Translate!E$276</f>
        <v>Proportion of loan attributed to SOC</v>
      </c>
      <c r="F391" s="253">
        <f xml:space="preserve"> F387 * ( F388 = F389)</f>
        <v>0.2</v>
      </c>
      <c r="G391" s="13" t="s">
        <v>24</v>
      </c>
      <c r="H391" s="13"/>
      <c r="I391" s="217"/>
      <c r="J391" s="237"/>
      <c r="K391" s="98"/>
      <c r="L391" s="98"/>
      <c r="M391" s="98"/>
      <c r="N391" s="98"/>
      <c r="O391" s="98"/>
      <c r="P391" s="98"/>
      <c r="Q391" s="98"/>
      <c r="R391" s="98"/>
      <c r="S391" s="98"/>
      <c r="T391" s="98"/>
      <c r="U391" s="98"/>
      <c r="V391" s="98"/>
      <c r="W391" s="98"/>
      <c r="X391" s="98"/>
      <c r="Y391" s="98"/>
      <c r="Z391" s="98"/>
      <c r="AA391" s="98"/>
      <c r="AB391" s="98"/>
      <c r="AC391" s="98"/>
      <c r="AD391" s="98"/>
      <c r="AE391" s="98"/>
      <c r="AF391" s="98"/>
      <c r="AG391" s="98"/>
      <c r="AH391" s="98"/>
      <c r="AI391" s="98"/>
      <c r="AJ391" s="98"/>
      <c r="AK391" s="98"/>
      <c r="AL391" s="98"/>
      <c r="AM391" s="98"/>
      <c r="AN391" s="98"/>
      <c r="AO391" s="98"/>
      <c r="AP391" s="98"/>
      <c r="AQ391" s="98"/>
      <c r="AR391" s="98"/>
      <c r="AS391" s="98"/>
      <c r="AT391" s="98"/>
      <c r="AU391" s="98"/>
      <c r="AV391" s="98"/>
      <c r="AW391" s="98"/>
      <c r="AX391" s="98"/>
    </row>
    <row r="392" spans="1:50" ht="15" customHeight="1" x14ac:dyDescent="0.25">
      <c r="A392" s="86"/>
      <c r="B392" s="677"/>
      <c r="C392" s="604"/>
      <c r="D392" s="217"/>
      <c r="E392" s="13"/>
      <c r="F392" s="560"/>
      <c r="G392" s="13"/>
      <c r="H392" s="13"/>
      <c r="I392" s="217"/>
      <c r="J392" s="237"/>
      <c r="K392" s="98"/>
      <c r="L392" s="98"/>
      <c r="M392" s="98"/>
      <c r="N392" s="98"/>
      <c r="O392" s="98"/>
      <c r="P392" s="98"/>
      <c r="Q392" s="98"/>
      <c r="R392" s="98"/>
      <c r="S392" s="98"/>
      <c r="T392" s="98"/>
      <c r="U392" s="98"/>
      <c r="V392" s="98"/>
      <c r="W392" s="98"/>
      <c r="X392" s="98"/>
      <c r="Y392" s="98"/>
      <c r="Z392" s="98"/>
      <c r="AA392" s="98"/>
      <c r="AB392" s="98"/>
      <c r="AC392" s="98"/>
      <c r="AD392" s="98"/>
      <c r="AE392" s="98"/>
      <c r="AF392" s="98"/>
      <c r="AG392" s="98"/>
      <c r="AH392" s="98"/>
      <c r="AI392" s="98"/>
      <c r="AJ392" s="98"/>
      <c r="AK392" s="98"/>
      <c r="AL392" s="98"/>
      <c r="AM392" s="98"/>
      <c r="AN392" s="98"/>
      <c r="AO392" s="98"/>
      <c r="AP392" s="98"/>
      <c r="AQ392" s="98"/>
      <c r="AR392" s="98"/>
      <c r="AS392" s="98"/>
      <c r="AT392" s="98"/>
      <c r="AU392" s="98"/>
      <c r="AV392" s="98"/>
      <c r="AW392" s="98"/>
      <c r="AX392" s="98"/>
    </row>
    <row r="393" spans="1:50" ht="15" customHeight="1" x14ac:dyDescent="0.25">
      <c r="A393" s="86"/>
      <c r="B393" s="677"/>
      <c r="C393" s="604"/>
      <c r="D393" s="217"/>
      <c r="E393" s="56" t="str">
        <f xml:space="preserve"> E$366 &amp;  ": " &amp; Translate!E539</f>
        <v>Loan cashflows before interest withholding tax: SOC</v>
      </c>
      <c r="F393" s="151"/>
      <c r="G393" s="56" t="str">
        <f xml:space="preserve"> Translate!E$603</f>
        <v>US$ mn</v>
      </c>
      <c r="H393" s="56"/>
      <c r="I393" s="56">
        <f ca="1" xml:space="preserve"> SUM(K393:AX393)</f>
        <v>275.98643149131476</v>
      </c>
      <c r="J393" s="56"/>
      <c r="K393" s="56">
        <f t="shared" ref="K393:AX393" ca="1" si="94" xml:space="preserve"> K366 *  $F391</f>
        <v>0</v>
      </c>
      <c r="L393" s="56">
        <f t="shared" ca="1" si="94"/>
        <v>-7.14</v>
      </c>
      <c r="M393" s="56">
        <f t="shared" ca="1" si="94"/>
        <v>-43.696799999999996</v>
      </c>
      <c r="N393" s="56">
        <f t="shared" ca="1" si="94"/>
        <v>-178.28294399999999</v>
      </c>
      <c r="O393" s="56">
        <f t="shared" ca="1" si="94"/>
        <v>-181.84860287999999</v>
      </c>
      <c r="P393" s="56">
        <f t="shared" ca="1" si="94"/>
        <v>-324.59975614080003</v>
      </c>
      <c r="Q393" s="56">
        <f t="shared" ca="1" si="94"/>
        <v>119.17399115819799</v>
      </c>
      <c r="R393" s="56">
        <f t="shared" ca="1" si="94"/>
        <v>115.16987166775652</v>
      </c>
      <c r="S393" s="56">
        <f t="shared" ca="1" si="94"/>
        <v>111.16575217731508</v>
      </c>
      <c r="T393" s="56">
        <f t="shared" ca="1" si="94"/>
        <v>107.16163268687363</v>
      </c>
      <c r="U393" s="56">
        <f t="shared" ca="1" si="94"/>
        <v>103.15751319643219</v>
      </c>
      <c r="V393" s="56">
        <f t="shared" ca="1" si="94"/>
        <v>99.153393705990766</v>
      </c>
      <c r="W393" s="56">
        <f t="shared" ca="1" si="94"/>
        <v>95.149274215549312</v>
      </c>
      <c r="X393" s="56">
        <f t="shared" ca="1" si="94"/>
        <v>91.145154725107844</v>
      </c>
      <c r="Y393" s="56">
        <f t="shared" ca="1" si="94"/>
        <v>87.141035234666418</v>
      </c>
      <c r="Z393" s="56">
        <f t="shared" ca="1" si="94"/>
        <v>83.136915744224964</v>
      </c>
      <c r="AA393" s="56">
        <f t="shared" ca="1" si="94"/>
        <v>0</v>
      </c>
      <c r="AB393" s="56">
        <f t="shared" ca="1" si="94"/>
        <v>0</v>
      </c>
      <c r="AC393" s="56">
        <f t="shared" ca="1" si="94"/>
        <v>0</v>
      </c>
      <c r="AD393" s="56">
        <f t="shared" ca="1" si="94"/>
        <v>0</v>
      </c>
      <c r="AE393" s="56">
        <f t="shared" ca="1" si="94"/>
        <v>0</v>
      </c>
      <c r="AF393" s="56">
        <f t="shared" ca="1" si="94"/>
        <v>0</v>
      </c>
      <c r="AG393" s="56">
        <f t="shared" ca="1" si="94"/>
        <v>0</v>
      </c>
      <c r="AH393" s="56">
        <f t="shared" ca="1" si="94"/>
        <v>0</v>
      </c>
      <c r="AI393" s="56">
        <f t="shared" ca="1" si="94"/>
        <v>0</v>
      </c>
      <c r="AJ393" s="56">
        <f t="shared" ca="1" si="94"/>
        <v>0</v>
      </c>
      <c r="AK393" s="56">
        <f t="shared" ca="1" si="94"/>
        <v>0</v>
      </c>
      <c r="AL393" s="56">
        <f t="shared" ca="1" si="94"/>
        <v>0</v>
      </c>
      <c r="AM393" s="56">
        <f t="shared" ca="1" si="94"/>
        <v>0</v>
      </c>
      <c r="AN393" s="56">
        <f t="shared" ca="1" si="94"/>
        <v>0</v>
      </c>
      <c r="AO393" s="56">
        <f t="shared" ca="1" si="94"/>
        <v>0</v>
      </c>
      <c r="AP393" s="56">
        <f t="shared" ca="1" si="94"/>
        <v>0</v>
      </c>
      <c r="AQ393" s="56">
        <f t="shared" ca="1" si="94"/>
        <v>0</v>
      </c>
      <c r="AR393" s="56">
        <f t="shared" ca="1" si="94"/>
        <v>0</v>
      </c>
      <c r="AS393" s="56">
        <f t="shared" ca="1" si="94"/>
        <v>0</v>
      </c>
      <c r="AT393" s="56">
        <f t="shared" ca="1" si="94"/>
        <v>0</v>
      </c>
      <c r="AU393" s="56">
        <f t="shared" ca="1" si="94"/>
        <v>0</v>
      </c>
      <c r="AV393" s="56">
        <f t="shared" ca="1" si="94"/>
        <v>0</v>
      </c>
      <c r="AW393" s="56">
        <f t="shared" ca="1" si="94"/>
        <v>0</v>
      </c>
      <c r="AX393" s="56">
        <f t="shared" ca="1" si="94"/>
        <v>0</v>
      </c>
    </row>
    <row r="394" spans="1:50" ht="15" customHeight="1" x14ac:dyDescent="0.25">
      <c r="A394" s="86"/>
      <c r="B394" s="677"/>
      <c r="C394" s="604"/>
      <c r="D394" s="217"/>
      <c r="E394" s="56" t="str">
        <f xml:space="preserve"> E$378 &amp;  ": " &amp; Translate!E539</f>
        <v>Interest capitalized into development costs: SOC</v>
      </c>
      <c r="F394" s="151"/>
      <c r="G394" s="56" t="str">
        <f xml:space="preserve"> Translate!E$603</f>
        <v>US$ mn</v>
      </c>
      <c r="H394" s="56"/>
      <c r="I394" s="56">
        <f ca="1" xml:space="preserve"> SUM(K394:AX394)</f>
        <v>8.8233198219751152</v>
      </c>
      <c r="J394" s="56"/>
      <c r="K394" s="56">
        <f t="shared" ref="K394:AX394" ca="1" si="95" xml:space="preserve"> K$378 * $F391</f>
        <v>0</v>
      </c>
      <c r="L394" s="56">
        <f t="shared" ca="1" si="95"/>
        <v>0.18064199999999991</v>
      </c>
      <c r="M394" s="56">
        <f t="shared" ca="1" si="95"/>
        <v>1.4759535251999993</v>
      </c>
      <c r="N394" s="56">
        <f t="shared" ca="1" si="95"/>
        <v>7.1667242967751168</v>
      </c>
      <c r="O394" s="56">
        <f t="shared" ca="1" si="95"/>
        <v>0</v>
      </c>
      <c r="P394" s="56">
        <f t="shared" ca="1" si="95"/>
        <v>0</v>
      </c>
      <c r="Q394" s="56">
        <f t="shared" ca="1" si="95"/>
        <v>0</v>
      </c>
      <c r="R394" s="56">
        <f t="shared" ca="1" si="95"/>
        <v>0</v>
      </c>
      <c r="S394" s="56">
        <f t="shared" ca="1" si="95"/>
        <v>0</v>
      </c>
      <c r="T394" s="56">
        <f t="shared" ca="1" si="95"/>
        <v>0</v>
      </c>
      <c r="U394" s="56">
        <f t="shared" ca="1" si="95"/>
        <v>0</v>
      </c>
      <c r="V394" s="56">
        <f t="shared" ca="1" si="95"/>
        <v>0</v>
      </c>
      <c r="W394" s="56">
        <f t="shared" ca="1" si="95"/>
        <v>0</v>
      </c>
      <c r="X394" s="56">
        <f t="shared" ca="1" si="95"/>
        <v>0</v>
      </c>
      <c r="Y394" s="56">
        <f t="shared" ca="1" si="95"/>
        <v>0</v>
      </c>
      <c r="Z394" s="56">
        <f t="shared" ca="1" si="95"/>
        <v>0</v>
      </c>
      <c r="AA394" s="56">
        <f t="shared" ca="1" si="95"/>
        <v>0</v>
      </c>
      <c r="AB394" s="56">
        <f t="shared" ca="1" si="95"/>
        <v>0</v>
      </c>
      <c r="AC394" s="56">
        <f t="shared" ca="1" si="95"/>
        <v>0</v>
      </c>
      <c r="AD394" s="56">
        <f t="shared" ca="1" si="95"/>
        <v>0</v>
      </c>
      <c r="AE394" s="56">
        <f t="shared" ca="1" si="95"/>
        <v>0</v>
      </c>
      <c r="AF394" s="56">
        <f t="shared" ca="1" si="95"/>
        <v>0</v>
      </c>
      <c r="AG394" s="56">
        <f t="shared" ca="1" si="95"/>
        <v>0</v>
      </c>
      <c r="AH394" s="56">
        <f t="shared" ca="1" si="95"/>
        <v>0</v>
      </c>
      <c r="AI394" s="56">
        <f t="shared" ca="1" si="95"/>
        <v>0</v>
      </c>
      <c r="AJ394" s="56">
        <f t="shared" ca="1" si="95"/>
        <v>0</v>
      </c>
      <c r="AK394" s="56">
        <f t="shared" ca="1" si="95"/>
        <v>0</v>
      </c>
      <c r="AL394" s="56">
        <f t="shared" ca="1" si="95"/>
        <v>0</v>
      </c>
      <c r="AM394" s="56">
        <f t="shared" ca="1" si="95"/>
        <v>0</v>
      </c>
      <c r="AN394" s="56">
        <f t="shared" ca="1" si="95"/>
        <v>0</v>
      </c>
      <c r="AO394" s="56">
        <f t="shared" ca="1" si="95"/>
        <v>0</v>
      </c>
      <c r="AP394" s="56">
        <f t="shared" ca="1" si="95"/>
        <v>0</v>
      </c>
      <c r="AQ394" s="56">
        <f t="shared" ca="1" si="95"/>
        <v>0</v>
      </c>
      <c r="AR394" s="56">
        <f t="shared" ca="1" si="95"/>
        <v>0</v>
      </c>
      <c r="AS394" s="56">
        <f t="shared" ca="1" si="95"/>
        <v>0</v>
      </c>
      <c r="AT394" s="56">
        <f t="shared" ca="1" si="95"/>
        <v>0</v>
      </c>
      <c r="AU394" s="56">
        <f t="shared" ca="1" si="95"/>
        <v>0</v>
      </c>
      <c r="AV394" s="56">
        <f t="shared" ca="1" si="95"/>
        <v>0</v>
      </c>
      <c r="AW394" s="56">
        <f t="shared" ca="1" si="95"/>
        <v>0</v>
      </c>
      <c r="AX394" s="56">
        <f t="shared" ca="1" si="95"/>
        <v>0</v>
      </c>
    </row>
    <row r="395" spans="1:50" ht="15" customHeight="1" x14ac:dyDescent="0.25">
      <c r="A395" s="86"/>
      <c r="B395" s="677"/>
      <c r="C395" s="604"/>
      <c r="D395" s="217"/>
      <c r="E395" s="56" t="str">
        <f xml:space="preserve"> E$379 &amp;  ": " &amp; Translate!E539</f>
        <v>Interest expensed: SOC</v>
      </c>
      <c r="F395" s="151"/>
      <c r="G395" s="56" t="str">
        <f xml:space="preserve"> Translate!E$603</f>
        <v>US$ mn</v>
      </c>
      <c r="H395" s="56"/>
      <c r="I395" s="56">
        <f ca="1" xml:space="preserve"> SUM(K395:AX395)</f>
        <v>267.16311166933968</v>
      </c>
      <c r="J395" s="56"/>
      <c r="K395" s="56">
        <f t="shared" ref="K395:AX395" ca="1" si="96" xml:space="preserve"> K$379 * $F391</f>
        <v>0</v>
      </c>
      <c r="L395" s="56">
        <f t="shared" ca="1" si="96"/>
        <v>0</v>
      </c>
      <c r="M395" s="56">
        <f t="shared" ca="1" si="96"/>
        <v>0</v>
      </c>
      <c r="N395" s="56">
        <f t="shared" ca="1" si="96"/>
        <v>0</v>
      </c>
      <c r="O395" s="56">
        <f t="shared" ca="1" si="96"/>
        <v>16.640688682255934</v>
      </c>
      <c r="P395" s="56">
        <f t="shared" ca="1" si="96"/>
        <v>30.295851012804317</v>
      </c>
      <c r="Q395" s="56">
        <f t="shared" ca="1" si="96"/>
        <v>40.041194904414454</v>
      </c>
      <c r="R395" s="56">
        <f t="shared" ca="1" si="96"/>
        <v>36.037075413973007</v>
      </c>
      <c r="S395" s="56">
        <f t="shared" ca="1" si="96"/>
        <v>32.03295592353156</v>
      </c>
      <c r="T395" s="56">
        <f t="shared" ca="1" si="96"/>
        <v>28.028836433090113</v>
      </c>
      <c r="U395" s="56">
        <f t="shared" ca="1" si="96"/>
        <v>24.024716942648666</v>
      </c>
      <c r="V395" s="56">
        <f t="shared" ca="1" si="96"/>
        <v>20.020597452207223</v>
      </c>
      <c r="W395" s="56">
        <f t="shared" ca="1" si="96"/>
        <v>16.01647796176578</v>
      </c>
      <c r="X395" s="56">
        <f t="shared" ca="1" si="96"/>
        <v>12.012358471324333</v>
      </c>
      <c r="Y395" s="56">
        <f t="shared" ca="1" si="96"/>
        <v>8.00823898088289</v>
      </c>
      <c r="Z395" s="56">
        <f t="shared" ca="1" si="96"/>
        <v>4.004119490441445</v>
      </c>
      <c r="AA395" s="56">
        <f t="shared" ca="1" si="96"/>
        <v>0</v>
      </c>
      <c r="AB395" s="56">
        <f t="shared" ca="1" si="96"/>
        <v>0</v>
      </c>
      <c r="AC395" s="56">
        <f t="shared" ca="1" si="96"/>
        <v>0</v>
      </c>
      <c r="AD395" s="56">
        <f t="shared" ca="1" si="96"/>
        <v>0</v>
      </c>
      <c r="AE395" s="56">
        <f t="shared" ca="1" si="96"/>
        <v>0</v>
      </c>
      <c r="AF395" s="56">
        <f t="shared" ca="1" si="96"/>
        <v>0</v>
      </c>
      <c r="AG395" s="56">
        <f t="shared" ca="1" si="96"/>
        <v>0</v>
      </c>
      <c r="AH395" s="56">
        <f t="shared" ca="1" si="96"/>
        <v>0</v>
      </c>
      <c r="AI395" s="56">
        <f t="shared" ca="1" si="96"/>
        <v>0</v>
      </c>
      <c r="AJ395" s="56">
        <f t="shared" ca="1" si="96"/>
        <v>0</v>
      </c>
      <c r="AK395" s="56">
        <f t="shared" ca="1" si="96"/>
        <v>0</v>
      </c>
      <c r="AL395" s="56">
        <f t="shared" ca="1" si="96"/>
        <v>0</v>
      </c>
      <c r="AM395" s="56">
        <f t="shared" ca="1" si="96"/>
        <v>0</v>
      </c>
      <c r="AN395" s="56">
        <f t="shared" ca="1" si="96"/>
        <v>0</v>
      </c>
      <c r="AO395" s="56">
        <f t="shared" ca="1" si="96"/>
        <v>0</v>
      </c>
      <c r="AP395" s="56">
        <f t="shared" ca="1" si="96"/>
        <v>0</v>
      </c>
      <c r="AQ395" s="56">
        <f t="shared" ca="1" si="96"/>
        <v>0</v>
      </c>
      <c r="AR395" s="56">
        <f t="shared" ca="1" si="96"/>
        <v>0</v>
      </c>
      <c r="AS395" s="56">
        <f t="shared" ca="1" si="96"/>
        <v>0</v>
      </c>
      <c r="AT395" s="56">
        <f t="shared" ca="1" si="96"/>
        <v>0</v>
      </c>
      <c r="AU395" s="56">
        <f t="shared" ca="1" si="96"/>
        <v>0</v>
      </c>
      <c r="AV395" s="56">
        <f t="shared" ca="1" si="96"/>
        <v>0</v>
      </c>
      <c r="AW395" s="56">
        <f t="shared" ca="1" si="96"/>
        <v>0</v>
      </c>
      <c r="AX395" s="56">
        <f t="shared" ca="1" si="96"/>
        <v>0</v>
      </c>
    </row>
    <row r="396" spans="1:50" ht="15" customHeight="1" x14ac:dyDescent="0.25">
      <c r="A396" s="86"/>
      <c r="B396" s="677"/>
      <c r="C396" s="604"/>
      <c r="D396" s="217"/>
      <c r="E396" s="13"/>
      <c r="F396" s="560"/>
      <c r="G396" s="13"/>
      <c r="H396" s="13"/>
      <c r="I396" s="217"/>
      <c r="J396" s="237"/>
      <c r="K396" s="98"/>
      <c r="L396" s="98"/>
      <c r="M396" s="98"/>
      <c r="N396" s="98"/>
      <c r="O396" s="98"/>
      <c r="P396" s="98"/>
      <c r="Q396" s="98"/>
      <c r="R396" s="98"/>
      <c r="S396" s="98"/>
      <c r="T396" s="98"/>
      <c r="U396" s="98"/>
      <c r="V396" s="98"/>
      <c r="W396" s="98"/>
      <c r="X396" s="98"/>
      <c r="Y396" s="98"/>
      <c r="Z396" s="98"/>
      <c r="AA396" s="98"/>
      <c r="AB396" s="98"/>
      <c r="AC396" s="98"/>
      <c r="AD396" s="98"/>
      <c r="AE396" s="98"/>
      <c r="AF396" s="98"/>
      <c r="AG396" s="98"/>
      <c r="AH396" s="98"/>
      <c r="AI396" s="98"/>
      <c r="AJ396" s="98"/>
      <c r="AK396" s="98"/>
      <c r="AL396" s="98"/>
      <c r="AM396" s="98"/>
      <c r="AN396" s="98"/>
      <c r="AO396" s="98"/>
      <c r="AP396" s="98"/>
      <c r="AQ396" s="98"/>
      <c r="AR396" s="98"/>
      <c r="AS396" s="98"/>
      <c r="AT396" s="98"/>
      <c r="AU396" s="98"/>
      <c r="AV396" s="98"/>
      <c r="AW396" s="98"/>
      <c r="AX396" s="98"/>
    </row>
    <row r="397" spans="1:50" ht="15" customHeight="1" x14ac:dyDescent="0.25">
      <c r="A397" s="86"/>
      <c r="B397" s="677"/>
      <c r="C397" s="604"/>
      <c r="D397" s="217"/>
      <c r="E397" s="55" t="str">
        <f xml:space="preserve"> E$366 &amp;  ": " &amp; Translate!E113</f>
        <v>Loan cashflows before interest withholding tax: IOC</v>
      </c>
      <c r="F397" s="281"/>
      <c r="G397" s="55" t="str">
        <f xml:space="preserve"> Translate!E$603</f>
        <v>US$ mn</v>
      </c>
      <c r="H397" s="190"/>
      <c r="I397" s="55">
        <f ca="1" xml:space="preserve"> SUM(K397:AX397)</f>
        <v>1103.945725965259</v>
      </c>
      <c r="J397" s="55"/>
      <c r="K397" s="55">
        <f t="shared" ref="K397:AX397" ca="1" si="97" xml:space="preserve"> K366 * ( 1 - $F391)</f>
        <v>0</v>
      </c>
      <c r="L397" s="55">
        <f t="shared" ca="1" si="97"/>
        <v>-28.56</v>
      </c>
      <c r="M397" s="55">
        <f t="shared" ca="1" si="97"/>
        <v>-174.78719999999998</v>
      </c>
      <c r="N397" s="55">
        <f t="shared" ca="1" si="97"/>
        <v>-713.13177599999995</v>
      </c>
      <c r="O397" s="55">
        <f t="shared" ca="1" si="97"/>
        <v>-727.39441151999995</v>
      </c>
      <c r="P397" s="55">
        <f t="shared" ca="1" si="97"/>
        <v>-1298.3990245632001</v>
      </c>
      <c r="Q397" s="55">
        <f t="shared" ca="1" si="97"/>
        <v>476.69596463279197</v>
      </c>
      <c r="R397" s="55">
        <f t="shared" ca="1" si="97"/>
        <v>460.6794866710261</v>
      </c>
      <c r="S397" s="55">
        <f t="shared" ca="1" si="97"/>
        <v>444.66300870926034</v>
      </c>
      <c r="T397" s="55">
        <f t="shared" ca="1" si="97"/>
        <v>428.64653074749452</v>
      </c>
      <c r="U397" s="55">
        <f t="shared" ca="1" si="97"/>
        <v>412.63005278572876</v>
      </c>
      <c r="V397" s="55">
        <f t="shared" ca="1" si="97"/>
        <v>396.61357482396306</v>
      </c>
      <c r="W397" s="55">
        <f t="shared" ca="1" si="97"/>
        <v>380.59709686219725</v>
      </c>
      <c r="X397" s="55">
        <f t="shared" ca="1" si="97"/>
        <v>364.58061890043138</v>
      </c>
      <c r="Y397" s="55">
        <f t="shared" ca="1" si="97"/>
        <v>348.56414093866567</v>
      </c>
      <c r="Z397" s="55">
        <f t="shared" ca="1" si="97"/>
        <v>332.54766297689986</v>
      </c>
      <c r="AA397" s="55">
        <f t="shared" ca="1" si="97"/>
        <v>0</v>
      </c>
      <c r="AB397" s="55">
        <f t="shared" ca="1" si="97"/>
        <v>0</v>
      </c>
      <c r="AC397" s="55">
        <f t="shared" ca="1" si="97"/>
        <v>0</v>
      </c>
      <c r="AD397" s="55">
        <f t="shared" ca="1" si="97"/>
        <v>0</v>
      </c>
      <c r="AE397" s="55">
        <f t="shared" ca="1" si="97"/>
        <v>0</v>
      </c>
      <c r="AF397" s="55">
        <f t="shared" ca="1" si="97"/>
        <v>0</v>
      </c>
      <c r="AG397" s="55">
        <f t="shared" ca="1" si="97"/>
        <v>0</v>
      </c>
      <c r="AH397" s="55">
        <f t="shared" ca="1" si="97"/>
        <v>0</v>
      </c>
      <c r="AI397" s="55">
        <f t="shared" ca="1" si="97"/>
        <v>0</v>
      </c>
      <c r="AJ397" s="55">
        <f t="shared" ca="1" si="97"/>
        <v>0</v>
      </c>
      <c r="AK397" s="55">
        <f t="shared" ca="1" si="97"/>
        <v>0</v>
      </c>
      <c r="AL397" s="55">
        <f t="shared" ca="1" si="97"/>
        <v>0</v>
      </c>
      <c r="AM397" s="55">
        <f t="shared" ca="1" si="97"/>
        <v>0</v>
      </c>
      <c r="AN397" s="55">
        <f t="shared" ca="1" si="97"/>
        <v>0</v>
      </c>
      <c r="AO397" s="55">
        <f t="shared" ca="1" si="97"/>
        <v>0</v>
      </c>
      <c r="AP397" s="55">
        <f t="shared" ca="1" si="97"/>
        <v>0</v>
      </c>
      <c r="AQ397" s="55">
        <f t="shared" ca="1" si="97"/>
        <v>0</v>
      </c>
      <c r="AR397" s="55">
        <f t="shared" ca="1" si="97"/>
        <v>0</v>
      </c>
      <c r="AS397" s="55">
        <f t="shared" ca="1" si="97"/>
        <v>0</v>
      </c>
      <c r="AT397" s="55">
        <f t="shared" ca="1" si="97"/>
        <v>0</v>
      </c>
      <c r="AU397" s="55">
        <f t="shared" ca="1" si="97"/>
        <v>0</v>
      </c>
      <c r="AV397" s="55">
        <f t="shared" ca="1" si="97"/>
        <v>0</v>
      </c>
      <c r="AW397" s="55">
        <f t="shared" ca="1" si="97"/>
        <v>0</v>
      </c>
      <c r="AX397" s="55">
        <f t="shared" ca="1" si="97"/>
        <v>0</v>
      </c>
    </row>
    <row r="398" spans="1:50" ht="15" customHeight="1" x14ac:dyDescent="0.25">
      <c r="A398" s="86"/>
      <c r="B398" s="677"/>
      <c r="C398" s="604"/>
      <c r="D398" s="217"/>
      <c r="E398" s="55" t="str">
        <f xml:space="preserve"> E$378 &amp;  ": " &amp; Translate!E113</f>
        <v>Interest capitalized into development costs: IOC</v>
      </c>
      <c r="F398" s="281"/>
      <c r="G398" s="55" t="str">
        <f xml:space="preserve"> Translate!E$603</f>
        <v>US$ mn</v>
      </c>
      <c r="H398" s="190"/>
      <c r="I398" s="55">
        <f ca="1" xml:space="preserve"> SUM(K398:AX398)</f>
        <v>35.293279287900461</v>
      </c>
      <c r="J398" s="55"/>
      <c r="K398" s="55">
        <f t="shared" ref="K398:AX398" ca="1" si="98" xml:space="preserve"> K378 * ( 1 - $F391)</f>
        <v>0</v>
      </c>
      <c r="L398" s="55">
        <f t="shared" ca="1" si="98"/>
        <v>0.72256799999999966</v>
      </c>
      <c r="M398" s="55">
        <f t="shared" ca="1" si="98"/>
        <v>5.9038141007999974</v>
      </c>
      <c r="N398" s="55">
        <f t="shared" ca="1" si="98"/>
        <v>28.666897187100467</v>
      </c>
      <c r="O398" s="55">
        <f t="shared" ca="1" si="98"/>
        <v>0</v>
      </c>
      <c r="P398" s="55">
        <f t="shared" ca="1" si="98"/>
        <v>0</v>
      </c>
      <c r="Q398" s="55">
        <f t="shared" ca="1" si="98"/>
        <v>0</v>
      </c>
      <c r="R398" s="55">
        <f t="shared" ca="1" si="98"/>
        <v>0</v>
      </c>
      <c r="S398" s="55">
        <f t="shared" ca="1" si="98"/>
        <v>0</v>
      </c>
      <c r="T398" s="55">
        <f t="shared" ca="1" si="98"/>
        <v>0</v>
      </c>
      <c r="U398" s="55">
        <f t="shared" ca="1" si="98"/>
        <v>0</v>
      </c>
      <c r="V398" s="55">
        <f t="shared" ca="1" si="98"/>
        <v>0</v>
      </c>
      <c r="W398" s="55">
        <f t="shared" ca="1" si="98"/>
        <v>0</v>
      </c>
      <c r="X398" s="55">
        <f t="shared" ca="1" si="98"/>
        <v>0</v>
      </c>
      <c r="Y398" s="55">
        <f t="shared" ca="1" si="98"/>
        <v>0</v>
      </c>
      <c r="Z398" s="55">
        <f t="shared" ca="1" si="98"/>
        <v>0</v>
      </c>
      <c r="AA398" s="55">
        <f t="shared" ca="1" si="98"/>
        <v>0</v>
      </c>
      <c r="AB398" s="55">
        <f t="shared" ca="1" si="98"/>
        <v>0</v>
      </c>
      <c r="AC398" s="55">
        <f t="shared" ca="1" si="98"/>
        <v>0</v>
      </c>
      <c r="AD398" s="55">
        <f t="shared" ca="1" si="98"/>
        <v>0</v>
      </c>
      <c r="AE398" s="55">
        <f t="shared" ca="1" si="98"/>
        <v>0</v>
      </c>
      <c r="AF398" s="55">
        <f t="shared" ca="1" si="98"/>
        <v>0</v>
      </c>
      <c r="AG398" s="55">
        <f t="shared" ca="1" si="98"/>
        <v>0</v>
      </c>
      <c r="AH398" s="55">
        <f t="shared" ca="1" si="98"/>
        <v>0</v>
      </c>
      <c r="AI398" s="55">
        <f t="shared" ca="1" si="98"/>
        <v>0</v>
      </c>
      <c r="AJ398" s="55">
        <f t="shared" ca="1" si="98"/>
        <v>0</v>
      </c>
      <c r="AK398" s="55">
        <f t="shared" ca="1" si="98"/>
        <v>0</v>
      </c>
      <c r="AL398" s="55">
        <f t="shared" ca="1" si="98"/>
        <v>0</v>
      </c>
      <c r="AM398" s="55">
        <f t="shared" ca="1" si="98"/>
        <v>0</v>
      </c>
      <c r="AN398" s="55">
        <f t="shared" ca="1" si="98"/>
        <v>0</v>
      </c>
      <c r="AO398" s="55">
        <f t="shared" ca="1" si="98"/>
        <v>0</v>
      </c>
      <c r="AP398" s="55">
        <f t="shared" ca="1" si="98"/>
        <v>0</v>
      </c>
      <c r="AQ398" s="55">
        <f t="shared" ca="1" si="98"/>
        <v>0</v>
      </c>
      <c r="AR398" s="55">
        <f t="shared" ca="1" si="98"/>
        <v>0</v>
      </c>
      <c r="AS398" s="55">
        <f t="shared" ca="1" si="98"/>
        <v>0</v>
      </c>
      <c r="AT398" s="55">
        <f t="shared" ca="1" si="98"/>
        <v>0</v>
      </c>
      <c r="AU398" s="55">
        <f t="shared" ca="1" si="98"/>
        <v>0</v>
      </c>
      <c r="AV398" s="55">
        <f t="shared" ca="1" si="98"/>
        <v>0</v>
      </c>
      <c r="AW398" s="55">
        <f t="shared" ca="1" si="98"/>
        <v>0</v>
      </c>
      <c r="AX398" s="55">
        <f t="shared" ca="1" si="98"/>
        <v>0</v>
      </c>
    </row>
    <row r="399" spans="1:50" ht="15" customHeight="1" x14ac:dyDescent="0.25">
      <c r="A399" s="86"/>
      <c r="B399" s="677"/>
      <c r="C399" s="604"/>
      <c r="D399" s="217"/>
      <c r="E399" s="55" t="str">
        <f xml:space="preserve"> E$379 &amp;  ": " &amp; Translate!E113</f>
        <v>Interest expensed: IOC</v>
      </c>
      <c r="F399" s="281"/>
      <c r="G399" s="55" t="str">
        <f xml:space="preserve"> Translate!E$603</f>
        <v>US$ mn</v>
      </c>
      <c r="H399" s="190"/>
      <c r="I399" s="55">
        <f ca="1" xml:space="preserve"> SUM(K399:AX399)</f>
        <v>1068.6524466773587</v>
      </c>
      <c r="J399" s="55"/>
      <c r="K399" s="55">
        <f t="shared" ref="K399:AX399" ca="1" si="99" xml:space="preserve"> K379 * ( 1 - $F391 )</f>
        <v>0</v>
      </c>
      <c r="L399" s="55">
        <f t="shared" ca="1" si="99"/>
        <v>0</v>
      </c>
      <c r="M399" s="55">
        <f t="shared" ca="1" si="99"/>
        <v>0</v>
      </c>
      <c r="N399" s="55">
        <f t="shared" ca="1" si="99"/>
        <v>0</v>
      </c>
      <c r="O399" s="55">
        <f t="shared" ca="1" si="99"/>
        <v>66.562754729023737</v>
      </c>
      <c r="P399" s="55">
        <f t="shared" ca="1" si="99"/>
        <v>121.18340405121727</v>
      </c>
      <c r="Q399" s="55">
        <f t="shared" ca="1" si="99"/>
        <v>160.16477961765781</v>
      </c>
      <c r="R399" s="55">
        <f t="shared" ca="1" si="99"/>
        <v>144.14830165589203</v>
      </c>
      <c r="S399" s="55">
        <f t="shared" ca="1" si="99"/>
        <v>128.13182369412624</v>
      </c>
      <c r="T399" s="55">
        <f t="shared" ca="1" si="99"/>
        <v>112.11534573236045</v>
      </c>
      <c r="U399" s="55">
        <f t="shared" ca="1" si="99"/>
        <v>96.098867770594666</v>
      </c>
      <c r="V399" s="55">
        <f t="shared" ca="1" si="99"/>
        <v>80.082389808828893</v>
      </c>
      <c r="W399" s="55">
        <f t="shared" ca="1" si="99"/>
        <v>64.06591184706312</v>
      </c>
      <c r="X399" s="55">
        <f t="shared" ca="1" si="99"/>
        <v>48.049433885297333</v>
      </c>
      <c r="Y399" s="55">
        <f t="shared" ca="1" si="99"/>
        <v>32.03295592353156</v>
      </c>
      <c r="Z399" s="55">
        <f t="shared" ca="1" si="99"/>
        <v>16.01647796176578</v>
      </c>
      <c r="AA399" s="55">
        <f t="shared" ca="1" si="99"/>
        <v>0</v>
      </c>
      <c r="AB399" s="55">
        <f t="shared" ca="1" si="99"/>
        <v>0</v>
      </c>
      <c r="AC399" s="55">
        <f t="shared" ca="1" si="99"/>
        <v>0</v>
      </c>
      <c r="AD399" s="55">
        <f t="shared" ca="1" si="99"/>
        <v>0</v>
      </c>
      <c r="AE399" s="55">
        <f t="shared" ca="1" si="99"/>
        <v>0</v>
      </c>
      <c r="AF399" s="55">
        <f t="shared" ca="1" si="99"/>
        <v>0</v>
      </c>
      <c r="AG399" s="55">
        <f t="shared" ca="1" si="99"/>
        <v>0</v>
      </c>
      <c r="AH399" s="55">
        <f t="shared" ca="1" si="99"/>
        <v>0</v>
      </c>
      <c r="AI399" s="55">
        <f t="shared" ca="1" si="99"/>
        <v>0</v>
      </c>
      <c r="AJ399" s="55">
        <f t="shared" ca="1" si="99"/>
        <v>0</v>
      </c>
      <c r="AK399" s="55">
        <f t="shared" ca="1" si="99"/>
        <v>0</v>
      </c>
      <c r="AL399" s="55">
        <f t="shared" ca="1" si="99"/>
        <v>0</v>
      </c>
      <c r="AM399" s="55">
        <f t="shared" ca="1" si="99"/>
        <v>0</v>
      </c>
      <c r="AN399" s="55">
        <f t="shared" ca="1" si="99"/>
        <v>0</v>
      </c>
      <c r="AO399" s="55">
        <f t="shared" ca="1" si="99"/>
        <v>0</v>
      </c>
      <c r="AP399" s="55">
        <f t="shared" ca="1" si="99"/>
        <v>0</v>
      </c>
      <c r="AQ399" s="55">
        <f t="shared" ca="1" si="99"/>
        <v>0</v>
      </c>
      <c r="AR399" s="55">
        <f t="shared" ca="1" si="99"/>
        <v>0</v>
      </c>
      <c r="AS399" s="55">
        <f t="shared" ca="1" si="99"/>
        <v>0</v>
      </c>
      <c r="AT399" s="55">
        <f t="shared" ca="1" si="99"/>
        <v>0</v>
      </c>
      <c r="AU399" s="55">
        <f t="shared" ca="1" si="99"/>
        <v>0</v>
      </c>
      <c r="AV399" s="55">
        <f t="shared" ca="1" si="99"/>
        <v>0</v>
      </c>
      <c r="AW399" s="55">
        <f t="shared" ca="1" si="99"/>
        <v>0</v>
      </c>
      <c r="AX399" s="55">
        <f t="shared" ca="1" si="99"/>
        <v>0</v>
      </c>
    </row>
    <row r="400" spans="1:50" ht="15" customHeight="1" x14ac:dyDescent="0.25">
      <c r="A400" s="86"/>
      <c r="B400" s="677"/>
      <c r="C400" s="604"/>
      <c r="D400" s="217"/>
      <c r="E400" s="13"/>
      <c r="F400" s="560"/>
      <c r="G400" s="13"/>
      <c r="H400" s="13"/>
      <c r="I400" s="217"/>
      <c r="J400" s="237"/>
      <c r="K400" s="98"/>
      <c r="L400" s="98"/>
      <c r="M400" s="98"/>
      <c r="N400" s="98"/>
      <c r="O400" s="98"/>
      <c r="P400" s="98"/>
      <c r="Q400" s="98"/>
      <c r="R400" s="98"/>
      <c r="S400" s="98"/>
      <c r="T400" s="98"/>
      <c r="U400" s="98"/>
      <c r="V400" s="98"/>
      <c r="W400" s="98"/>
      <c r="X400" s="98"/>
      <c r="Y400" s="98"/>
      <c r="Z400" s="98"/>
      <c r="AA400" s="98"/>
      <c r="AB400" s="98"/>
      <c r="AC400" s="98"/>
      <c r="AD400" s="98"/>
      <c r="AE400" s="98"/>
      <c r="AF400" s="98"/>
      <c r="AG400" s="98"/>
      <c r="AH400" s="98"/>
      <c r="AI400" s="98"/>
      <c r="AJ400" s="98"/>
      <c r="AK400" s="98"/>
      <c r="AL400" s="98"/>
      <c r="AM400" s="98"/>
      <c r="AN400" s="98"/>
      <c r="AO400" s="98"/>
      <c r="AP400" s="98"/>
      <c r="AQ400" s="98"/>
      <c r="AR400" s="98"/>
      <c r="AS400" s="98"/>
      <c r="AT400" s="98"/>
      <c r="AU400" s="98"/>
      <c r="AV400" s="98"/>
      <c r="AW400" s="98"/>
      <c r="AX400" s="98"/>
    </row>
    <row r="401" spans="1:50" ht="15" customHeight="1" x14ac:dyDescent="0.25">
      <c r="A401" s="85"/>
      <c r="B401" s="677"/>
      <c r="C401" s="628"/>
      <c r="D401" s="238"/>
      <c r="E401" s="13" t="str">
        <f>Translate!E$601 &amp; ": "  &amp; E366</f>
        <v>Total: Loan cashflows before interest withholding tax</v>
      </c>
      <c r="F401" s="269">
        <f ca="1" xml:space="preserve"> SUM(K366:AX366)</f>
        <v>1379.9321574565736</v>
      </c>
      <c r="G401" s="13" t="str">
        <f xml:space="preserve"> G366</f>
        <v>US$ mn</v>
      </c>
      <c r="H401" s="13"/>
      <c r="I401" s="238"/>
      <c r="J401" s="240"/>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12"/>
      <c r="AV401" s="12"/>
      <c r="AW401" s="12"/>
      <c r="AX401" s="12"/>
    </row>
    <row r="402" spans="1:50" ht="15" customHeight="1" x14ac:dyDescent="0.25">
      <c r="A402" s="86"/>
      <c r="B402" s="677"/>
      <c r="C402" s="604"/>
      <c r="D402" s="217"/>
      <c r="E402" s="55" t="str">
        <f t="shared" ref="E402:G403" si="100">E382</f>
        <v>Total: Interest capitalized into development costs</v>
      </c>
      <c r="F402" s="64">
        <f t="shared" ca="1" si="100"/>
        <v>44.11659910987558</v>
      </c>
      <c r="G402" s="55" t="str">
        <f t="shared" si="100"/>
        <v>US$ mn</v>
      </c>
      <c r="H402" s="13"/>
      <c r="I402" s="217"/>
      <c r="J402" s="237"/>
      <c r="K402" s="98"/>
      <c r="L402" s="98"/>
      <c r="M402" s="98"/>
      <c r="N402" s="98"/>
      <c r="O402" s="98"/>
      <c r="P402" s="98"/>
      <c r="Q402" s="98"/>
      <c r="R402" s="98"/>
      <c r="S402" s="98"/>
      <c r="T402" s="98"/>
      <c r="U402" s="98"/>
      <c r="V402" s="98"/>
      <c r="W402" s="98"/>
      <c r="X402" s="98"/>
      <c r="Y402" s="98"/>
      <c r="Z402" s="98"/>
      <c r="AA402" s="98"/>
      <c r="AB402" s="98"/>
      <c r="AC402" s="98"/>
      <c r="AD402" s="98"/>
      <c r="AE402" s="98"/>
      <c r="AF402" s="98"/>
      <c r="AG402" s="98"/>
      <c r="AH402" s="98"/>
      <c r="AI402" s="98"/>
      <c r="AJ402" s="98"/>
      <c r="AK402" s="98"/>
      <c r="AL402" s="98"/>
      <c r="AM402" s="98"/>
      <c r="AN402" s="98"/>
      <c r="AO402" s="98"/>
      <c r="AP402" s="98"/>
      <c r="AQ402" s="98"/>
      <c r="AR402" s="98"/>
      <c r="AS402" s="98"/>
      <c r="AT402" s="98"/>
      <c r="AU402" s="98"/>
      <c r="AV402" s="98"/>
      <c r="AW402" s="98"/>
      <c r="AX402" s="98"/>
    </row>
    <row r="403" spans="1:50" ht="15" customHeight="1" x14ac:dyDescent="0.25">
      <c r="A403" s="86"/>
      <c r="B403" s="677"/>
      <c r="C403" s="604"/>
      <c r="D403" s="217"/>
      <c r="E403" s="55" t="str">
        <f t="shared" si="100"/>
        <v>Total: Interest expensed</v>
      </c>
      <c r="F403" s="64">
        <f t="shared" ca="1" si="100"/>
        <v>1335.8155583466985</v>
      </c>
      <c r="G403" s="55" t="str">
        <f t="shared" si="100"/>
        <v>US$ mn</v>
      </c>
      <c r="H403" s="13"/>
      <c r="I403" s="217"/>
      <c r="J403" s="237"/>
      <c r="K403" s="98"/>
      <c r="L403" s="98"/>
      <c r="M403" s="98"/>
      <c r="N403" s="98"/>
      <c r="O403" s="98"/>
      <c r="P403" s="98"/>
      <c r="Q403" s="98"/>
      <c r="R403" s="98"/>
      <c r="S403" s="98"/>
      <c r="T403" s="98"/>
      <c r="U403" s="98"/>
      <c r="V403" s="98"/>
      <c r="W403" s="98"/>
      <c r="X403" s="98"/>
      <c r="Y403" s="98"/>
      <c r="Z403" s="98"/>
      <c r="AA403" s="98"/>
      <c r="AB403" s="98"/>
      <c r="AC403" s="98"/>
      <c r="AD403" s="98"/>
      <c r="AE403" s="98"/>
      <c r="AF403" s="98"/>
      <c r="AG403" s="98"/>
      <c r="AH403" s="98"/>
      <c r="AI403" s="98"/>
      <c r="AJ403" s="98"/>
      <c r="AK403" s="98"/>
      <c r="AL403" s="98"/>
      <c r="AM403" s="98"/>
      <c r="AN403" s="98"/>
      <c r="AO403" s="98"/>
      <c r="AP403" s="98"/>
      <c r="AQ403" s="98"/>
      <c r="AR403" s="98"/>
      <c r="AS403" s="98"/>
      <c r="AT403" s="98"/>
      <c r="AU403" s="98"/>
      <c r="AV403" s="98"/>
      <c r="AW403" s="98"/>
      <c r="AX403" s="98"/>
    </row>
    <row r="404" spans="1:50" ht="15" customHeight="1" x14ac:dyDescent="0.25">
      <c r="A404" s="86"/>
      <c r="B404" s="677"/>
      <c r="C404" s="604"/>
      <c r="D404" s="217"/>
      <c r="E404" s="13" t="str">
        <f>Translate!E$601 &amp; ": " &amp; Translate!E$277</f>
        <v>Total: SOC loan cash flows</v>
      </c>
      <c r="F404" s="151">
        <f ca="1" xml:space="preserve"> SUM(K393:AX395)</f>
        <v>551.97286298262952</v>
      </c>
      <c r="G404" s="13" t="str">
        <f xml:space="preserve"> Translate!E$603</f>
        <v>US$ mn</v>
      </c>
      <c r="H404" s="13"/>
      <c r="I404" s="217"/>
      <c r="J404" s="237"/>
      <c r="K404" s="98"/>
      <c r="L404" s="98"/>
      <c r="M404" s="98"/>
      <c r="N404" s="98"/>
      <c r="O404" s="98"/>
      <c r="P404" s="98"/>
      <c r="Q404" s="98"/>
      <c r="R404" s="98"/>
      <c r="S404" s="98"/>
      <c r="T404" s="98"/>
      <c r="U404" s="98"/>
      <c r="V404" s="98"/>
      <c r="W404" s="98"/>
      <c r="X404" s="98"/>
      <c r="Y404" s="98"/>
      <c r="Z404" s="98"/>
      <c r="AA404" s="98"/>
      <c r="AB404" s="98"/>
      <c r="AC404" s="98"/>
      <c r="AD404" s="98"/>
      <c r="AE404" s="98"/>
      <c r="AF404" s="98"/>
      <c r="AG404" s="98"/>
      <c r="AH404" s="98"/>
      <c r="AI404" s="98"/>
      <c r="AJ404" s="98"/>
      <c r="AK404" s="98"/>
      <c r="AL404" s="98"/>
      <c r="AM404" s="98"/>
      <c r="AN404" s="98"/>
      <c r="AO404" s="98"/>
      <c r="AP404" s="98"/>
      <c r="AQ404" s="98"/>
      <c r="AR404" s="98"/>
      <c r="AS404" s="98"/>
      <c r="AT404" s="98"/>
      <c r="AU404" s="98"/>
      <c r="AV404" s="98"/>
      <c r="AW404" s="98"/>
      <c r="AX404" s="98"/>
    </row>
    <row r="405" spans="1:50" ht="15" customHeight="1" x14ac:dyDescent="0.25">
      <c r="A405" s="86"/>
      <c r="B405" s="678"/>
      <c r="C405" s="604"/>
      <c r="D405" s="217"/>
      <c r="E405" s="13" t="str">
        <f>Translate!E$601 &amp; ": "  &amp; Translate!E$278</f>
        <v>Total: IOC loan cash flows</v>
      </c>
      <c r="F405" s="151">
        <f ca="1" xml:space="preserve"> SUM(K397:AX399)</f>
        <v>2207.8914519305181</v>
      </c>
      <c r="G405" s="13" t="str">
        <f xml:space="preserve"> Translate!E$603</f>
        <v>US$ mn</v>
      </c>
      <c r="H405" s="13"/>
      <c r="I405" s="217"/>
      <c r="J405" s="237"/>
      <c r="K405" s="98"/>
      <c r="L405" s="98"/>
      <c r="M405" s="98"/>
      <c r="N405" s="98"/>
      <c r="O405" s="98"/>
      <c r="P405" s="98"/>
      <c r="Q405" s="98"/>
      <c r="R405" s="98"/>
      <c r="S405" s="98"/>
      <c r="T405" s="98"/>
      <c r="U405" s="98"/>
      <c r="V405" s="98"/>
      <c r="W405" s="98"/>
      <c r="X405" s="98"/>
      <c r="Y405" s="98"/>
      <c r="Z405" s="98"/>
      <c r="AA405" s="98"/>
      <c r="AB405" s="98"/>
      <c r="AC405" s="98"/>
      <c r="AD405" s="98"/>
      <c r="AE405" s="98"/>
      <c r="AF405" s="98"/>
      <c r="AG405" s="98"/>
      <c r="AH405" s="98"/>
      <c r="AI405" s="98"/>
      <c r="AJ405" s="98"/>
      <c r="AK405" s="98"/>
      <c r="AL405" s="98"/>
      <c r="AM405" s="98"/>
      <c r="AN405" s="98"/>
      <c r="AO405" s="98"/>
      <c r="AP405" s="98"/>
      <c r="AQ405" s="98"/>
      <c r="AR405" s="98"/>
      <c r="AS405" s="98"/>
      <c r="AT405" s="98"/>
      <c r="AU405" s="98"/>
      <c r="AV405" s="98"/>
      <c r="AW405" s="98"/>
      <c r="AX405" s="98"/>
    </row>
    <row r="406" spans="1:50" ht="15" customHeight="1" x14ac:dyDescent="0.25">
      <c r="A406" s="86"/>
      <c r="B406" s="677"/>
      <c r="C406" s="604"/>
      <c r="D406" s="217"/>
      <c r="E406" s="13" t="str">
        <f xml:space="preserve"> Translate!E$755 &amp; " " &amp; Translate!E$279</f>
        <v>Check:  Loan cashflows allocation</v>
      </c>
      <c r="F406" s="157">
        <f ca="1" xml:space="preserve"> IF( ABS( F401 + F402 + F403 - F404 - F405) &gt; CHK_TOL, 1, 0)</f>
        <v>0</v>
      </c>
      <c r="G406" s="13" t="str">
        <f xml:space="preserve"> Translate!E$604</f>
        <v>Check</v>
      </c>
      <c r="H406" s="13"/>
      <c r="I406" s="217"/>
      <c r="J406" s="237"/>
      <c r="K406" s="98"/>
      <c r="L406" s="98"/>
      <c r="M406" s="98"/>
      <c r="N406" s="98"/>
      <c r="O406" s="98"/>
      <c r="P406" s="98"/>
      <c r="Q406" s="98"/>
      <c r="R406" s="98"/>
      <c r="S406" s="98"/>
      <c r="T406" s="98"/>
      <c r="U406" s="98"/>
      <c r="V406" s="98"/>
      <c r="W406" s="98"/>
      <c r="X406" s="98"/>
      <c r="Y406" s="98"/>
      <c r="Z406" s="98"/>
      <c r="AA406" s="98"/>
      <c r="AB406" s="98"/>
      <c r="AC406" s="98"/>
      <c r="AD406" s="98"/>
      <c r="AE406" s="98"/>
      <c r="AF406" s="98"/>
      <c r="AG406" s="98"/>
      <c r="AH406" s="98"/>
      <c r="AI406" s="98"/>
      <c r="AJ406" s="98"/>
      <c r="AK406" s="98"/>
      <c r="AL406" s="98"/>
      <c r="AM406" s="98"/>
      <c r="AN406" s="98"/>
      <c r="AO406" s="98"/>
      <c r="AP406" s="98"/>
      <c r="AQ406" s="98"/>
      <c r="AR406" s="98"/>
      <c r="AS406" s="98"/>
      <c r="AT406" s="98"/>
      <c r="AU406" s="98"/>
      <c r="AV406" s="98"/>
      <c r="AW406" s="98"/>
      <c r="AX406" s="98"/>
    </row>
    <row r="407" spans="1:50" ht="15" customHeight="1" x14ac:dyDescent="0.25">
      <c r="A407" s="86"/>
      <c r="B407" s="677"/>
      <c r="C407" s="604"/>
      <c r="D407" s="217"/>
      <c r="E407" s="13"/>
      <c r="F407" s="560"/>
      <c r="G407" s="13"/>
      <c r="H407" s="13"/>
      <c r="I407" s="217"/>
      <c r="J407" s="237"/>
      <c r="K407" s="98"/>
      <c r="L407" s="98"/>
      <c r="M407" s="98"/>
      <c r="N407" s="98"/>
      <c r="O407" s="98"/>
      <c r="P407" s="98"/>
      <c r="Q407" s="98"/>
      <c r="R407" s="98"/>
      <c r="S407" s="98"/>
      <c r="T407" s="98"/>
      <c r="U407" s="98"/>
      <c r="V407" s="98"/>
      <c r="W407" s="98"/>
      <c r="X407" s="98"/>
      <c r="Y407" s="98"/>
      <c r="Z407" s="98"/>
      <c r="AA407" s="98"/>
      <c r="AB407" s="98"/>
      <c r="AC407" s="98"/>
      <c r="AD407" s="98"/>
      <c r="AE407" s="98"/>
      <c r="AF407" s="98"/>
      <c r="AG407" s="98"/>
      <c r="AH407" s="98"/>
      <c r="AI407" s="98"/>
      <c r="AJ407" s="98"/>
      <c r="AK407" s="98"/>
      <c r="AL407" s="98"/>
      <c r="AM407" s="98"/>
      <c r="AN407" s="98"/>
      <c r="AO407" s="98"/>
      <c r="AP407" s="98"/>
      <c r="AQ407" s="98"/>
      <c r="AR407" s="98"/>
      <c r="AS407" s="98"/>
      <c r="AT407" s="98"/>
      <c r="AU407" s="98"/>
      <c r="AV407" s="98"/>
      <c r="AW407" s="98"/>
      <c r="AX407" s="98"/>
    </row>
    <row r="408" spans="1:50" ht="15" customHeight="1" x14ac:dyDescent="0.25">
      <c r="A408" s="86"/>
      <c r="B408" s="235"/>
      <c r="C408" s="604"/>
      <c r="D408" s="162"/>
      <c r="E408" s="52"/>
      <c r="F408" s="162"/>
      <c r="G408" s="52"/>
      <c r="H408" s="52"/>
      <c r="I408" s="89"/>
      <c r="J408" s="56"/>
      <c r="K408" s="56"/>
      <c r="L408" s="56"/>
      <c r="M408" s="56"/>
      <c r="N408" s="56"/>
      <c r="O408" s="56"/>
      <c r="P408" s="56"/>
      <c r="Q408" s="56"/>
      <c r="R408" s="56"/>
      <c r="S408" s="56"/>
      <c r="T408" s="56"/>
      <c r="U408" s="56"/>
      <c r="V408" s="56"/>
      <c r="W408" s="56"/>
      <c r="X408" s="56"/>
      <c r="Y408" s="56"/>
      <c r="Z408" s="56"/>
      <c r="AA408" s="56"/>
      <c r="AB408" s="56"/>
      <c r="AC408" s="56"/>
      <c r="AD408" s="56"/>
      <c r="AE408" s="56"/>
      <c r="AF408" s="56"/>
      <c r="AG408" s="56"/>
      <c r="AH408" s="56"/>
      <c r="AI408" s="56"/>
      <c r="AJ408" s="56"/>
      <c r="AK408" s="56"/>
      <c r="AL408" s="56"/>
      <c r="AM408" s="56"/>
      <c r="AN408" s="56"/>
      <c r="AO408" s="56"/>
      <c r="AP408" s="56"/>
      <c r="AQ408" s="56"/>
      <c r="AR408" s="56"/>
      <c r="AS408" s="56"/>
      <c r="AT408" s="56"/>
      <c r="AU408" s="56"/>
      <c r="AV408" s="56"/>
      <c r="AW408" s="56"/>
      <c r="AX408" s="56"/>
    </row>
    <row r="409" spans="1:50" ht="15" customHeight="1" x14ac:dyDescent="0.25">
      <c r="A409" s="86"/>
      <c r="B409" s="1060" t="str">
        <f xml:space="preserve"> Translate!E$429</f>
        <v>Allocation of loan transactions to IOC and SOC as lender</v>
      </c>
      <c r="C409" s="604"/>
      <c r="D409" s="162"/>
      <c r="E409" s="52"/>
      <c r="F409" s="162"/>
      <c r="G409" s="52"/>
      <c r="H409" s="52"/>
      <c r="I409" s="89"/>
      <c r="J409" s="56"/>
      <c r="K409" s="56"/>
      <c r="L409" s="56"/>
      <c r="M409" s="56"/>
      <c r="N409" s="56"/>
      <c r="O409" s="56"/>
      <c r="P409" s="56"/>
      <c r="Q409" s="56"/>
      <c r="R409" s="56"/>
      <c r="S409" s="56"/>
      <c r="T409" s="56"/>
      <c r="U409" s="56"/>
      <c r="V409" s="56"/>
      <c r="W409" s="56"/>
      <c r="X409" s="56"/>
      <c r="Y409" s="56"/>
      <c r="Z409" s="56"/>
      <c r="AA409" s="56"/>
      <c r="AB409" s="56"/>
      <c r="AC409" s="56"/>
      <c r="AD409" s="56"/>
      <c r="AE409" s="56"/>
      <c r="AF409" s="56"/>
      <c r="AG409" s="56"/>
      <c r="AH409" s="56"/>
      <c r="AI409" s="56"/>
      <c r="AJ409" s="56"/>
      <c r="AK409" s="56"/>
      <c r="AL409" s="56"/>
      <c r="AM409" s="56"/>
      <c r="AN409" s="56"/>
      <c r="AO409" s="56"/>
      <c r="AP409" s="56"/>
      <c r="AQ409" s="56"/>
      <c r="AR409" s="56"/>
      <c r="AS409" s="56"/>
      <c r="AT409" s="56"/>
      <c r="AU409" s="56"/>
      <c r="AV409" s="56"/>
      <c r="AW409" s="56"/>
      <c r="AX409" s="56"/>
    </row>
    <row r="410" spans="1:50" ht="15" customHeight="1" x14ac:dyDescent="0.25">
      <c r="A410" s="86"/>
      <c r="B410" s="235"/>
      <c r="C410" s="604"/>
      <c r="D410" s="162"/>
      <c r="E410" s="52"/>
      <c r="F410" s="162"/>
      <c r="G410" s="52"/>
      <c r="H410" s="52"/>
      <c r="I410" s="89"/>
      <c r="J410" s="56"/>
      <c r="K410" s="56"/>
      <c r="L410" s="56"/>
      <c r="M410" s="56"/>
      <c r="N410" s="56"/>
      <c r="O410" s="56"/>
      <c r="P410" s="56"/>
      <c r="Q410" s="56"/>
      <c r="R410" s="56"/>
      <c r="S410" s="56"/>
      <c r="T410" s="56"/>
      <c r="U410" s="56"/>
      <c r="V410" s="56"/>
      <c r="W410" s="56"/>
      <c r="X410" s="56"/>
      <c r="Y410" s="56"/>
      <c r="Z410" s="56"/>
      <c r="AA410" s="56"/>
      <c r="AB410" s="56"/>
      <c r="AC410" s="56"/>
      <c r="AD410" s="56"/>
      <c r="AE410" s="56"/>
      <c r="AF410" s="56"/>
      <c r="AG410" s="56"/>
      <c r="AH410" s="56"/>
      <c r="AI410" s="56"/>
      <c r="AJ410" s="56"/>
      <c r="AK410" s="56"/>
      <c r="AL410" s="56"/>
      <c r="AM410" s="56"/>
      <c r="AN410" s="56"/>
      <c r="AO410" s="56"/>
      <c r="AP410" s="56"/>
      <c r="AQ410" s="56"/>
      <c r="AR410" s="56"/>
      <c r="AS410" s="56"/>
      <c r="AT410" s="56"/>
      <c r="AU410" s="56"/>
      <c r="AV410" s="56"/>
      <c r="AW410" s="56"/>
      <c r="AX410" s="56"/>
    </row>
    <row r="411" spans="1:50" ht="15" customHeight="1" x14ac:dyDescent="0.25">
      <c r="A411" s="86"/>
      <c r="B411" s="235"/>
      <c r="C411" s="604"/>
      <c r="D411" s="162"/>
      <c r="E411" s="257" t="str">
        <f t="shared" ref="E411:AX411" si="101" xml:space="preserve"> E$372</f>
        <v>Lender cashflows after interest withholding tax</v>
      </c>
      <c r="F411" s="257">
        <f t="shared" si="101"/>
        <v>0</v>
      </c>
      <c r="G411" s="257" t="str">
        <f t="shared" si="101"/>
        <v>US$ mn</v>
      </c>
      <c r="H411" s="257">
        <f t="shared" si="101"/>
        <v>0</v>
      </c>
      <c r="I411" s="257">
        <f t="shared" ca="1" si="101"/>
        <v>1269.8188714694338</v>
      </c>
      <c r="J411" s="257">
        <f t="shared" si="101"/>
        <v>0</v>
      </c>
      <c r="K411" s="257">
        <f t="shared" ca="1" si="101"/>
        <v>0</v>
      </c>
      <c r="L411" s="257">
        <f t="shared" ca="1" si="101"/>
        <v>-35.699999999999996</v>
      </c>
      <c r="M411" s="257">
        <f t="shared" ca="1" si="101"/>
        <v>-218.48399999999998</v>
      </c>
      <c r="N411" s="257">
        <f t="shared" ca="1" si="101"/>
        <v>-891.41471999999987</v>
      </c>
      <c r="O411" s="257">
        <f t="shared" ca="1" si="101"/>
        <v>-909.24301439999988</v>
      </c>
      <c r="P411" s="257">
        <f t="shared" ca="1" si="101"/>
        <v>-1622.998780704</v>
      </c>
      <c r="Q411" s="257">
        <f t="shared" ca="1" si="101"/>
        <v>575.84935833878274</v>
      </c>
      <c r="R411" s="257">
        <f t="shared" ca="1" si="101"/>
        <v>557.83082063179609</v>
      </c>
      <c r="S411" s="257">
        <f t="shared" ca="1" si="101"/>
        <v>539.81228292480967</v>
      </c>
      <c r="T411" s="257">
        <f t="shared" ca="1" si="101"/>
        <v>521.79374521782302</v>
      </c>
      <c r="U411" s="257">
        <f t="shared" ca="1" si="101"/>
        <v>503.77520751083659</v>
      </c>
      <c r="V411" s="257">
        <f t="shared" ca="1" si="101"/>
        <v>485.75666980385017</v>
      </c>
      <c r="W411" s="257">
        <f t="shared" ca="1" si="101"/>
        <v>467.73813209686364</v>
      </c>
      <c r="X411" s="257">
        <f t="shared" ca="1" si="101"/>
        <v>449.71959438987705</v>
      </c>
      <c r="Y411" s="257">
        <f t="shared" ca="1" si="101"/>
        <v>431.70105668289062</v>
      </c>
      <c r="Z411" s="257">
        <f t="shared" ca="1" si="101"/>
        <v>413.68251897590409</v>
      </c>
      <c r="AA411" s="257">
        <f t="shared" ca="1" si="101"/>
        <v>0</v>
      </c>
      <c r="AB411" s="257">
        <f t="shared" ca="1" si="101"/>
        <v>0</v>
      </c>
      <c r="AC411" s="257">
        <f t="shared" ca="1" si="101"/>
        <v>0</v>
      </c>
      <c r="AD411" s="257">
        <f t="shared" ca="1" si="101"/>
        <v>0</v>
      </c>
      <c r="AE411" s="257">
        <f t="shared" ca="1" si="101"/>
        <v>0</v>
      </c>
      <c r="AF411" s="257">
        <f t="shared" ca="1" si="101"/>
        <v>0</v>
      </c>
      <c r="AG411" s="257">
        <f t="shared" ca="1" si="101"/>
        <v>0</v>
      </c>
      <c r="AH411" s="257">
        <f t="shared" ca="1" si="101"/>
        <v>0</v>
      </c>
      <c r="AI411" s="257">
        <f t="shared" ca="1" si="101"/>
        <v>0</v>
      </c>
      <c r="AJ411" s="257">
        <f t="shared" ca="1" si="101"/>
        <v>0</v>
      </c>
      <c r="AK411" s="257">
        <f t="shared" ca="1" si="101"/>
        <v>0</v>
      </c>
      <c r="AL411" s="257">
        <f t="shared" ca="1" si="101"/>
        <v>0</v>
      </c>
      <c r="AM411" s="257">
        <f t="shared" ca="1" si="101"/>
        <v>0</v>
      </c>
      <c r="AN411" s="257">
        <f t="shared" ca="1" si="101"/>
        <v>0</v>
      </c>
      <c r="AO411" s="257">
        <f t="shared" ca="1" si="101"/>
        <v>0</v>
      </c>
      <c r="AP411" s="257">
        <f t="shared" ca="1" si="101"/>
        <v>0</v>
      </c>
      <c r="AQ411" s="257">
        <f t="shared" ca="1" si="101"/>
        <v>0</v>
      </c>
      <c r="AR411" s="257">
        <f t="shared" ca="1" si="101"/>
        <v>0</v>
      </c>
      <c r="AS411" s="257">
        <f t="shared" ca="1" si="101"/>
        <v>0</v>
      </c>
      <c r="AT411" s="257">
        <f t="shared" ca="1" si="101"/>
        <v>0</v>
      </c>
      <c r="AU411" s="257">
        <f t="shared" ca="1" si="101"/>
        <v>0</v>
      </c>
      <c r="AV411" s="257">
        <f t="shared" ca="1" si="101"/>
        <v>0</v>
      </c>
      <c r="AW411" s="257">
        <f t="shared" ca="1" si="101"/>
        <v>0</v>
      </c>
      <c r="AX411" s="257">
        <f t="shared" ca="1" si="101"/>
        <v>0</v>
      </c>
    </row>
    <row r="412" spans="1:50" ht="15" customHeight="1" x14ac:dyDescent="0.25">
      <c r="A412" s="86"/>
      <c r="B412" s="235"/>
      <c r="C412" s="604"/>
      <c r="D412" s="162"/>
      <c r="E412" s="1061" t="str">
        <f xml:space="preserve"> E$391</f>
        <v>Proportion of loan attributed to SOC</v>
      </c>
      <c r="F412" s="1061">
        <f t="shared" ref="F412:G412" si="102" xml:space="preserve"> F$391</f>
        <v>0.2</v>
      </c>
      <c r="G412" s="1061" t="str">
        <f t="shared" si="102"/>
        <v>%</v>
      </c>
      <c r="H412" s="52"/>
      <c r="I412" s="89"/>
      <c r="J412" s="56"/>
      <c r="K412" s="56"/>
      <c r="L412" s="56"/>
      <c r="M412" s="56"/>
      <c r="N412" s="56"/>
      <c r="O412" s="56"/>
      <c r="P412" s="56"/>
      <c r="Q412" s="56"/>
      <c r="R412" s="56"/>
      <c r="S412" s="56"/>
      <c r="T412" s="56"/>
      <c r="U412" s="56"/>
      <c r="V412" s="56"/>
      <c r="W412" s="56"/>
      <c r="X412" s="56"/>
      <c r="Y412" s="56"/>
      <c r="Z412" s="56"/>
      <c r="AA412" s="56"/>
      <c r="AB412" s="56"/>
      <c r="AC412" s="56"/>
      <c r="AD412" s="56"/>
      <c r="AE412" s="56"/>
      <c r="AF412" s="56"/>
      <c r="AG412" s="56"/>
      <c r="AH412" s="56"/>
      <c r="AI412" s="56"/>
      <c r="AJ412" s="56"/>
      <c r="AK412" s="56"/>
      <c r="AL412" s="56"/>
      <c r="AM412" s="56"/>
      <c r="AN412" s="56"/>
      <c r="AO412" s="56"/>
      <c r="AP412" s="56"/>
      <c r="AQ412" s="56"/>
      <c r="AR412" s="56"/>
      <c r="AS412" s="56"/>
      <c r="AT412" s="56"/>
      <c r="AU412" s="56"/>
      <c r="AV412" s="56"/>
      <c r="AW412" s="56"/>
      <c r="AX412" s="56"/>
    </row>
    <row r="413" spans="1:50" ht="15" customHeight="1" x14ac:dyDescent="0.25">
      <c r="A413" s="86"/>
      <c r="B413" s="235"/>
      <c r="C413" s="604"/>
      <c r="D413" s="162"/>
      <c r="E413" s="52"/>
      <c r="F413" s="162"/>
      <c r="G413" s="52"/>
      <c r="H413" s="52"/>
      <c r="I413" s="89"/>
      <c r="J413" s="56"/>
      <c r="K413" s="56"/>
      <c r="L413" s="56"/>
      <c r="M413" s="56"/>
      <c r="N413" s="56"/>
      <c r="O413" s="56"/>
      <c r="P413" s="56"/>
      <c r="Q413" s="56"/>
      <c r="R413" s="56"/>
      <c r="S413" s="56"/>
      <c r="T413" s="56"/>
      <c r="U413" s="56"/>
      <c r="V413" s="56"/>
      <c r="W413" s="56"/>
      <c r="X413" s="56"/>
      <c r="Y413" s="56"/>
      <c r="Z413" s="56"/>
      <c r="AA413" s="56"/>
      <c r="AB413" s="56"/>
      <c r="AC413" s="56"/>
      <c r="AD413" s="56"/>
      <c r="AE413" s="56"/>
      <c r="AF413" s="56"/>
      <c r="AG413" s="56"/>
      <c r="AH413" s="56"/>
      <c r="AI413" s="56"/>
      <c r="AJ413" s="56"/>
      <c r="AK413" s="56"/>
      <c r="AL413" s="56"/>
      <c r="AM413" s="56"/>
      <c r="AN413" s="56"/>
      <c r="AO413" s="56"/>
      <c r="AP413" s="56"/>
      <c r="AQ413" s="56"/>
      <c r="AR413" s="56"/>
      <c r="AS413" s="56"/>
      <c r="AT413" s="56"/>
      <c r="AU413" s="56"/>
      <c r="AV413" s="56"/>
      <c r="AW413" s="56"/>
      <c r="AX413" s="56"/>
    </row>
    <row r="414" spans="1:50" ht="15" customHeight="1" x14ac:dyDescent="0.25">
      <c r="A414" s="86"/>
      <c r="B414" s="235"/>
      <c r="C414" s="604"/>
      <c r="D414" s="162"/>
      <c r="E414" s="52" t="str">
        <f xml:space="preserve"> E372 &amp; ": SOC parent"</f>
        <v>Lender cashflows after interest withholding tax: SOC parent</v>
      </c>
      <c r="F414" s="162"/>
      <c r="G414" s="52" t="str">
        <f xml:space="preserve"> G411</f>
        <v>US$ mn</v>
      </c>
      <c r="H414" s="52"/>
      <c r="I414" s="89">
        <f ca="1" xml:space="preserve"> SUM(K414:AX414)</f>
        <v>253.96377429388684</v>
      </c>
      <c r="J414" s="56"/>
      <c r="K414" s="56">
        <f t="shared" ref="K414:AX414" ca="1" si="103" xml:space="preserve"> K411 * $F412</f>
        <v>0</v>
      </c>
      <c r="L414" s="56">
        <f t="shared" ca="1" si="103"/>
        <v>-7.14</v>
      </c>
      <c r="M414" s="56">
        <f t="shared" ca="1" si="103"/>
        <v>-43.696799999999996</v>
      </c>
      <c r="N414" s="56">
        <f t="shared" ca="1" si="103"/>
        <v>-178.28294399999999</v>
      </c>
      <c r="O414" s="56">
        <f t="shared" ca="1" si="103"/>
        <v>-181.84860287999999</v>
      </c>
      <c r="P414" s="56">
        <f t="shared" ca="1" si="103"/>
        <v>-324.59975614080003</v>
      </c>
      <c r="Q414" s="56">
        <f t="shared" ca="1" si="103"/>
        <v>115.16987166775655</v>
      </c>
      <c r="R414" s="56">
        <f t="shared" ca="1" si="103"/>
        <v>111.56616412635923</v>
      </c>
      <c r="S414" s="56">
        <f t="shared" ca="1" si="103"/>
        <v>107.96245658496194</v>
      </c>
      <c r="T414" s="56">
        <f t="shared" ca="1" si="103"/>
        <v>104.35874904356461</v>
      </c>
      <c r="U414" s="56">
        <f t="shared" ca="1" si="103"/>
        <v>100.75504150216733</v>
      </c>
      <c r="V414" s="56">
        <f t="shared" ca="1" si="103"/>
        <v>97.151333960770046</v>
      </c>
      <c r="W414" s="56">
        <f t="shared" ca="1" si="103"/>
        <v>93.547626419372733</v>
      </c>
      <c r="X414" s="56">
        <f t="shared" ca="1" si="103"/>
        <v>89.94391887797542</v>
      </c>
      <c r="Y414" s="56">
        <f t="shared" ca="1" si="103"/>
        <v>86.340211336578136</v>
      </c>
      <c r="Z414" s="56">
        <f t="shared" ca="1" si="103"/>
        <v>82.736503795180823</v>
      </c>
      <c r="AA414" s="56">
        <f t="shared" ca="1" si="103"/>
        <v>0</v>
      </c>
      <c r="AB414" s="56">
        <f t="shared" ca="1" si="103"/>
        <v>0</v>
      </c>
      <c r="AC414" s="56">
        <f t="shared" ca="1" si="103"/>
        <v>0</v>
      </c>
      <c r="AD414" s="56">
        <f t="shared" ca="1" si="103"/>
        <v>0</v>
      </c>
      <c r="AE414" s="56">
        <f t="shared" ca="1" si="103"/>
        <v>0</v>
      </c>
      <c r="AF414" s="56">
        <f t="shared" ca="1" si="103"/>
        <v>0</v>
      </c>
      <c r="AG414" s="56">
        <f t="shared" ca="1" si="103"/>
        <v>0</v>
      </c>
      <c r="AH414" s="56">
        <f t="shared" ca="1" si="103"/>
        <v>0</v>
      </c>
      <c r="AI414" s="56">
        <f t="shared" ca="1" si="103"/>
        <v>0</v>
      </c>
      <c r="AJ414" s="56">
        <f t="shared" ca="1" si="103"/>
        <v>0</v>
      </c>
      <c r="AK414" s="56">
        <f t="shared" ca="1" si="103"/>
        <v>0</v>
      </c>
      <c r="AL414" s="56">
        <f t="shared" ca="1" si="103"/>
        <v>0</v>
      </c>
      <c r="AM414" s="56">
        <f t="shared" ca="1" si="103"/>
        <v>0</v>
      </c>
      <c r="AN414" s="56">
        <f t="shared" ca="1" si="103"/>
        <v>0</v>
      </c>
      <c r="AO414" s="56">
        <f t="shared" ca="1" si="103"/>
        <v>0</v>
      </c>
      <c r="AP414" s="56">
        <f t="shared" ca="1" si="103"/>
        <v>0</v>
      </c>
      <c r="AQ414" s="56">
        <f t="shared" ca="1" si="103"/>
        <v>0</v>
      </c>
      <c r="AR414" s="56">
        <f t="shared" ca="1" si="103"/>
        <v>0</v>
      </c>
      <c r="AS414" s="56">
        <f t="shared" ca="1" si="103"/>
        <v>0</v>
      </c>
      <c r="AT414" s="56">
        <f t="shared" ca="1" si="103"/>
        <v>0</v>
      </c>
      <c r="AU414" s="56">
        <f t="shared" ca="1" si="103"/>
        <v>0</v>
      </c>
      <c r="AV414" s="56">
        <f t="shared" ca="1" si="103"/>
        <v>0</v>
      </c>
      <c r="AW414" s="56">
        <f t="shared" ca="1" si="103"/>
        <v>0</v>
      </c>
      <c r="AX414" s="56">
        <f t="shared" ca="1" si="103"/>
        <v>0</v>
      </c>
    </row>
    <row r="415" spans="1:50" ht="15" customHeight="1" x14ac:dyDescent="0.25">
      <c r="A415" s="86"/>
      <c r="B415" s="235"/>
      <c r="C415" s="604"/>
      <c r="D415" s="162"/>
      <c r="E415" s="52" t="str">
        <f xml:space="preserve"> E372 &amp; ": IOC parent"</f>
        <v>Lender cashflows after interest withholding tax: IOC parent</v>
      </c>
      <c r="F415" s="162"/>
      <c r="G415" s="52" t="str">
        <f xml:space="preserve"> G411</f>
        <v>US$ mn</v>
      </c>
      <c r="H415" s="52"/>
      <c r="I415" s="89">
        <f ca="1" xml:space="preserve"> SUM(K415:AX415)</f>
        <v>1015.8550971755473</v>
      </c>
      <c r="J415" s="56"/>
      <c r="K415" s="56">
        <f t="shared" ref="K415:AX415" ca="1" si="104" xml:space="preserve"> K411 - K414</f>
        <v>0</v>
      </c>
      <c r="L415" s="56">
        <f t="shared" ca="1" si="104"/>
        <v>-28.559999999999995</v>
      </c>
      <c r="M415" s="56">
        <f t="shared" ca="1" si="104"/>
        <v>-174.78719999999998</v>
      </c>
      <c r="N415" s="56">
        <f t="shared" ca="1" si="104"/>
        <v>-713.13177599999995</v>
      </c>
      <c r="O415" s="56">
        <f t="shared" ca="1" si="104"/>
        <v>-727.39441151999995</v>
      </c>
      <c r="P415" s="56">
        <f t="shared" ca="1" si="104"/>
        <v>-1298.3990245631999</v>
      </c>
      <c r="Q415" s="56">
        <f t="shared" ca="1" si="104"/>
        <v>460.67948667102621</v>
      </c>
      <c r="R415" s="56">
        <f t="shared" ca="1" si="104"/>
        <v>446.26465650543685</v>
      </c>
      <c r="S415" s="56">
        <f t="shared" ca="1" si="104"/>
        <v>431.84982633984771</v>
      </c>
      <c r="T415" s="56">
        <f t="shared" ca="1" si="104"/>
        <v>417.4349961742584</v>
      </c>
      <c r="U415" s="56">
        <f t="shared" ca="1" si="104"/>
        <v>403.02016600866926</v>
      </c>
      <c r="V415" s="56">
        <f t="shared" ca="1" si="104"/>
        <v>388.60533584308013</v>
      </c>
      <c r="W415" s="56">
        <f t="shared" ca="1" si="104"/>
        <v>374.19050567749093</v>
      </c>
      <c r="X415" s="56">
        <f t="shared" ca="1" si="104"/>
        <v>359.77567551190162</v>
      </c>
      <c r="Y415" s="56">
        <f t="shared" ca="1" si="104"/>
        <v>345.36084534631249</v>
      </c>
      <c r="Z415" s="56">
        <f t="shared" ca="1" si="104"/>
        <v>330.94601518072329</v>
      </c>
      <c r="AA415" s="56">
        <f t="shared" ca="1" si="104"/>
        <v>0</v>
      </c>
      <c r="AB415" s="56">
        <f t="shared" ca="1" si="104"/>
        <v>0</v>
      </c>
      <c r="AC415" s="56">
        <f t="shared" ca="1" si="104"/>
        <v>0</v>
      </c>
      <c r="AD415" s="56">
        <f t="shared" ca="1" si="104"/>
        <v>0</v>
      </c>
      <c r="AE415" s="56">
        <f t="shared" ca="1" si="104"/>
        <v>0</v>
      </c>
      <c r="AF415" s="56">
        <f t="shared" ca="1" si="104"/>
        <v>0</v>
      </c>
      <c r="AG415" s="56">
        <f t="shared" ca="1" si="104"/>
        <v>0</v>
      </c>
      <c r="AH415" s="56">
        <f t="shared" ca="1" si="104"/>
        <v>0</v>
      </c>
      <c r="AI415" s="56">
        <f t="shared" ca="1" si="104"/>
        <v>0</v>
      </c>
      <c r="AJ415" s="56">
        <f t="shared" ca="1" si="104"/>
        <v>0</v>
      </c>
      <c r="AK415" s="56">
        <f t="shared" ca="1" si="104"/>
        <v>0</v>
      </c>
      <c r="AL415" s="56">
        <f t="shared" ca="1" si="104"/>
        <v>0</v>
      </c>
      <c r="AM415" s="56">
        <f t="shared" ca="1" si="104"/>
        <v>0</v>
      </c>
      <c r="AN415" s="56">
        <f t="shared" ca="1" si="104"/>
        <v>0</v>
      </c>
      <c r="AO415" s="56">
        <f t="shared" ca="1" si="104"/>
        <v>0</v>
      </c>
      <c r="AP415" s="56">
        <f t="shared" ca="1" si="104"/>
        <v>0</v>
      </c>
      <c r="AQ415" s="56">
        <f t="shared" ca="1" si="104"/>
        <v>0</v>
      </c>
      <c r="AR415" s="56">
        <f t="shared" ca="1" si="104"/>
        <v>0</v>
      </c>
      <c r="AS415" s="56">
        <f t="shared" ca="1" si="104"/>
        <v>0</v>
      </c>
      <c r="AT415" s="56">
        <f t="shared" ca="1" si="104"/>
        <v>0</v>
      </c>
      <c r="AU415" s="56">
        <f t="shared" ca="1" si="104"/>
        <v>0</v>
      </c>
      <c r="AV415" s="56">
        <f t="shared" ca="1" si="104"/>
        <v>0</v>
      </c>
      <c r="AW415" s="56">
        <f t="shared" ca="1" si="104"/>
        <v>0</v>
      </c>
      <c r="AX415" s="56">
        <f t="shared" ca="1" si="104"/>
        <v>0</v>
      </c>
    </row>
    <row r="416" spans="1:50" ht="15" customHeight="1" x14ac:dyDescent="0.25">
      <c r="A416" s="86"/>
      <c r="B416" s="235"/>
      <c r="C416" s="604"/>
      <c r="D416" s="162"/>
      <c r="E416" s="52"/>
      <c r="F416" s="162"/>
      <c r="G416" s="52"/>
      <c r="H416" s="52"/>
      <c r="I416" s="89"/>
      <c r="J416" s="56"/>
      <c r="K416" s="56"/>
      <c r="L416" s="56"/>
      <c r="M416" s="56"/>
      <c r="N416" s="56"/>
      <c r="O416" s="56"/>
      <c r="P416" s="56"/>
      <c r="Q416" s="56"/>
      <c r="R416" s="56"/>
      <c r="S416" s="56"/>
      <c r="T416" s="56"/>
      <c r="U416" s="56"/>
      <c r="V416" s="56"/>
      <c r="W416" s="56"/>
      <c r="X416" s="56"/>
      <c r="Y416" s="56"/>
      <c r="Z416" s="56"/>
      <c r="AA416" s="56"/>
      <c r="AB416" s="56"/>
      <c r="AC416" s="56"/>
      <c r="AD416" s="56"/>
      <c r="AE416" s="56"/>
      <c r="AF416" s="56"/>
      <c r="AG416" s="56"/>
      <c r="AH416" s="56"/>
      <c r="AI416" s="56"/>
      <c r="AJ416" s="56"/>
      <c r="AK416" s="56"/>
      <c r="AL416" s="56"/>
      <c r="AM416" s="56"/>
      <c r="AN416" s="56"/>
      <c r="AO416" s="56"/>
      <c r="AP416" s="56"/>
      <c r="AQ416" s="56"/>
      <c r="AR416" s="56"/>
      <c r="AS416" s="56"/>
      <c r="AT416" s="56"/>
      <c r="AU416" s="56"/>
      <c r="AV416" s="56"/>
      <c r="AW416" s="56"/>
      <c r="AX416" s="56"/>
    </row>
    <row r="417" spans="1:50" ht="15" customHeight="1" x14ac:dyDescent="0.25">
      <c r="A417" s="86"/>
      <c r="B417" s="235"/>
      <c r="C417" s="604"/>
      <c r="D417" s="162"/>
      <c r="E417" s="52"/>
      <c r="F417" s="162"/>
      <c r="G417" s="52"/>
      <c r="H417" s="52"/>
      <c r="I417" s="89"/>
      <c r="J417" s="56"/>
      <c r="K417" s="56"/>
      <c r="L417" s="56"/>
      <c r="M417" s="56"/>
      <c r="N417" s="56"/>
      <c r="O417" s="56"/>
      <c r="P417" s="56"/>
      <c r="Q417" s="56"/>
      <c r="R417" s="56"/>
      <c r="S417" s="56"/>
      <c r="T417" s="56"/>
      <c r="U417" s="56"/>
      <c r="V417" s="56"/>
      <c r="W417" s="56"/>
      <c r="X417" s="56"/>
      <c r="Y417" s="56"/>
      <c r="Z417" s="56"/>
      <c r="AA417" s="56"/>
      <c r="AB417" s="56"/>
      <c r="AC417" s="56"/>
      <c r="AD417" s="56"/>
      <c r="AE417" s="56"/>
      <c r="AF417" s="56"/>
      <c r="AG417" s="56"/>
      <c r="AH417" s="56"/>
      <c r="AI417" s="56"/>
      <c r="AJ417" s="56"/>
      <c r="AK417" s="56"/>
      <c r="AL417" s="56"/>
      <c r="AM417" s="56"/>
      <c r="AN417" s="56"/>
      <c r="AO417" s="56"/>
      <c r="AP417" s="56"/>
      <c r="AQ417" s="56"/>
      <c r="AR417" s="56"/>
      <c r="AS417" s="56"/>
      <c r="AT417" s="56"/>
      <c r="AU417" s="56"/>
      <c r="AV417" s="56"/>
      <c r="AW417" s="56"/>
      <c r="AX417" s="56"/>
    </row>
    <row r="418" spans="1:50" ht="15" customHeight="1" x14ac:dyDescent="0.25">
      <c r="A418" s="202" t="str">
        <f>Translate!$E$468</f>
        <v>Revenue sharing under tax &amp; royalty (T&amp;R) regime</v>
      </c>
      <c r="B418" s="781"/>
      <c r="C418" s="610"/>
      <c r="D418" s="204"/>
      <c r="E418" s="202"/>
      <c r="F418" s="204"/>
      <c r="G418" s="202"/>
      <c r="H418" s="202"/>
      <c r="I418" s="202"/>
      <c r="J418" s="202"/>
      <c r="K418" s="202"/>
      <c r="L418" s="202"/>
      <c r="M418" s="202"/>
      <c r="N418" s="202"/>
      <c r="O418" s="202"/>
      <c r="P418" s="202"/>
      <c r="Q418" s="202"/>
      <c r="R418" s="202"/>
      <c r="S418" s="202"/>
      <c r="T418" s="202"/>
      <c r="U418" s="202"/>
      <c r="V418" s="202"/>
      <c r="W418" s="202"/>
      <c r="X418" s="202"/>
      <c r="Y418" s="202"/>
      <c r="Z418" s="202"/>
      <c r="AA418" s="202"/>
      <c r="AB418" s="202"/>
      <c r="AC418" s="202"/>
      <c r="AD418" s="202"/>
      <c r="AE418" s="202"/>
      <c r="AF418" s="202"/>
      <c r="AG418" s="202"/>
      <c r="AH418" s="202"/>
      <c r="AI418" s="202"/>
      <c r="AJ418" s="202"/>
      <c r="AK418" s="202"/>
      <c r="AL418" s="202"/>
      <c r="AM418" s="202"/>
      <c r="AN418" s="202"/>
      <c r="AO418" s="202"/>
      <c r="AP418" s="202"/>
      <c r="AQ418" s="202"/>
      <c r="AR418" s="202"/>
      <c r="AS418" s="202"/>
      <c r="AT418" s="202"/>
      <c r="AU418" s="202"/>
      <c r="AV418" s="202"/>
      <c r="AW418" s="202"/>
      <c r="AX418" s="202"/>
    </row>
    <row r="419" spans="1:50" ht="15" customHeight="1" x14ac:dyDescent="0.25">
      <c r="A419" s="86"/>
      <c r="B419" s="235"/>
      <c r="C419" s="604"/>
      <c r="D419" s="162"/>
      <c r="E419" s="52"/>
      <c r="F419" s="162"/>
      <c r="G419" s="52"/>
      <c r="H419" s="52"/>
      <c r="I419" s="89"/>
      <c r="J419" s="56"/>
      <c r="K419" s="56"/>
      <c r="L419" s="56"/>
      <c r="M419" s="56"/>
      <c r="N419" s="56"/>
      <c r="O419" s="56"/>
      <c r="P419" s="56"/>
      <c r="Q419" s="56"/>
      <c r="R419" s="56"/>
      <c r="S419" s="56"/>
      <c r="T419" s="56"/>
      <c r="U419" s="56"/>
      <c r="V419" s="56"/>
      <c r="W419" s="56"/>
      <c r="X419" s="56"/>
      <c r="Y419" s="56"/>
      <c r="Z419" s="56"/>
      <c r="AA419" s="56"/>
      <c r="AB419" s="56"/>
      <c r="AC419" s="56"/>
      <c r="AD419" s="56"/>
      <c r="AE419" s="56"/>
      <c r="AF419" s="56"/>
      <c r="AG419" s="56"/>
      <c r="AH419" s="56"/>
      <c r="AI419" s="56"/>
      <c r="AJ419" s="56"/>
      <c r="AK419" s="56"/>
      <c r="AL419" s="56"/>
      <c r="AM419" s="56"/>
      <c r="AN419" s="56"/>
      <c r="AO419" s="56"/>
      <c r="AP419" s="56"/>
      <c r="AQ419" s="56"/>
      <c r="AR419" s="56"/>
      <c r="AS419" s="56"/>
      <c r="AT419" s="56"/>
      <c r="AU419" s="56"/>
      <c r="AV419" s="56"/>
      <c r="AW419" s="56"/>
      <c r="AX419" s="56"/>
    </row>
    <row r="420" spans="1:50" ht="15" customHeight="1" x14ac:dyDescent="0.25">
      <c r="A420" s="86"/>
      <c r="B420" s="235" t="str">
        <f>Translate!$E$430</f>
        <v>Determine which regime type is active</v>
      </c>
      <c r="C420" s="604"/>
      <c r="D420" s="162"/>
      <c r="E420" s="52"/>
      <c r="F420" s="162"/>
      <c r="G420" s="52"/>
      <c r="H420" s="52"/>
      <c r="I420" s="89"/>
      <c r="J420" s="56"/>
      <c r="K420" s="56"/>
      <c r="L420" s="56"/>
      <c r="M420" s="56"/>
      <c r="N420" s="56"/>
      <c r="O420" s="56"/>
      <c r="P420" s="56"/>
      <c r="Q420" s="56"/>
      <c r="R420" s="56"/>
      <c r="S420" s="56"/>
      <c r="T420" s="56"/>
      <c r="U420" s="56"/>
      <c r="V420" s="56"/>
      <c r="W420" s="56"/>
      <c r="X420" s="56"/>
      <c r="Y420" s="56"/>
      <c r="Z420" s="56"/>
      <c r="AA420" s="56"/>
      <c r="AB420" s="56"/>
      <c r="AC420" s="56"/>
      <c r="AD420" s="56"/>
      <c r="AE420" s="56"/>
      <c r="AF420" s="56"/>
      <c r="AG420" s="56"/>
      <c r="AH420" s="56"/>
      <c r="AI420" s="56"/>
      <c r="AJ420" s="56"/>
      <c r="AK420" s="56"/>
      <c r="AL420" s="56"/>
      <c r="AM420" s="56"/>
      <c r="AN420" s="56"/>
      <c r="AO420" s="56"/>
      <c r="AP420" s="56"/>
      <c r="AQ420" s="56"/>
      <c r="AR420" s="56"/>
      <c r="AS420" s="56"/>
      <c r="AT420" s="56"/>
      <c r="AU420" s="56"/>
      <c r="AV420" s="56"/>
      <c r="AW420" s="56"/>
      <c r="AX420" s="56"/>
    </row>
    <row r="421" spans="1:50" ht="15" customHeight="1" x14ac:dyDescent="0.25">
      <c r="A421" s="86"/>
      <c r="B421" s="235"/>
      <c r="C421" s="604"/>
      <c r="D421" s="162"/>
      <c r="E421" s="406" t="str">
        <f xml:space="preserve"> E$40</f>
        <v>Regime type</v>
      </c>
      <c r="F421" s="571" t="str">
        <f xml:space="preserve"> F$40</f>
        <v>T&amp;R</v>
      </c>
      <c r="G421" s="406" t="str">
        <f xml:space="preserve"> G$40</f>
        <v>Switch</v>
      </c>
      <c r="H421" s="52"/>
      <c r="I421" s="89"/>
      <c r="J421" s="56"/>
      <c r="K421" s="56"/>
      <c r="L421" s="56"/>
      <c r="M421" s="56"/>
      <c r="N421" s="56"/>
      <c r="O421" s="56"/>
      <c r="P421" s="56"/>
      <c r="Q421" s="56"/>
      <c r="R421" s="56"/>
      <c r="S421" s="56"/>
      <c r="T421" s="56"/>
      <c r="U421" s="56"/>
      <c r="V421" s="56"/>
      <c r="W421" s="56"/>
      <c r="X421" s="56"/>
      <c r="Y421" s="56"/>
      <c r="Z421" s="56"/>
      <c r="AA421" s="56"/>
      <c r="AB421" s="56"/>
      <c r="AC421" s="56"/>
      <c r="AD421" s="56"/>
      <c r="AE421" s="56"/>
      <c r="AF421" s="56"/>
      <c r="AG421" s="56"/>
      <c r="AH421" s="56"/>
      <c r="AI421" s="56"/>
      <c r="AJ421" s="56"/>
      <c r="AK421" s="56"/>
      <c r="AL421" s="56"/>
      <c r="AM421" s="56"/>
      <c r="AN421" s="56"/>
      <c r="AO421" s="56"/>
      <c r="AP421" s="56"/>
      <c r="AQ421" s="56"/>
      <c r="AR421" s="56"/>
      <c r="AS421" s="56"/>
      <c r="AT421" s="56"/>
      <c r="AU421" s="56"/>
      <c r="AV421" s="56"/>
      <c r="AW421" s="56"/>
      <c r="AX421" s="56"/>
    </row>
    <row r="422" spans="1:50" ht="15" customHeight="1" x14ac:dyDescent="0.25">
      <c r="A422" s="86"/>
      <c r="B422" s="235"/>
      <c r="C422" s="604"/>
      <c r="D422" s="162"/>
      <c r="E422" s="52" t="str">
        <f xml:space="preserve"> Translate!E$280</f>
        <v>Tax &amp; royalty regime</v>
      </c>
      <c r="F422" s="944" t="str">
        <f xml:space="preserve"> Translate!E$542</f>
        <v>T&amp;R</v>
      </c>
      <c r="G422" s="52" t="str">
        <f xml:space="preserve"> Translate!E$103</f>
        <v>Option</v>
      </c>
      <c r="H422" s="52"/>
      <c r="I422" s="89"/>
      <c r="J422" s="56"/>
      <c r="K422" s="56"/>
      <c r="L422" s="56"/>
      <c r="M422" s="56"/>
      <c r="N422" s="56"/>
      <c r="O422" s="56"/>
      <c r="P422" s="56"/>
      <c r="Q422" s="56"/>
      <c r="R422" s="56"/>
      <c r="S422" s="56"/>
      <c r="T422" s="56"/>
      <c r="U422" s="56"/>
      <c r="V422" s="56"/>
      <c r="W422" s="56"/>
      <c r="X422" s="56"/>
      <c r="Y422" s="56"/>
      <c r="Z422" s="56"/>
      <c r="AA422" s="56"/>
      <c r="AB422" s="56"/>
      <c r="AC422" s="56"/>
      <c r="AD422" s="56"/>
      <c r="AE422" s="56"/>
      <c r="AF422" s="56"/>
      <c r="AG422" s="56"/>
      <c r="AH422" s="56"/>
      <c r="AI422" s="56"/>
      <c r="AJ422" s="56"/>
      <c r="AK422" s="56"/>
      <c r="AL422" s="56"/>
      <c r="AM422" s="56"/>
      <c r="AN422" s="56"/>
      <c r="AO422" s="56"/>
      <c r="AP422" s="56"/>
      <c r="AQ422" s="56"/>
      <c r="AR422" s="56"/>
      <c r="AS422" s="56"/>
      <c r="AT422" s="56"/>
      <c r="AU422" s="56"/>
      <c r="AV422" s="56"/>
      <c r="AW422" s="56"/>
      <c r="AX422" s="56"/>
    </row>
    <row r="423" spans="1:50" ht="15" customHeight="1" x14ac:dyDescent="0.25">
      <c r="A423" s="86"/>
      <c r="B423" s="235"/>
      <c r="C423" s="604"/>
      <c r="D423" s="162"/>
      <c r="E423" s="52" t="str">
        <f xml:space="preserve"> Translate!E$281</f>
        <v>Production Sharing Contract regime</v>
      </c>
      <c r="F423" s="600" t="str">
        <f xml:space="preserve"> Translate!E$733</f>
        <v>PSC</v>
      </c>
      <c r="G423" s="52" t="str">
        <f xml:space="preserve"> Translate!E$103</f>
        <v>Option</v>
      </c>
      <c r="H423" s="52"/>
      <c r="I423" s="89"/>
      <c r="J423" s="56"/>
      <c r="K423" s="56"/>
      <c r="L423" s="56"/>
      <c r="M423" s="56"/>
      <c r="N423" s="56"/>
      <c r="O423" s="56"/>
      <c r="P423" s="56"/>
      <c r="Q423" s="56"/>
      <c r="R423" s="56"/>
      <c r="S423" s="56"/>
      <c r="T423" s="56"/>
      <c r="U423" s="56"/>
      <c r="V423" s="56"/>
      <c r="W423" s="56"/>
      <c r="X423" s="56"/>
      <c r="Y423" s="56"/>
      <c r="Z423" s="56"/>
      <c r="AA423" s="56"/>
      <c r="AB423" s="56"/>
      <c r="AC423" s="56"/>
      <c r="AD423" s="56"/>
      <c r="AE423" s="56"/>
      <c r="AF423" s="56"/>
      <c r="AG423" s="56"/>
      <c r="AH423" s="56"/>
      <c r="AI423" s="56"/>
      <c r="AJ423" s="56"/>
      <c r="AK423" s="56"/>
      <c r="AL423" s="56"/>
      <c r="AM423" s="56"/>
      <c r="AN423" s="56"/>
      <c r="AO423" s="56"/>
      <c r="AP423" s="56"/>
      <c r="AQ423" s="56"/>
      <c r="AR423" s="56"/>
      <c r="AS423" s="56"/>
      <c r="AT423" s="56"/>
      <c r="AU423" s="56"/>
      <c r="AV423" s="56"/>
      <c r="AW423" s="56"/>
      <c r="AX423" s="56"/>
    </row>
    <row r="424" spans="1:50" ht="15" customHeight="1" x14ac:dyDescent="0.25">
      <c r="A424" s="86"/>
      <c r="B424" s="235"/>
      <c r="C424" s="604"/>
      <c r="D424" s="162"/>
      <c r="E424" s="52" t="str">
        <f xml:space="preserve"> Translate!E$282</f>
        <v>Tax &amp; Royalty regime active = 1</v>
      </c>
      <c r="F424" s="162">
        <f xml:space="preserve"> IF(F421 = F422, 1, 0)</f>
        <v>1</v>
      </c>
      <c r="G424" s="52" t="str">
        <f xml:space="preserve"> Translate!E$745</f>
        <v>option applicable</v>
      </c>
      <c r="H424" s="52"/>
      <c r="I424" s="89"/>
      <c r="J424" s="56"/>
      <c r="K424" s="56"/>
      <c r="L424" s="56"/>
      <c r="M424" s="56"/>
      <c r="N424" s="56"/>
      <c r="O424" s="56"/>
      <c r="P424" s="56"/>
      <c r="Q424" s="56"/>
      <c r="R424" s="56"/>
      <c r="S424" s="56"/>
      <c r="T424" s="56"/>
      <c r="U424" s="56"/>
      <c r="V424" s="56"/>
      <c r="W424" s="56"/>
      <c r="X424" s="56"/>
      <c r="Y424" s="56"/>
      <c r="Z424" s="56"/>
      <c r="AA424" s="56"/>
      <c r="AB424" s="56"/>
      <c r="AC424" s="56"/>
      <c r="AD424" s="56"/>
      <c r="AE424" s="56"/>
      <c r="AF424" s="56"/>
      <c r="AG424" s="56"/>
      <c r="AH424" s="56"/>
      <c r="AI424" s="56"/>
      <c r="AJ424" s="56"/>
      <c r="AK424" s="56"/>
      <c r="AL424" s="56"/>
      <c r="AM424" s="56"/>
      <c r="AN424" s="56"/>
      <c r="AO424" s="56"/>
      <c r="AP424" s="56"/>
      <c r="AQ424" s="56"/>
      <c r="AR424" s="56"/>
      <c r="AS424" s="56"/>
      <c r="AT424" s="56"/>
      <c r="AU424" s="56"/>
      <c r="AV424" s="56"/>
      <c r="AW424" s="56"/>
      <c r="AX424" s="56"/>
    </row>
    <row r="425" spans="1:50" ht="15" customHeight="1" x14ac:dyDescent="0.25">
      <c r="A425" s="86"/>
      <c r="B425" s="235"/>
      <c r="C425" s="604"/>
      <c r="D425" s="162"/>
      <c r="E425" s="412" t="str">
        <f xml:space="preserve"> Translate!E$283</f>
        <v>PSC regime active = 1</v>
      </c>
      <c r="F425" s="591">
        <f xml:space="preserve"> IF( F424 = 1, 0, 1)</f>
        <v>0</v>
      </c>
      <c r="G425" s="412" t="str">
        <f xml:space="preserve"> Translate!E$745</f>
        <v>option applicable</v>
      </c>
      <c r="H425" s="52"/>
      <c r="I425" s="89"/>
      <c r="J425" s="56"/>
      <c r="K425" s="56"/>
      <c r="L425" s="56"/>
      <c r="M425" s="56"/>
      <c r="N425" s="56"/>
      <c r="O425" s="56"/>
      <c r="P425" s="56"/>
      <c r="Q425" s="56"/>
      <c r="R425" s="56"/>
      <c r="S425" s="56"/>
      <c r="T425" s="56"/>
      <c r="U425" s="56"/>
      <c r="V425" s="56"/>
      <c r="W425" s="56"/>
      <c r="X425" s="56"/>
      <c r="Y425" s="56"/>
      <c r="Z425" s="56"/>
      <c r="AA425" s="56"/>
      <c r="AB425" s="56"/>
      <c r="AC425" s="56"/>
      <c r="AD425" s="56"/>
      <c r="AE425" s="56"/>
      <c r="AF425" s="56"/>
      <c r="AG425" s="56"/>
      <c r="AH425" s="56"/>
      <c r="AI425" s="56"/>
      <c r="AJ425" s="56"/>
      <c r="AK425" s="56"/>
      <c r="AL425" s="56"/>
      <c r="AM425" s="56"/>
      <c r="AN425" s="56"/>
      <c r="AO425" s="56"/>
      <c r="AP425" s="56"/>
      <c r="AQ425" s="56"/>
      <c r="AR425" s="56"/>
      <c r="AS425" s="56"/>
      <c r="AT425" s="56"/>
      <c r="AU425" s="56"/>
      <c r="AV425" s="56"/>
      <c r="AW425" s="56"/>
      <c r="AX425" s="56"/>
    </row>
    <row r="426" spans="1:50" ht="15" customHeight="1" x14ac:dyDescent="0.25">
      <c r="A426" s="86"/>
      <c r="B426" s="235"/>
      <c r="C426" s="604"/>
      <c r="D426" s="162"/>
      <c r="E426" s="52"/>
      <c r="F426" s="162"/>
      <c r="G426" s="52"/>
      <c r="H426" s="52"/>
      <c r="I426" s="89"/>
      <c r="J426" s="56"/>
      <c r="K426" s="56"/>
      <c r="L426" s="56"/>
      <c r="M426" s="56"/>
      <c r="N426" s="56"/>
      <c r="O426" s="56"/>
      <c r="P426" s="56"/>
      <c r="Q426" s="56"/>
      <c r="R426" s="56"/>
      <c r="S426" s="56"/>
      <c r="T426" s="56"/>
      <c r="U426" s="56"/>
      <c r="V426" s="56"/>
      <c r="W426" s="56"/>
      <c r="X426" s="56"/>
      <c r="Y426" s="56"/>
      <c r="Z426" s="56"/>
      <c r="AA426" s="56"/>
      <c r="AB426" s="56"/>
      <c r="AC426" s="56"/>
      <c r="AD426" s="56"/>
      <c r="AE426" s="56"/>
      <c r="AF426" s="56"/>
      <c r="AG426" s="56"/>
      <c r="AH426" s="56"/>
      <c r="AI426" s="56"/>
      <c r="AJ426" s="56"/>
      <c r="AK426" s="56"/>
      <c r="AL426" s="56"/>
      <c r="AM426" s="56"/>
      <c r="AN426" s="56"/>
      <c r="AO426" s="56"/>
      <c r="AP426" s="56"/>
      <c r="AQ426" s="56"/>
      <c r="AR426" s="56"/>
      <c r="AS426" s="56"/>
      <c r="AT426" s="56"/>
      <c r="AU426" s="56"/>
      <c r="AV426" s="56"/>
      <c r="AW426" s="56"/>
      <c r="AX426" s="56"/>
    </row>
    <row r="427" spans="1:50" ht="15" customHeight="1" x14ac:dyDescent="0.25">
      <c r="A427" s="86"/>
      <c r="B427" s="235" t="str">
        <f>Translate!$E$431</f>
        <v>Project revenues</v>
      </c>
      <c r="C427" s="604"/>
      <c r="D427" s="162"/>
      <c r="E427" s="52"/>
      <c r="F427" s="162"/>
      <c r="G427" s="52"/>
      <c r="H427" s="52"/>
      <c r="I427" s="89"/>
      <c r="J427" s="56"/>
      <c r="K427" s="56"/>
      <c r="L427" s="56"/>
      <c r="M427" s="56"/>
      <c r="N427" s="56"/>
      <c r="O427" s="56"/>
      <c r="P427" s="56"/>
      <c r="Q427" s="56"/>
      <c r="R427" s="56"/>
      <c r="S427" s="56"/>
      <c r="T427" s="56"/>
      <c r="U427" s="56"/>
      <c r="V427" s="56"/>
      <c r="W427" s="56"/>
      <c r="X427" s="56"/>
      <c r="Y427" s="56"/>
      <c r="Z427" s="56"/>
      <c r="AA427" s="56"/>
      <c r="AB427" s="56"/>
      <c r="AC427" s="56"/>
      <c r="AD427" s="56"/>
      <c r="AE427" s="56"/>
      <c r="AF427" s="56"/>
      <c r="AG427" s="56"/>
      <c r="AH427" s="56"/>
      <c r="AI427" s="56"/>
      <c r="AJ427" s="56"/>
      <c r="AK427" s="56"/>
      <c r="AL427" s="56"/>
      <c r="AM427" s="56"/>
      <c r="AN427" s="56"/>
      <c r="AO427" s="56"/>
      <c r="AP427" s="56"/>
      <c r="AQ427" s="56"/>
      <c r="AR427" s="56"/>
      <c r="AS427" s="56"/>
      <c r="AT427" s="56"/>
      <c r="AU427" s="56"/>
      <c r="AV427" s="56"/>
      <c r="AW427" s="56"/>
      <c r="AX427" s="56"/>
    </row>
    <row r="428" spans="1:50" ht="15" customHeight="1" x14ac:dyDescent="0.25">
      <c r="A428" s="86"/>
      <c r="B428" s="235"/>
      <c r="C428" s="604"/>
      <c r="D428" s="162"/>
      <c r="E428" s="140" t="str">
        <f xml:space="preserve"> ProjectCashflows!E$236</f>
        <v>Net revenues after ELT</v>
      </c>
      <c r="F428" s="140">
        <f xml:space="preserve"> ProjectCashflows!F$236</f>
        <v>0</v>
      </c>
      <c r="G428" s="140" t="str">
        <f xml:space="preserve"> ProjectCashflows!G$236</f>
        <v>US$ mn</v>
      </c>
      <c r="H428" s="140">
        <f xml:space="preserve"> ProjectCashflows!H$236</f>
        <v>0</v>
      </c>
      <c r="I428" s="140">
        <f ca="1" xml:space="preserve"> ProjectCashflows!I$236</f>
        <v>57168.543518412531</v>
      </c>
      <c r="J428" s="140">
        <f xml:space="preserve"> ProjectCashflows!J$236</f>
        <v>0</v>
      </c>
      <c r="K428" s="140">
        <f ca="1" xml:space="preserve"> ProjectCashflows!K$236</f>
        <v>0</v>
      </c>
      <c r="L428" s="140">
        <f ca="1" xml:space="preserve"> ProjectCashflows!L$236</f>
        <v>0</v>
      </c>
      <c r="M428" s="140">
        <f ca="1" xml:space="preserve"> ProjectCashflows!M$236</f>
        <v>0</v>
      </c>
      <c r="N428" s="140">
        <f ca="1" xml:space="preserve"> ProjectCashflows!N$236</f>
        <v>0</v>
      </c>
      <c r="O428" s="140">
        <f ca="1" xml:space="preserve"> ProjectCashflows!O$236</f>
        <v>207.45717060984819</v>
      </c>
      <c r="P428" s="140">
        <f ca="1" xml:space="preserve"> ProjectCashflows!P$236</f>
        <v>1662.331659318</v>
      </c>
      <c r="Q428" s="140">
        <f ca="1" xml:space="preserve"> ProjectCashflows!Q$236</f>
        <v>3391.1565850087204</v>
      </c>
      <c r="R428" s="140">
        <f ca="1" xml:space="preserve"> ProjectCashflows!R$236</f>
        <v>3458.9797167088946</v>
      </c>
      <c r="S428" s="140">
        <f ca="1" xml:space="preserve"> ProjectCashflows!S$236</f>
        <v>3528.1593110430726</v>
      </c>
      <c r="T428" s="140">
        <f ca="1" xml:space="preserve"> ProjectCashflows!T$236</f>
        <v>3598.7224972639342</v>
      </c>
      <c r="U428" s="140">
        <f ca="1" xml:space="preserve"> ProjectCashflows!U$236</f>
        <v>3670.6969472092128</v>
      </c>
      <c r="V428" s="140">
        <f ca="1" xml:space="preserve"> ProjectCashflows!V$236</f>
        <v>3744.1108861533971</v>
      </c>
      <c r="W428" s="140">
        <f ca="1" xml:space="preserve"> ProjectCashflows!W$236</f>
        <v>3818.9931038764653</v>
      </c>
      <c r="X428" s="140">
        <f ca="1" xml:space="preserve"> ProjectCashflows!X$236</f>
        <v>3895.372965953994</v>
      </c>
      <c r="Y428" s="140">
        <f ca="1" xml:space="preserve"> ProjectCashflows!Y$236</f>
        <v>3973.2804252730743</v>
      </c>
      <c r="Z428" s="140">
        <f ca="1" xml:space="preserve"> ProjectCashflows!Z$236</f>
        <v>4052.746033778536</v>
      </c>
      <c r="AA428" s="140">
        <f ca="1" xml:space="preserve"> ProjectCashflows!AA$236</f>
        <v>3348.3787731078273</v>
      </c>
      <c r="AB428" s="140">
        <f ca="1" xml:space="preserve"> ProjectCashflows!AB$236</f>
        <v>2766.4305423416872</v>
      </c>
      <c r="AC428" s="140">
        <f ca="1" xml:space="preserve"> ProjectCashflows!AC$236</f>
        <v>2285.6249140827022</v>
      </c>
      <c r="AD428" s="140">
        <f ca="1" xml:space="preserve"> ProjectCashflows!AD$236</f>
        <v>1888.3833040151289</v>
      </c>
      <c r="AE428" s="140">
        <f ca="1" xml:space="preserve"> ProjectCashflows!AE$236</f>
        <v>1560.1822857772995</v>
      </c>
      <c r="AF428" s="140">
        <f ca="1" xml:space="preserve"> ProjectCashflows!AF$236</f>
        <v>1289.0226045092052</v>
      </c>
      <c r="AG428" s="140">
        <f ca="1" xml:space="preserve"> ProjectCashflows!AG$236</f>
        <v>1064.9904758455054</v>
      </c>
      <c r="AH428" s="140">
        <f ca="1" xml:space="preserve"> ProjectCashflows!AH$236</f>
        <v>879.89513114355657</v>
      </c>
      <c r="AI428" s="140">
        <f ca="1" xml:space="preserve"> ProjectCashflows!AI$236</f>
        <v>726.9693573508066</v>
      </c>
      <c r="AJ428" s="140">
        <f ca="1" xml:space="preserve"> ProjectCashflows!AJ$236</f>
        <v>600.62208304323633</v>
      </c>
      <c r="AK428" s="140">
        <f ca="1" xml:space="preserve"> ProjectCashflows!AK$236</f>
        <v>496.23396501032192</v>
      </c>
      <c r="AL428" s="140">
        <f ca="1" xml:space="preserve"> ProjectCashflows!AL$236</f>
        <v>409.9885018915279</v>
      </c>
      <c r="AM428" s="140">
        <f ca="1" xml:space="preserve"> ProjectCashflows!AM$236</f>
        <v>338.73250026278043</v>
      </c>
      <c r="AN428" s="140">
        <f ca="1" xml:space="preserve"> ProjectCashflows!AN$236</f>
        <v>279.86079171710918</v>
      </c>
      <c r="AO428" s="140">
        <f ca="1" xml:space="preserve"> ProjectCashflows!AO$236</f>
        <v>231.22098611667568</v>
      </c>
      <c r="AP428" s="140">
        <f ca="1" xml:space="preserve"> ProjectCashflows!AP$236</f>
        <v>0</v>
      </c>
      <c r="AQ428" s="140">
        <f ca="1" xml:space="preserve"> ProjectCashflows!AQ$236</f>
        <v>0</v>
      </c>
      <c r="AR428" s="140">
        <f ca="1" xml:space="preserve"> ProjectCashflows!AR$236</f>
        <v>0</v>
      </c>
      <c r="AS428" s="140">
        <f ca="1" xml:space="preserve"> ProjectCashflows!AS$236</f>
        <v>0</v>
      </c>
      <c r="AT428" s="140">
        <f ca="1" xml:space="preserve"> ProjectCashflows!AT$236</f>
        <v>0</v>
      </c>
      <c r="AU428" s="140">
        <f ca="1" xml:space="preserve"> ProjectCashflows!AU$236</f>
        <v>0</v>
      </c>
      <c r="AV428" s="140">
        <f ca="1" xml:space="preserve"> ProjectCashflows!AV$236</f>
        <v>0</v>
      </c>
      <c r="AW428" s="140">
        <f ca="1" xml:space="preserve"> ProjectCashflows!AW$236</f>
        <v>0</v>
      </c>
      <c r="AX428" s="140">
        <f ca="1" xml:space="preserve"> ProjectCashflows!AX$236</f>
        <v>0</v>
      </c>
    </row>
    <row r="429" spans="1:50" ht="15" customHeight="1" x14ac:dyDescent="0.25">
      <c r="A429" s="86"/>
      <c r="B429" s="235"/>
      <c r="C429" s="604"/>
      <c r="D429" s="162"/>
      <c r="E429" s="411" t="str">
        <f xml:space="preserve"> E$214</f>
        <v>Royalty</v>
      </c>
      <c r="F429" s="411">
        <f t="shared" ref="F429:AX429" si="105" xml:space="preserve"> F$214</f>
        <v>0</v>
      </c>
      <c r="G429" s="411" t="str">
        <f t="shared" si="105"/>
        <v>US$ mn</v>
      </c>
      <c r="H429" s="411">
        <f t="shared" si="105"/>
        <v>0</v>
      </c>
      <c r="I429" s="411">
        <f t="shared" ca="1" si="105"/>
        <v>11433.708703682507</v>
      </c>
      <c r="J429" s="411">
        <f t="shared" si="105"/>
        <v>0</v>
      </c>
      <c r="K429" s="411">
        <f t="shared" ca="1" si="105"/>
        <v>0</v>
      </c>
      <c r="L429" s="411">
        <f t="shared" ca="1" si="105"/>
        <v>0</v>
      </c>
      <c r="M429" s="411">
        <f t="shared" ca="1" si="105"/>
        <v>0</v>
      </c>
      <c r="N429" s="411">
        <f t="shared" ca="1" si="105"/>
        <v>0</v>
      </c>
      <c r="O429" s="411">
        <f t="shared" ca="1" si="105"/>
        <v>41.49143412196964</v>
      </c>
      <c r="P429" s="411">
        <f t="shared" ca="1" si="105"/>
        <v>332.46633186360003</v>
      </c>
      <c r="Q429" s="411">
        <f t="shared" ca="1" si="105"/>
        <v>678.23131700174417</v>
      </c>
      <c r="R429" s="411">
        <f t="shared" ca="1" si="105"/>
        <v>691.79594334177898</v>
      </c>
      <c r="S429" s="411">
        <f t="shared" ca="1" si="105"/>
        <v>705.63186220861462</v>
      </c>
      <c r="T429" s="411">
        <f t="shared" ca="1" si="105"/>
        <v>719.74449945278684</v>
      </c>
      <c r="U429" s="411">
        <f t="shared" ca="1" si="105"/>
        <v>734.13938944184258</v>
      </c>
      <c r="V429" s="411">
        <f t="shared" ca="1" si="105"/>
        <v>748.82217723067947</v>
      </c>
      <c r="W429" s="411">
        <f t="shared" ca="1" si="105"/>
        <v>763.7986207752931</v>
      </c>
      <c r="X429" s="411">
        <f t="shared" ca="1" si="105"/>
        <v>779.07459319079885</v>
      </c>
      <c r="Y429" s="411">
        <f t="shared" ca="1" si="105"/>
        <v>794.65608505461489</v>
      </c>
      <c r="Z429" s="411">
        <f t="shared" ca="1" si="105"/>
        <v>810.54920675570725</v>
      </c>
      <c r="AA429" s="411">
        <f t="shared" ca="1" si="105"/>
        <v>669.67575462156549</v>
      </c>
      <c r="AB429" s="411">
        <f t="shared" ca="1" si="105"/>
        <v>553.28610846833749</v>
      </c>
      <c r="AC429" s="411">
        <f t="shared" ca="1" si="105"/>
        <v>457.12498281654047</v>
      </c>
      <c r="AD429" s="411">
        <f t="shared" ca="1" si="105"/>
        <v>377.67666080302581</v>
      </c>
      <c r="AE429" s="411">
        <f t="shared" ca="1" si="105"/>
        <v>312.03645715545991</v>
      </c>
      <c r="AF429" s="411">
        <f t="shared" ca="1" si="105"/>
        <v>257.80452090184104</v>
      </c>
      <c r="AG429" s="411">
        <f t="shared" ca="1" si="105"/>
        <v>212.99809516910111</v>
      </c>
      <c r="AH429" s="411">
        <f t="shared" ca="1" si="105"/>
        <v>175.97902622871132</v>
      </c>
      <c r="AI429" s="411">
        <f t="shared" ca="1" si="105"/>
        <v>145.39387147016132</v>
      </c>
      <c r="AJ429" s="411">
        <f t="shared" ca="1" si="105"/>
        <v>120.12441660864727</v>
      </c>
      <c r="AK429" s="411">
        <f t="shared" ca="1" si="105"/>
        <v>99.246793002064393</v>
      </c>
      <c r="AL429" s="411">
        <f t="shared" ca="1" si="105"/>
        <v>81.997700378305581</v>
      </c>
      <c r="AM429" s="411">
        <f t="shared" ca="1" si="105"/>
        <v>67.746500052556087</v>
      </c>
      <c r="AN429" s="411">
        <f t="shared" ca="1" si="105"/>
        <v>55.972158343421839</v>
      </c>
      <c r="AO429" s="411">
        <f t="shared" ca="1" si="105"/>
        <v>46.244197223335135</v>
      </c>
      <c r="AP429" s="411">
        <f t="shared" ca="1" si="105"/>
        <v>0</v>
      </c>
      <c r="AQ429" s="411">
        <f t="shared" ca="1" si="105"/>
        <v>0</v>
      </c>
      <c r="AR429" s="411">
        <f t="shared" ca="1" si="105"/>
        <v>0</v>
      </c>
      <c r="AS429" s="411">
        <f t="shared" ca="1" si="105"/>
        <v>0</v>
      </c>
      <c r="AT429" s="411">
        <f t="shared" ca="1" si="105"/>
        <v>0</v>
      </c>
      <c r="AU429" s="411">
        <f t="shared" ca="1" si="105"/>
        <v>0</v>
      </c>
      <c r="AV429" s="411">
        <f t="shared" ca="1" si="105"/>
        <v>0</v>
      </c>
      <c r="AW429" s="411">
        <f t="shared" ca="1" si="105"/>
        <v>0</v>
      </c>
      <c r="AX429" s="411">
        <f t="shared" ca="1" si="105"/>
        <v>0</v>
      </c>
    </row>
    <row r="430" spans="1:50" ht="15" customHeight="1" x14ac:dyDescent="0.25">
      <c r="A430" s="86"/>
      <c r="B430" s="235"/>
      <c r="C430" s="604"/>
      <c r="D430" s="162"/>
      <c r="E430" s="48" t="str">
        <f t="shared" ref="E430:AX430" si="106" xml:space="preserve"> E$305</f>
        <v>Oil revenues after royalty</v>
      </c>
      <c r="F430" s="48">
        <f t="shared" si="106"/>
        <v>0</v>
      </c>
      <c r="G430" s="48">
        <f t="shared" si="106"/>
        <v>0</v>
      </c>
      <c r="H430" s="48">
        <f t="shared" si="106"/>
        <v>0</v>
      </c>
      <c r="I430" s="48">
        <f t="shared" ca="1" si="106"/>
        <v>45734.83481473002</v>
      </c>
      <c r="J430" s="48">
        <f t="shared" si="106"/>
        <v>0</v>
      </c>
      <c r="K430" s="48">
        <f t="shared" ca="1" si="106"/>
        <v>0</v>
      </c>
      <c r="L430" s="48">
        <f t="shared" ca="1" si="106"/>
        <v>0</v>
      </c>
      <c r="M430" s="48">
        <f t="shared" ca="1" si="106"/>
        <v>0</v>
      </c>
      <c r="N430" s="48">
        <f t="shared" ca="1" si="106"/>
        <v>0</v>
      </c>
      <c r="O430" s="48">
        <f t="shared" ca="1" si="106"/>
        <v>165.96573648787856</v>
      </c>
      <c r="P430" s="48">
        <f t="shared" ca="1" si="106"/>
        <v>1329.8653274543999</v>
      </c>
      <c r="Q430" s="48">
        <f t="shared" ca="1" si="106"/>
        <v>2712.9252680069762</v>
      </c>
      <c r="R430" s="48">
        <f t="shared" ca="1" si="106"/>
        <v>2767.1837733671155</v>
      </c>
      <c r="S430" s="48">
        <f t="shared" ca="1" si="106"/>
        <v>2822.527448834458</v>
      </c>
      <c r="T430" s="48">
        <f t="shared" ca="1" si="106"/>
        <v>2878.9779978111474</v>
      </c>
      <c r="U430" s="48">
        <f t="shared" ca="1" si="106"/>
        <v>2936.5575577673703</v>
      </c>
      <c r="V430" s="48">
        <f t="shared" ca="1" si="106"/>
        <v>2995.2887089227179</v>
      </c>
      <c r="W430" s="48">
        <f t="shared" ca="1" si="106"/>
        <v>3055.1944831011724</v>
      </c>
      <c r="X430" s="48">
        <f t="shared" ca="1" si="106"/>
        <v>3116.2983727631954</v>
      </c>
      <c r="Y430" s="48">
        <f t="shared" ca="1" si="106"/>
        <v>3178.6243402184596</v>
      </c>
      <c r="Z430" s="48">
        <f t="shared" ca="1" si="106"/>
        <v>3242.196827022829</v>
      </c>
      <c r="AA430" s="48">
        <f t="shared" ca="1" si="106"/>
        <v>2678.703018486262</v>
      </c>
      <c r="AB430" s="48">
        <f t="shared" ca="1" si="106"/>
        <v>2213.14443387335</v>
      </c>
      <c r="AC430" s="48">
        <f t="shared" ca="1" si="106"/>
        <v>1828.4999312661616</v>
      </c>
      <c r="AD430" s="48">
        <f t="shared" ca="1" si="106"/>
        <v>1510.7066432121032</v>
      </c>
      <c r="AE430" s="48">
        <f t="shared" ca="1" si="106"/>
        <v>1248.1458286218397</v>
      </c>
      <c r="AF430" s="48">
        <f t="shared" ca="1" si="106"/>
        <v>1031.2180836073642</v>
      </c>
      <c r="AG430" s="48">
        <f t="shared" ca="1" si="106"/>
        <v>851.99238067640431</v>
      </c>
      <c r="AH430" s="48">
        <f t="shared" ca="1" si="106"/>
        <v>703.91610491484528</v>
      </c>
      <c r="AI430" s="48">
        <f t="shared" ca="1" si="106"/>
        <v>581.57548588064526</v>
      </c>
      <c r="AJ430" s="48">
        <f t="shared" ca="1" si="106"/>
        <v>480.49766643458906</v>
      </c>
      <c r="AK430" s="48">
        <f t="shared" ca="1" si="106"/>
        <v>396.98717200825752</v>
      </c>
      <c r="AL430" s="48">
        <f t="shared" ca="1" si="106"/>
        <v>327.99080151322232</v>
      </c>
      <c r="AM430" s="48">
        <f t="shared" ca="1" si="106"/>
        <v>270.98600021022435</v>
      </c>
      <c r="AN430" s="48">
        <f t="shared" ca="1" si="106"/>
        <v>223.88863337368736</v>
      </c>
      <c r="AO430" s="48">
        <f t="shared" ca="1" si="106"/>
        <v>184.97678889334054</v>
      </c>
      <c r="AP430" s="48">
        <f t="shared" ca="1" si="106"/>
        <v>0</v>
      </c>
      <c r="AQ430" s="48">
        <f t="shared" ca="1" si="106"/>
        <v>0</v>
      </c>
      <c r="AR430" s="48">
        <f t="shared" ca="1" si="106"/>
        <v>0</v>
      </c>
      <c r="AS430" s="48">
        <f t="shared" ca="1" si="106"/>
        <v>0</v>
      </c>
      <c r="AT430" s="48">
        <f t="shared" ca="1" si="106"/>
        <v>0</v>
      </c>
      <c r="AU430" s="48">
        <f t="shared" ca="1" si="106"/>
        <v>0</v>
      </c>
      <c r="AV430" s="48">
        <f t="shared" ca="1" si="106"/>
        <v>0</v>
      </c>
      <c r="AW430" s="48">
        <f t="shared" ca="1" si="106"/>
        <v>0</v>
      </c>
      <c r="AX430" s="48">
        <f t="shared" ca="1" si="106"/>
        <v>0</v>
      </c>
    </row>
    <row r="431" spans="1:50" ht="15" customHeight="1" x14ac:dyDescent="0.25">
      <c r="A431" s="86"/>
      <c r="B431" s="235"/>
      <c r="C431" s="604"/>
      <c r="D431" s="162"/>
      <c r="E431" s="52"/>
      <c r="F431" s="162"/>
      <c r="G431" s="52"/>
      <c r="H431" s="52"/>
      <c r="I431" s="89"/>
      <c r="J431" s="56"/>
      <c r="K431" s="56"/>
      <c r="L431" s="56"/>
      <c r="M431" s="56"/>
      <c r="N431" s="56"/>
      <c r="O431" s="56"/>
      <c r="P431" s="56"/>
      <c r="Q431" s="56"/>
      <c r="R431" s="56"/>
      <c r="S431" s="56"/>
      <c r="T431" s="56"/>
      <c r="U431" s="56"/>
      <c r="V431" s="56"/>
      <c r="W431" s="56"/>
      <c r="X431" s="56"/>
      <c r="Y431" s="56"/>
      <c r="Z431" s="56"/>
      <c r="AA431" s="56"/>
      <c r="AB431" s="56"/>
      <c r="AC431" s="56"/>
      <c r="AD431" s="56"/>
      <c r="AE431" s="56"/>
      <c r="AF431" s="56"/>
      <c r="AG431" s="56"/>
      <c r="AH431" s="56"/>
      <c r="AI431" s="56"/>
      <c r="AJ431" s="56"/>
      <c r="AK431" s="56"/>
      <c r="AL431" s="56"/>
      <c r="AM431" s="56"/>
      <c r="AN431" s="56"/>
      <c r="AO431" s="56"/>
      <c r="AP431" s="56"/>
      <c r="AQ431" s="56"/>
      <c r="AR431" s="56"/>
      <c r="AS431" s="56"/>
      <c r="AT431" s="56"/>
      <c r="AU431" s="56"/>
      <c r="AV431" s="56"/>
      <c r="AW431" s="56"/>
      <c r="AX431" s="56"/>
    </row>
    <row r="432" spans="1:50" ht="15" customHeight="1" x14ac:dyDescent="0.25">
      <c r="A432" s="86"/>
      <c r="B432" s="235"/>
      <c r="C432" s="604" t="str">
        <f>Translate!$E$487</f>
        <v>Share of revenues</v>
      </c>
      <c r="D432" s="162"/>
      <c r="E432" s="52"/>
      <c r="F432" s="162"/>
      <c r="G432" s="52"/>
      <c r="H432" s="52"/>
      <c r="I432" s="89"/>
      <c r="J432" s="56"/>
      <c r="K432" s="56"/>
      <c r="L432" s="56"/>
      <c r="M432" s="56"/>
      <c r="N432" s="56"/>
      <c r="O432" s="56"/>
      <c r="P432" s="56"/>
      <c r="Q432" s="56"/>
      <c r="R432" s="56"/>
      <c r="S432" s="56"/>
      <c r="T432" s="56"/>
      <c r="U432" s="56"/>
      <c r="V432" s="56"/>
      <c r="W432" s="56"/>
      <c r="X432" s="56"/>
      <c r="Y432" s="56"/>
      <c r="Z432" s="56"/>
      <c r="AA432" s="56"/>
      <c r="AB432" s="56"/>
      <c r="AC432" s="56"/>
      <c r="AD432" s="56"/>
      <c r="AE432" s="56"/>
      <c r="AF432" s="56"/>
      <c r="AG432" s="56"/>
      <c r="AH432" s="56"/>
      <c r="AI432" s="56"/>
      <c r="AJ432" s="56"/>
      <c r="AK432" s="56"/>
      <c r="AL432" s="56"/>
      <c r="AM432" s="56"/>
      <c r="AN432" s="56"/>
      <c r="AO432" s="56"/>
      <c r="AP432" s="56"/>
      <c r="AQ432" s="56"/>
      <c r="AR432" s="56"/>
      <c r="AS432" s="56"/>
      <c r="AT432" s="56"/>
      <c r="AU432" s="56"/>
      <c r="AV432" s="56"/>
      <c r="AW432" s="56"/>
      <c r="AX432" s="56"/>
    </row>
    <row r="433" spans="1:50" ht="15" customHeight="1" x14ac:dyDescent="0.25">
      <c r="A433" s="86"/>
      <c r="B433" s="235"/>
      <c r="C433" s="604"/>
      <c r="D433" s="162"/>
      <c r="E433" s="532" t="str">
        <f xml:space="preserve"> E$77</f>
        <v>State participation</v>
      </c>
      <c r="F433" s="564">
        <f xml:space="preserve"> F$77</f>
        <v>0.2</v>
      </c>
      <c r="G433" s="532" t="str">
        <f xml:space="preserve"> G$77</f>
        <v>%</v>
      </c>
      <c r="H433" s="89"/>
      <c r="I433" s="89"/>
      <c r="J433" s="89"/>
      <c r="K433" s="89"/>
      <c r="L433" s="89"/>
      <c r="M433" s="89"/>
      <c r="N433" s="89"/>
      <c r="O433" s="89"/>
      <c r="P433" s="89"/>
      <c r="Q433" s="89"/>
      <c r="R433" s="89"/>
      <c r="S433" s="89"/>
      <c r="T433" s="89"/>
      <c r="U433" s="89"/>
      <c r="V433" s="89"/>
      <c r="W433" s="89"/>
      <c r="X433" s="89"/>
      <c r="Y433" s="89"/>
      <c r="Z433" s="89"/>
      <c r="AA433" s="89"/>
      <c r="AB433" s="89"/>
      <c r="AC433" s="89"/>
      <c r="AD433" s="89"/>
      <c r="AE433" s="89"/>
      <c r="AF433" s="89"/>
      <c r="AG433" s="89"/>
      <c r="AH433" s="89"/>
      <c r="AI433" s="89"/>
      <c r="AJ433" s="89"/>
      <c r="AK433" s="89"/>
      <c r="AL433" s="89"/>
      <c r="AM433" s="89"/>
      <c r="AN433" s="89"/>
      <c r="AO433" s="89"/>
      <c r="AP433" s="89"/>
      <c r="AQ433" s="89"/>
      <c r="AR433" s="89"/>
      <c r="AS433" s="89"/>
      <c r="AT433" s="89"/>
      <c r="AU433" s="89"/>
      <c r="AV433" s="89"/>
      <c r="AW433" s="89"/>
      <c r="AX433" s="89"/>
    </row>
    <row r="434" spans="1:50" ht="15" customHeight="1" x14ac:dyDescent="0.25">
      <c r="A434" s="86"/>
      <c r="B434" s="235"/>
      <c r="C434" s="604"/>
      <c r="D434" s="217"/>
      <c r="E434" s="13" t="str">
        <f xml:space="preserve"> Translate!E$284</f>
        <v>T&amp;R: Share of gross revenue to SOC</v>
      </c>
      <c r="F434" s="577"/>
      <c r="G434" s="13" t="str">
        <f xml:space="preserve"> Translate!E$603</f>
        <v>US$ mn</v>
      </c>
      <c r="H434" s="13"/>
      <c r="I434" s="217">
        <f ca="1" xml:space="preserve"> SUM(K434:AX434)</f>
        <v>11433.708703682507</v>
      </c>
      <c r="J434" s="89"/>
      <c r="K434" s="162">
        <f t="shared" ref="K434:AX434" ca="1" si="107" xml:space="preserve"> K428 * $F433 * $F424</f>
        <v>0</v>
      </c>
      <c r="L434" s="162">
        <f t="shared" ca="1" si="107"/>
        <v>0</v>
      </c>
      <c r="M434" s="162">
        <f t="shared" ca="1" si="107"/>
        <v>0</v>
      </c>
      <c r="N434" s="162">
        <f t="shared" ca="1" si="107"/>
        <v>0</v>
      </c>
      <c r="O434" s="162">
        <f t="shared" ca="1" si="107"/>
        <v>41.49143412196964</v>
      </c>
      <c r="P434" s="162">
        <f t="shared" ca="1" si="107"/>
        <v>332.46633186360003</v>
      </c>
      <c r="Q434" s="162">
        <f t="shared" ca="1" si="107"/>
        <v>678.23131700174417</v>
      </c>
      <c r="R434" s="162">
        <f t="shared" ca="1" si="107"/>
        <v>691.79594334177898</v>
      </c>
      <c r="S434" s="162">
        <f t="shared" ca="1" si="107"/>
        <v>705.63186220861462</v>
      </c>
      <c r="T434" s="162">
        <f t="shared" ca="1" si="107"/>
        <v>719.74449945278684</v>
      </c>
      <c r="U434" s="162">
        <f t="shared" ca="1" si="107"/>
        <v>734.13938944184258</v>
      </c>
      <c r="V434" s="162">
        <f t="shared" ca="1" si="107"/>
        <v>748.82217723067947</v>
      </c>
      <c r="W434" s="162">
        <f t="shared" ca="1" si="107"/>
        <v>763.7986207752931</v>
      </c>
      <c r="X434" s="162">
        <f t="shared" ca="1" si="107"/>
        <v>779.07459319079885</v>
      </c>
      <c r="Y434" s="162">
        <f t="shared" ca="1" si="107"/>
        <v>794.65608505461489</v>
      </c>
      <c r="Z434" s="162">
        <f t="shared" ca="1" si="107"/>
        <v>810.54920675570725</v>
      </c>
      <c r="AA434" s="162">
        <f t="shared" ca="1" si="107"/>
        <v>669.67575462156549</v>
      </c>
      <c r="AB434" s="162">
        <f t="shared" ca="1" si="107"/>
        <v>553.28610846833749</v>
      </c>
      <c r="AC434" s="162">
        <f t="shared" ca="1" si="107"/>
        <v>457.12498281654047</v>
      </c>
      <c r="AD434" s="162">
        <f t="shared" ca="1" si="107"/>
        <v>377.67666080302581</v>
      </c>
      <c r="AE434" s="162">
        <f t="shared" ca="1" si="107"/>
        <v>312.03645715545991</v>
      </c>
      <c r="AF434" s="162">
        <f t="shared" ca="1" si="107"/>
        <v>257.80452090184104</v>
      </c>
      <c r="AG434" s="162">
        <f t="shared" ca="1" si="107"/>
        <v>212.99809516910111</v>
      </c>
      <c r="AH434" s="162">
        <f t="shared" ca="1" si="107"/>
        <v>175.97902622871132</v>
      </c>
      <c r="AI434" s="162">
        <f t="shared" ca="1" si="107"/>
        <v>145.39387147016132</v>
      </c>
      <c r="AJ434" s="162">
        <f t="shared" ca="1" si="107"/>
        <v>120.12441660864727</v>
      </c>
      <c r="AK434" s="162">
        <f t="shared" ca="1" si="107"/>
        <v>99.246793002064393</v>
      </c>
      <c r="AL434" s="162">
        <f t="shared" ca="1" si="107"/>
        <v>81.997700378305581</v>
      </c>
      <c r="AM434" s="162">
        <f t="shared" ca="1" si="107"/>
        <v>67.746500052556087</v>
      </c>
      <c r="AN434" s="162">
        <f t="shared" ca="1" si="107"/>
        <v>55.972158343421839</v>
      </c>
      <c r="AO434" s="162">
        <f t="shared" ca="1" si="107"/>
        <v>46.244197223335135</v>
      </c>
      <c r="AP434" s="162">
        <f t="shared" ca="1" si="107"/>
        <v>0</v>
      </c>
      <c r="AQ434" s="162">
        <f t="shared" ca="1" si="107"/>
        <v>0</v>
      </c>
      <c r="AR434" s="162">
        <f t="shared" ca="1" si="107"/>
        <v>0</v>
      </c>
      <c r="AS434" s="162">
        <f t="shared" ca="1" si="107"/>
        <v>0</v>
      </c>
      <c r="AT434" s="162">
        <f t="shared" ca="1" si="107"/>
        <v>0</v>
      </c>
      <c r="AU434" s="162">
        <f t="shared" ca="1" si="107"/>
        <v>0</v>
      </c>
      <c r="AV434" s="162">
        <f t="shared" ca="1" si="107"/>
        <v>0</v>
      </c>
      <c r="AW434" s="162">
        <f t="shared" ca="1" si="107"/>
        <v>0</v>
      </c>
      <c r="AX434" s="162">
        <f t="shared" ca="1" si="107"/>
        <v>0</v>
      </c>
    </row>
    <row r="435" spans="1:50" ht="15" customHeight="1" x14ac:dyDescent="0.25">
      <c r="A435" s="86"/>
      <c r="B435" s="235"/>
      <c r="C435" s="604"/>
      <c r="D435" s="217"/>
      <c r="E435" s="13" t="str">
        <f xml:space="preserve"> Translate!E$285</f>
        <v>T&amp;R: Share of gross revenue to IOC</v>
      </c>
      <c r="F435" s="577"/>
      <c r="G435" s="13" t="str">
        <f xml:space="preserve"> Translate!E$603</f>
        <v>US$ mn</v>
      </c>
      <c r="H435" s="13"/>
      <c r="I435" s="217">
        <f ca="1" xml:space="preserve"> SUM(K435:AX435)</f>
        <v>45734.834814730028</v>
      </c>
      <c r="J435" s="89"/>
      <c r="K435" s="162">
        <f t="shared" ref="K435:AX435" ca="1" si="108" xml:space="preserve"> K428 * ( 1 - $F433 ) * $F424</f>
        <v>0</v>
      </c>
      <c r="L435" s="162">
        <f t="shared" ca="1" si="108"/>
        <v>0</v>
      </c>
      <c r="M435" s="162">
        <f t="shared" ca="1" si="108"/>
        <v>0</v>
      </c>
      <c r="N435" s="162">
        <f t="shared" ca="1" si="108"/>
        <v>0</v>
      </c>
      <c r="O435" s="162">
        <f t="shared" ca="1" si="108"/>
        <v>165.96573648787856</v>
      </c>
      <c r="P435" s="162">
        <f t="shared" ca="1" si="108"/>
        <v>1329.8653274544001</v>
      </c>
      <c r="Q435" s="162">
        <f t="shared" ca="1" si="108"/>
        <v>2712.9252680069767</v>
      </c>
      <c r="R435" s="162">
        <f t="shared" ca="1" si="108"/>
        <v>2767.1837733671159</v>
      </c>
      <c r="S435" s="162">
        <f t="shared" ca="1" si="108"/>
        <v>2822.5274488344585</v>
      </c>
      <c r="T435" s="162">
        <f t="shared" ca="1" si="108"/>
        <v>2878.9779978111474</v>
      </c>
      <c r="U435" s="162">
        <f t="shared" ca="1" si="108"/>
        <v>2936.5575577673703</v>
      </c>
      <c r="V435" s="162">
        <f t="shared" ca="1" si="108"/>
        <v>2995.2887089227179</v>
      </c>
      <c r="W435" s="162">
        <f t="shared" ca="1" si="108"/>
        <v>3055.1944831011724</v>
      </c>
      <c r="X435" s="162">
        <f t="shared" ca="1" si="108"/>
        <v>3116.2983727631954</v>
      </c>
      <c r="Y435" s="162">
        <f t="shared" ca="1" si="108"/>
        <v>3178.6243402184596</v>
      </c>
      <c r="Z435" s="162">
        <f t="shared" ca="1" si="108"/>
        <v>3242.196827022829</v>
      </c>
      <c r="AA435" s="162">
        <f t="shared" ca="1" si="108"/>
        <v>2678.703018486262</v>
      </c>
      <c r="AB435" s="162">
        <f t="shared" ca="1" si="108"/>
        <v>2213.14443387335</v>
      </c>
      <c r="AC435" s="162">
        <f t="shared" ca="1" si="108"/>
        <v>1828.4999312661619</v>
      </c>
      <c r="AD435" s="162">
        <f t="shared" ca="1" si="108"/>
        <v>1510.7066432121032</v>
      </c>
      <c r="AE435" s="162">
        <f t="shared" ca="1" si="108"/>
        <v>1248.1458286218397</v>
      </c>
      <c r="AF435" s="162">
        <f t="shared" ca="1" si="108"/>
        <v>1031.2180836073642</v>
      </c>
      <c r="AG435" s="162">
        <f t="shared" ca="1" si="108"/>
        <v>851.99238067640442</v>
      </c>
      <c r="AH435" s="162">
        <f t="shared" ca="1" si="108"/>
        <v>703.91610491484528</v>
      </c>
      <c r="AI435" s="162">
        <f t="shared" ca="1" si="108"/>
        <v>581.57548588064526</v>
      </c>
      <c r="AJ435" s="162">
        <f t="shared" ca="1" si="108"/>
        <v>480.49766643458906</v>
      </c>
      <c r="AK435" s="162">
        <f t="shared" ca="1" si="108"/>
        <v>396.98717200825757</v>
      </c>
      <c r="AL435" s="162">
        <f t="shared" ca="1" si="108"/>
        <v>327.99080151322232</v>
      </c>
      <c r="AM435" s="162">
        <f t="shared" ca="1" si="108"/>
        <v>270.98600021022435</v>
      </c>
      <c r="AN435" s="162">
        <f t="shared" ca="1" si="108"/>
        <v>223.88863337368736</v>
      </c>
      <c r="AO435" s="162">
        <f t="shared" ca="1" si="108"/>
        <v>184.97678889334054</v>
      </c>
      <c r="AP435" s="162">
        <f t="shared" ca="1" si="108"/>
        <v>0</v>
      </c>
      <c r="AQ435" s="162">
        <f t="shared" ca="1" si="108"/>
        <v>0</v>
      </c>
      <c r="AR435" s="162">
        <f t="shared" ca="1" si="108"/>
        <v>0</v>
      </c>
      <c r="AS435" s="162">
        <f t="shared" ca="1" si="108"/>
        <v>0</v>
      </c>
      <c r="AT435" s="162">
        <f t="shared" ca="1" si="108"/>
        <v>0</v>
      </c>
      <c r="AU435" s="162">
        <f t="shared" ca="1" si="108"/>
        <v>0</v>
      </c>
      <c r="AV435" s="162">
        <f t="shared" ca="1" si="108"/>
        <v>0</v>
      </c>
      <c r="AW435" s="162">
        <f t="shared" ca="1" si="108"/>
        <v>0</v>
      </c>
      <c r="AX435" s="162">
        <f t="shared" ca="1" si="108"/>
        <v>0</v>
      </c>
    </row>
    <row r="436" spans="1:50" ht="15" customHeight="1" x14ac:dyDescent="0.25">
      <c r="A436" s="86"/>
      <c r="B436" s="235"/>
      <c r="C436" s="604"/>
      <c r="D436" s="162"/>
      <c r="E436" s="52"/>
      <c r="F436" s="162"/>
      <c r="G436" s="52"/>
      <c r="H436" s="52"/>
      <c r="I436" s="89"/>
      <c r="J436" s="56"/>
      <c r="K436" s="56"/>
      <c r="L436" s="56"/>
      <c r="M436" s="56"/>
      <c r="N436" s="56"/>
      <c r="O436" s="56"/>
      <c r="P436" s="56"/>
      <c r="Q436" s="56"/>
      <c r="R436" s="56"/>
      <c r="S436" s="56"/>
      <c r="T436" s="56"/>
      <c r="U436" s="56"/>
      <c r="V436" s="56"/>
      <c r="W436" s="56"/>
      <c r="X436" s="56"/>
      <c r="Y436" s="56"/>
      <c r="Z436" s="56"/>
      <c r="AA436" s="56"/>
      <c r="AB436" s="56"/>
      <c r="AC436" s="56"/>
      <c r="AD436" s="56"/>
      <c r="AE436" s="56"/>
      <c r="AF436" s="56"/>
      <c r="AG436" s="56"/>
      <c r="AH436" s="56"/>
      <c r="AI436" s="56"/>
      <c r="AJ436" s="56"/>
      <c r="AK436" s="56"/>
      <c r="AL436" s="56"/>
      <c r="AM436" s="56"/>
      <c r="AN436" s="56"/>
      <c r="AO436" s="56"/>
      <c r="AP436" s="56"/>
      <c r="AQ436" s="56"/>
      <c r="AR436" s="56"/>
      <c r="AS436" s="56"/>
      <c r="AT436" s="56"/>
      <c r="AU436" s="56"/>
      <c r="AV436" s="56"/>
      <c r="AW436" s="56"/>
      <c r="AX436" s="56"/>
    </row>
    <row r="437" spans="1:50" ht="15" customHeight="1" x14ac:dyDescent="0.25">
      <c r="A437" s="86"/>
      <c r="B437" s="235"/>
      <c r="C437" s="604" t="str">
        <f>Translate!$E$488</f>
        <v>Share of royalty</v>
      </c>
      <c r="D437" s="162"/>
      <c r="E437" s="52"/>
      <c r="F437" s="162"/>
      <c r="G437" s="52"/>
      <c r="H437" s="52"/>
      <c r="I437" s="89"/>
      <c r="J437" s="56"/>
      <c r="K437" s="56"/>
      <c r="L437" s="56"/>
      <c r="M437" s="56"/>
      <c r="N437" s="56"/>
      <c r="O437" s="56"/>
      <c r="P437" s="56"/>
      <c r="Q437" s="56"/>
      <c r="R437" s="56"/>
      <c r="S437" s="56"/>
      <c r="T437" s="56"/>
      <c r="U437" s="56"/>
      <c r="V437" s="56"/>
      <c r="W437" s="56"/>
      <c r="X437" s="56"/>
      <c r="Y437" s="56"/>
      <c r="Z437" s="56"/>
      <c r="AA437" s="56"/>
      <c r="AB437" s="56"/>
      <c r="AC437" s="56"/>
      <c r="AD437" s="56"/>
      <c r="AE437" s="56"/>
      <c r="AF437" s="56"/>
      <c r="AG437" s="56"/>
      <c r="AH437" s="56"/>
      <c r="AI437" s="56"/>
      <c r="AJ437" s="56"/>
      <c r="AK437" s="56"/>
      <c r="AL437" s="56"/>
      <c r="AM437" s="56"/>
      <c r="AN437" s="56"/>
      <c r="AO437" s="56"/>
      <c r="AP437" s="56"/>
      <c r="AQ437" s="56"/>
      <c r="AR437" s="56"/>
      <c r="AS437" s="56"/>
      <c r="AT437" s="56"/>
      <c r="AU437" s="56"/>
      <c r="AV437" s="56"/>
      <c r="AW437" s="56"/>
      <c r="AX437" s="56"/>
    </row>
    <row r="438" spans="1:50" ht="15" customHeight="1" x14ac:dyDescent="0.25">
      <c r="A438" s="86"/>
      <c r="B438" s="235"/>
      <c r="C438" s="604"/>
      <c r="D438" s="162"/>
      <c r="E438" s="48" t="str">
        <f t="shared" ref="E438:AX438" si="109" xml:space="preserve"> E$222</f>
        <v>Royalty attributable to: SOC</v>
      </c>
      <c r="F438" s="48">
        <f t="shared" si="109"/>
        <v>0</v>
      </c>
      <c r="G438" s="48" t="str">
        <f t="shared" si="109"/>
        <v>US$ mn</v>
      </c>
      <c r="H438" s="48">
        <f t="shared" si="109"/>
        <v>0</v>
      </c>
      <c r="I438" s="48">
        <f t="shared" ca="1" si="109"/>
        <v>2286.7417407365006</v>
      </c>
      <c r="J438" s="48">
        <f t="shared" si="109"/>
        <v>0</v>
      </c>
      <c r="K438" s="48">
        <f t="shared" ca="1" si="109"/>
        <v>0</v>
      </c>
      <c r="L438" s="48">
        <f t="shared" ca="1" si="109"/>
        <v>0</v>
      </c>
      <c r="M438" s="48">
        <f t="shared" ca="1" si="109"/>
        <v>0</v>
      </c>
      <c r="N438" s="48">
        <f t="shared" ca="1" si="109"/>
        <v>0</v>
      </c>
      <c r="O438" s="48">
        <f t="shared" ca="1" si="109"/>
        <v>8.2982868243939283</v>
      </c>
      <c r="P438" s="48">
        <f t="shared" ca="1" si="109"/>
        <v>66.493266372720015</v>
      </c>
      <c r="Q438" s="48">
        <f t="shared" ca="1" si="109"/>
        <v>135.64626340034883</v>
      </c>
      <c r="R438" s="48">
        <f t="shared" ca="1" si="109"/>
        <v>138.35918866835581</v>
      </c>
      <c r="S438" s="48">
        <f t="shared" ca="1" si="109"/>
        <v>141.12637244172294</v>
      </c>
      <c r="T438" s="48">
        <f t="shared" ca="1" si="109"/>
        <v>143.94889989055739</v>
      </c>
      <c r="U438" s="48">
        <f t="shared" ca="1" si="109"/>
        <v>146.82787788836853</v>
      </c>
      <c r="V438" s="48">
        <f t="shared" ca="1" si="109"/>
        <v>149.76443544613591</v>
      </c>
      <c r="W438" s="48">
        <f t="shared" ca="1" si="109"/>
        <v>152.75972415505862</v>
      </c>
      <c r="X438" s="48">
        <f t="shared" ca="1" si="109"/>
        <v>155.81491863815978</v>
      </c>
      <c r="Y438" s="48">
        <f t="shared" ca="1" si="109"/>
        <v>158.93121701092298</v>
      </c>
      <c r="Z438" s="48">
        <f t="shared" ca="1" si="109"/>
        <v>162.10984135114145</v>
      </c>
      <c r="AA438" s="48">
        <f t="shared" ca="1" si="109"/>
        <v>133.93515092431309</v>
      </c>
      <c r="AB438" s="48">
        <f t="shared" ca="1" si="109"/>
        <v>110.65722169366751</v>
      </c>
      <c r="AC438" s="48">
        <f t="shared" ca="1" si="109"/>
        <v>91.424996563308099</v>
      </c>
      <c r="AD438" s="48">
        <f t="shared" ca="1" si="109"/>
        <v>75.535332160605165</v>
      </c>
      <c r="AE438" s="48">
        <f t="shared" ca="1" si="109"/>
        <v>62.407291431091984</v>
      </c>
      <c r="AF438" s="48">
        <f t="shared" ca="1" si="109"/>
        <v>51.560904180368212</v>
      </c>
      <c r="AG438" s="48">
        <f t="shared" ca="1" si="109"/>
        <v>42.599619033820225</v>
      </c>
      <c r="AH438" s="48">
        <f t="shared" ca="1" si="109"/>
        <v>35.195805245742264</v>
      </c>
      <c r="AI438" s="48">
        <f t="shared" ca="1" si="109"/>
        <v>29.078774294032264</v>
      </c>
      <c r="AJ438" s="48">
        <f t="shared" ca="1" si="109"/>
        <v>24.024883321729455</v>
      </c>
      <c r="AK438" s="48">
        <f t="shared" ca="1" si="109"/>
        <v>19.849358600412881</v>
      </c>
      <c r="AL438" s="48">
        <f t="shared" ca="1" si="109"/>
        <v>16.399540075661118</v>
      </c>
      <c r="AM438" s="48">
        <f t="shared" ca="1" si="109"/>
        <v>13.549300010511217</v>
      </c>
      <c r="AN438" s="48">
        <f t="shared" ca="1" si="109"/>
        <v>11.194431668684368</v>
      </c>
      <c r="AO438" s="48">
        <f t="shared" ca="1" si="109"/>
        <v>9.248839444667027</v>
      </c>
      <c r="AP438" s="48">
        <f t="shared" ca="1" si="109"/>
        <v>0</v>
      </c>
      <c r="AQ438" s="48">
        <f t="shared" ca="1" si="109"/>
        <v>0</v>
      </c>
      <c r="AR438" s="48">
        <f t="shared" ca="1" si="109"/>
        <v>0</v>
      </c>
      <c r="AS438" s="48">
        <f t="shared" ca="1" si="109"/>
        <v>0</v>
      </c>
      <c r="AT438" s="48">
        <f t="shared" ca="1" si="109"/>
        <v>0</v>
      </c>
      <c r="AU438" s="48">
        <f t="shared" ca="1" si="109"/>
        <v>0</v>
      </c>
      <c r="AV438" s="48">
        <f t="shared" ca="1" si="109"/>
        <v>0</v>
      </c>
      <c r="AW438" s="48">
        <f t="shared" ca="1" si="109"/>
        <v>0</v>
      </c>
      <c r="AX438" s="48">
        <f t="shared" ca="1" si="109"/>
        <v>0</v>
      </c>
    </row>
    <row r="439" spans="1:50" ht="15" customHeight="1" x14ac:dyDescent="0.25">
      <c r="A439" s="86"/>
      <c r="B439" s="235"/>
      <c r="C439" s="604"/>
      <c r="D439" s="162"/>
      <c r="E439" s="48" t="str">
        <f t="shared" ref="E439:AX439" si="110" xml:space="preserve"> E$223</f>
        <v>Royalty attributable to: IOC</v>
      </c>
      <c r="F439" s="48">
        <f t="shared" si="110"/>
        <v>0</v>
      </c>
      <c r="G439" s="48" t="str">
        <f t="shared" si="110"/>
        <v>US$ mn</v>
      </c>
      <c r="H439" s="48">
        <f t="shared" si="110"/>
        <v>0</v>
      </c>
      <c r="I439" s="48">
        <f t="shared" ca="1" si="110"/>
        <v>9146.9669629460022</v>
      </c>
      <c r="J439" s="48">
        <f t="shared" si="110"/>
        <v>0</v>
      </c>
      <c r="K439" s="48">
        <f t="shared" ca="1" si="110"/>
        <v>0</v>
      </c>
      <c r="L439" s="48">
        <f t="shared" ca="1" si="110"/>
        <v>0</v>
      </c>
      <c r="M439" s="48">
        <f t="shared" ca="1" si="110"/>
        <v>0</v>
      </c>
      <c r="N439" s="48">
        <f t="shared" ca="1" si="110"/>
        <v>0</v>
      </c>
      <c r="O439" s="48">
        <f t="shared" ca="1" si="110"/>
        <v>33.193147297575713</v>
      </c>
      <c r="P439" s="48">
        <f t="shared" ca="1" si="110"/>
        <v>265.97306549088</v>
      </c>
      <c r="Q439" s="48">
        <f t="shared" ca="1" si="110"/>
        <v>542.58505360139532</v>
      </c>
      <c r="R439" s="48">
        <f t="shared" ca="1" si="110"/>
        <v>553.43675467342314</v>
      </c>
      <c r="S439" s="48">
        <f t="shared" ca="1" si="110"/>
        <v>564.50548976689174</v>
      </c>
      <c r="T439" s="48">
        <f t="shared" ca="1" si="110"/>
        <v>575.79559956222943</v>
      </c>
      <c r="U439" s="48">
        <f t="shared" ca="1" si="110"/>
        <v>587.31151155347402</v>
      </c>
      <c r="V439" s="48">
        <f t="shared" ca="1" si="110"/>
        <v>599.05774178454362</v>
      </c>
      <c r="W439" s="48">
        <f t="shared" ca="1" si="110"/>
        <v>611.03889662023448</v>
      </c>
      <c r="X439" s="48">
        <f t="shared" ca="1" si="110"/>
        <v>623.25967455263913</v>
      </c>
      <c r="Y439" s="48">
        <f t="shared" ca="1" si="110"/>
        <v>635.72486804369191</v>
      </c>
      <c r="Z439" s="48">
        <f t="shared" ca="1" si="110"/>
        <v>648.43936540456582</v>
      </c>
      <c r="AA439" s="48">
        <f t="shared" ca="1" si="110"/>
        <v>535.74060369725237</v>
      </c>
      <c r="AB439" s="48">
        <f t="shared" ca="1" si="110"/>
        <v>442.62888677466998</v>
      </c>
      <c r="AC439" s="48">
        <f t="shared" ca="1" si="110"/>
        <v>365.6999862532324</v>
      </c>
      <c r="AD439" s="48">
        <f t="shared" ca="1" si="110"/>
        <v>302.14132864242066</v>
      </c>
      <c r="AE439" s="48">
        <f t="shared" ca="1" si="110"/>
        <v>249.62916572436794</v>
      </c>
      <c r="AF439" s="48">
        <f t="shared" ca="1" si="110"/>
        <v>206.24361672147285</v>
      </c>
      <c r="AG439" s="48">
        <f t="shared" ca="1" si="110"/>
        <v>170.39847613528087</v>
      </c>
      <c r="AH439" s="48">
        <f t="shared" ca="1" si="110"/>
        <v>140.78322098296906</v>
      </c>
      <c r="AI439" s="48">
        <f t="shared" ca="1" si="110"/>
        <v>116.31509717612906</v>
      </c>
      <c r="AJ439" s="48">
        <f t="shared" ca="1" si="110"/>
        <v>96.099533286917818</v>
      </c>
      <c r="AK439" s="48">
        <f t="shared" ca="1" si="110"/>
        <v>79.397434401651509</v>
      </c>
      <c r="AL439" s="48">
        <f t="shared" ca="1" si="110"/>
        <v>65.598160302644459</v>
      </c>
      <c r="AM439" s="48">
        <f t="shared" ca="1" si="110"/>
        <v>54.197200042044869</v>
      </c>
      <c r="AN439" s="48">
        <f t="shared" ca="1" si="110"/>
        <v>44.777726674737472</v>
      </c>
      <c r="AO439" s="48">
        <f t="shared" ca="1" si="110"/>
        <v>36.995357778668108</v>
      </c>
      <c r="AP439" s="48">
        <f t="shared" ca="1" si="110"/>
        <v>0</v>
      </c>
      <c r="AQ439" s="48">
        <f t="shared" ca="1" si="110"/>
        <v>0</v>
      </c>
      <c r="AR439" s="48">
        <f t="shared" ca="1" si="110"/>
        <v>0</v>
      </c>
      <c r="AS439" s="48">
        <f t="shared" ca="1" si="110"/>
        <v>0</v>
      </c>
      <c r="AT439" s="48">
        <f t="shared" ca="1" si="110"/>
        <v>0</v>
      </c>
      <c r="AU439" s="48">
        <f t="shared" ca="1" si="110"/>
        <v>0</v>
      </c>
      <c r="AV439" s="48">
        <f t="shared" ca="1" si="110"/>
        <v>0</v>
      </c>
      <c r="AW439" s="48">
        <f t="shared" ca="1" si="110"/>
        <v>0</v>
      </c>
      <c r="AX439" s="48">
        <f t="shared" ca="1" si="110"/>
        <v>0</v>
      </c>
    </row>
    <row r="440" spans="1:50" ht="15" customHeight="1" x14ac:dyDescent="0.25">
      <c r="A440" s="86"/>
      <c r="B440" s="235"/>
      <c r="C440" s="604"/>
      <c r="D440" s="162"/>
      <c r="E440" s="52"/>
      <c r="F440" s="162"/>
      <c r="G440" s="52"/>
      <c r="H440" s="52"/>
      <c r="I440" s="89"/>
      <c r="J440" s="56"/>
      <c r="K440" s="56"/>
      <c r="L440" s="56"/>
      <c r="M440" s="56"/>
      <c r="N440" s="56"/>
      <c r="O440" s="56"/>
      <c r="P440" s="56"/>
      <c r="Q440" s="56"/>
      <c r="R440" s="56"/>
      <c r="S440" s="56"/>
      <c r="T440" s="56"/>
      <c r="U440" s="56"/>
      <c r="V440" s="56"/>
      <c r="W440" s="56"/>
      <c r="X440" s="56"/>
      <c r="Y440" s="56"/>
      <c r="Z440" s="56"/>
      <c r="AA440" s="56"/>
      <c r="AB440" s="56"/>
      <c r="AC440" s="56"/>
      <c r="AD440" s="56"/>
      <c r="AE440" s="56"/>
      <c r="AF440" s="56"/>
      <c r="AG440" s="56"/>
      <c r="AH440" s="56"/>
      <c r="AI440" s="56"/>
      <c r="AJ440" s="56"/>
      <c r="AK440" s="56"/>
      <c r="AL440" s="56"/>
      <c r="AM440" s="56"/>
      <c r="AN440" s="56"/>
      <c r="AO440" s="56"/>
      <c r="AP440" s="56"/>
      <c r="AQ440" s="56"/>
      <c r="AR440" s="56"/>
      <c r="AS440" s="56"/>
      <c r="AT440" s="56"/>
      <c r="AU440" s="56"/>
      <c r="AV440" s="56"/>
      <c r="AW440" s="56"/>
      <c r="AX440" s="56"/>
    </row>
    <row r="441" spans="1:50" ht="15" customHeight="1" x14ac:dyDescent="0.25">
      <c r="E441" s="3" t="str">
        <f xml:space="preserve"> Translate!E542 &amp;  ": " &amp; E438</f>
        <v>T&amp;R: Royalty attributable to: SOC</v>
      </c>
      <c r="G441" s="3" t="str">
        <f xml:space="preserve"> G438</f>
        <v>US$ mn</v>
      </c>
      <c r="I441" s="3">
        <f ca="1" xml:space="preserve"> SUM(K441:AX441)</f>
        <v>2286.7417407365006</v>
      </c>
      <c r="K441" s="3">
        <f t="shared" ref="K441:AX441" ca="1" si="111" xml:space="preserve"> K438 * $F424</f>
        <v>0</v>
      </c>
      <c r="L441" s="3">
        <f t="shared" ca="1" si="111"/>
        <v>0</v>
      </c>
      <c r="M441" s="3">
        <f t="shared" ca="1" si="111"/>
        <v>0</v>
      </c>
      <c r="N441" s="3">
        <f t="shared" ca="1" si="111"/>
        <v>0</v>
      </c>
      <c r="O441" s="3">
        <f t="shared" ca="1" si="111"/>
        <v>8.2982868243939283</v>
      </c>
      <c r="P441" s="3">
        <f t="shared" ca="1" si="111"/>
        <v>66.493266372720015</v>
      </c>
      <c r="Q441" s="3">
        <f t="shared" ca="1" si="111"/>
        <v>135.64626340034883</v>
      </c>
      <c r="R441" s="3">
        <f t="shared" ca="1" si="111"/>
        <v>138.35918866835581</v>
      </c>
      <c r="S441" s="3">
        <f t="shared" ca="1" si="111"/>
        <v>141.12637244172294</v>
      </c>
      <c r="T441" s="3">
        <f t="shared" ca="1" si="111"/>
        <v>143.94889989055739</v>
      </c>
      <c r="U441" s="3">
        <f t="shared" ca="1" si="111"/>
        <v>146.82787788836853</v>
      </c>
      <c r="V441" s="3">
        <f t="shared" ca="1" si="111"/>
        <v>149.76443544613591</v>
      </c>
      <c r="W441" s="3">
        <f t="shared" ca="1" si="111"/>
        <v>152.75972415505862</v>
      </c>
      <c r="X441" s="3">
        <f t="shared" ca="1" si="111"/>
        <v>155.81491863815978</v>
      </c>
      <c r="Y441" s="3">
        <f t="shared" ca="1" si="111"/>
        <v>158.93121701092298</v>
      </c>
      <c r="Z441" s="3">
        <f t="shared" ca="1" si="111"/>
        <v>162.10984135114145</v>
      </c>
      <c r="AA441" s="3">
        <f t="shared" ca="1" si="111"/>
        <v>133.93515092431309</v>
      </c>
      <c r="AB441" s="3">
        <f t="shared" ca="1" si="111"/>
        <v>110.65722169366751</v>
      </c>
      <c r="AC441" s="3">
        <f t="shared" ca="1" si="111"/>
        <v>91.424996563308099</v>
      </c>
      <c r="AD441" s="3">
        <f t="shared" ca="1" si="111"/>
        <v>75.535332160605165</v>
      </c>
      <c r="AE441" s="3">
        <f t="shared" ca="1" si="111"/>
        <v>62.407291431091984</v>
      </c>
      <c r="AF441" s="3">
        <f t="shared" ca="1" si="111"/>
        <v>51.560904180368212</v>
      </c>
      <c r="AG441" s="3">
        <f t="shared" ca="1" si="111"/>
        <v>42.599619033820225</v>
      </c>
      <c r="AH441" s="3">
        <f t="shared" ca="1" si="111"/>
        <v>35.195805245742264</v>
      </c>
      <c r="AI441" s="3">
        <f t="shared" ca="1" si="111"/>
        <v>29.078774294032264</v>
      </c>
      <c r="AJ441" s="3">
        <f t="shared" ca="1" si="111"/>
        <v>24.024883321729455</v>
      </c>
      <c r="AK441" s="3">
        <f t="shared" ca="1" si="111"/>
        <v>19.849358600412881</v>
      </c>
      <c r="AL441" s="3">
        <f t="shared" ca="1" si="111"/>
        <v>16.399540075661118</v>
      </c>
      <c r="AM441" s="3">
        <f t="shared" ca="1" si="111"/>
        <v>13.549300010511217</v>
      </c>
      <c r="AN441" s="3">
        <f t="shared" ca="1" si="111"/>
        <v>11.194431668684368</v>
      </c>
      <c r="AO441" s="3">
        <f t="shared" ca="1" si="111"/>
        <v>9.248839444667027</v>
      </c>
      <c r="AP441" s="3">
        <f t="shared" ca="1" si="111"/>
        <v>0</v>
      </c>
      <c r="AQ441" s="3">
        <f t="shared" ca="1" si="111"/>
        <v>0</v>
      </c>
      <c r="AR441" s="3">
        <f t="shared" ca="1" si="111"/>
        <v>0</v>
      </c>
      <c r="AS441" s="3">
        <f t="shared" ca="1" si="111"/>
        <v>0</v>
      </c>
      <c r="AT441" s="3">
        <f t="shared" ca="1" si="111"/>
        <v>0</v>
      </c>
      <c r="AU441" s="3">
        <f t="shared" ca="1" si="111"/>
        <v>0</v>
      </c>
      <c r="AV441" s="3">
        <f t="shared" ca="1" si="111"/>
        <v>0</v>
      </c>
      <c r="AW441" s="3">
        <f t="shared" ca="1" si="111"/>
        <v>0</v>
      </c>
      <c r="AX441" s="3">
        <f t="shared" ca="1" si="111"/>
        <v>0</v>
      </c>
    </row>
    <row r="442" spans="1:50" ht="15" customHeight="1" x14ac:dyDescent="0.25">
      <c r="E442" s="3" t="str">
        <f xml:space="preserve"> Translate!E542 &amp;  ": " &amp; E439</f>
        <v>T&amp;R: Royalty attributable to: IOC</v>
      </c>
      <c r="G442" s="3" t="str">
        <f xml:space="preserve"> G439</f>
        <v>US$ mn</v>
      </c>
      <c r="I442" s="3">
        <f ca="1" xml:space="preserve"> SUM(K442:AX442)</f>
        <v>9146.9669629460022</v>
      </c>
      <c r="K442" s="3">
        <f t="shared" ref="K442:AX442" ca="1" si="112" xml:space="preserve"> K439 * $F424</f>
        <v>0</v>
      </c>
      <c r="L442" s="3">
        <f t="shared" ca="1" si="112"/>
        <v>0</v>
      </c>
      <c r="M442" s="3">
        <f t="shared" ca="1" si="112"/>
        <v>0</v>
      </c>
      <c r="N442" s="3">
        <f t="shared" ca="1" si="112"/>
        <v>0</v>
      </c>
      <c r="O442" s="3">
        <f t="shared" ca="1" si="112"/>
        <v>33.193147297575713</v>
      </c>
      <c r="P442" s="3">
        <f t="shared" ca="1" si="112"/>
        <v>265.97306549088</v>
      </c>
      <c r="Q442" s="3">
        <f t="shared" ca="1" si="112"/>
        <v>542.58505360139532</v>
      </c>
      <c r="R442" s="3">
        <f t="shared" ca="1" si="112"/>
        <v>553.43675467342314</v>
      </c>
      <c r="S442" s="3">
        <f t="shared" ca="1" si="112"/>
        <v>564.50548976689174</v>
      </c>
      <c r="T442" s="3">
        <f t="shared" ca="1" si="112"/>
        <v>575.79559956222943</v>
      </c>
      <c r="U442" s="3">
        <f t="shared" ca="1" si="112"/>
        <v>587.31151155347402</v>
      </c>
      <c r="V442" s="3">
        <f t="shared" ca="1" si="112"/>
        <v>599.05774178454362</v>
      </c>
      <c r="W442" s="3">
        <f t="shared" ca="1" si="112"/>
        <v>611.03889662023448</v>
      </c>
      <c r="X442" s="3">
        <f t="shared" ca="1" si="112"/>
        <v>623.25967455263913</v>
      </c>
      <c r="Y442" s="3">
        <f t="shared" ca="1" si="112"/>
        <v>635.72486804369191</v>
      </c>
      <c r="Z442" s="3">
        <f t="shared" ca="1" si="112"/>
        <v>648.43936540456582</v>
      </c>
      <c r="AA442" s="3">
        <f t="shared" ca="1" si="112"/>
        <v>535.74060369725237</v>
      </c>
      <c r="AB442" s="3">
        <f t="shared" ca="1" si="112"/>
        <v>442.62888677466998</v>
      </c>
      <c r="AC442" s="3">
        <f t="shared" ca="1" si="112"/>
        <v>365.6999862532324</v>
      </c>
      <c r="AD442" s="3">
        <f t="shared" ca="1" si="112"/>
        <v>302.14132864242066</v>
      </c>
      <c r="AE442" s="3">
        <f t="shared" ca="1" si="112"/>
        <v>249.62916572436794</v>
      </c>
      <c r="AF442" s="3">
        <f t="shared" ca="1" si="112"/>
        <v>206.24361672147285</v>
      </c>
      <c r="AG442" s="3">
        <f t="shared" ca="1" si="112"/>
        <v>170.39847613528087</v>
      </c>
      <c r="AH442" s="3">
        <f t="shared" ca="1" si="112"/>
        <v>140.78322098296906</v>
      </c>
      <c r="AI442" s="3">
        <f t="shared" ca="1" si="112"/>
        <v>116.31509717612906</v>
      </c>
      <c r="AJ442" s="3">
        <f t="shared" ca="1" si="112"/>
        <v>96.099533286917818</v>
      </c>
      <c r="AK442" s="3">
        <f t="shared" ca="1" si="112"/>
        <v>79.397434401651509</v>
      </c>
      <c r="AL442" s="3">
        <f t="shared" ca="1" si="112"/>
        <v>65.598160302644459</v>
      </c>
      <c r="AM442" s="3">
        <f t="shared" ca="1" si="112"/>
        <v>54.197200042044869</v>
      </c>
      <c r="AN442" s="3">
        <f t="shared" ca="1" si="112"/>
        <v>44.777726674737472</v>
      </c>
      <c r="AO442" s="3">
        <f t="shared" ca="1" si="112"/>
        <v>36.995357778668108</v>
      </c>
      <c r="AP442" s="3">
        <f t="shared" ca="1" si="112"/>
        <v>0</v>
      </c>
      <c r="AQ442" s="3">
        <f t="shared" ca="1" si="112"/>
        <v>0</v>
      </c>
      <c r="AR442" s="3">
        <f t="shared" ca="1" si="112"/>
        <v>0</v>
      </c>
      <c r="AS442" s="3">
        <f t="shared" ca="1" si="112"/>
        <v>0</v>
      </c>
      <c r="AT442" s="3">
        <f t="shared" ca="1" si="112"/>
        <v>0</v>
      </c>
      <c r="AU442" s="3">
        <f t="shared" ca="1" si="112"/>
        <v>0</v>
      </c>
      <c r="AV442" s="3">
        <f t="shared" ca="1" si="112"/>
        <v>0</v>
      </c>
      <c r="AW442" s="3">
        <f t="shared" ca="1" si="112"/>
        <v>0</v>
      </c>
      <c r="AX442" s="3">
        <f t="shared" ca="1" si="112"/>
        <v>0</v>
      </c>
    </row>
    <row r="443" spans="1:50" ht="15" customHeight="1" x14ac:dyDescent="0.25">
      <c r="A443" s="86"/>
      <c r="B443" s="235"/>
      <c r="C443" s="604"/>
      <c r="D443" s="162"/>
      <c r="E443" s="48"/>
      <c r="F443" s="48"/>
      <c r="G443" s="48"/>
      <c r="H443" s="48"/>
      <c r="I443" s="48"/>
      <c r="J443" s="48"/>
      <c r="K443" s="48"/>
      <c r="L443" s="48"/>
      <c r="M443" s="48"/>
      <c r="N443" s="48"/>
      <c r="O443" s="48"/>
      <c r="P443" s="48"/>
      <c r="Q443" s="48"/>
      <c r="R443" s="48"/>
      <c r="S443" s="48"/>
      <c r="T443" s="48"/>
      <c r="U443" s="48"/>
      <c r="V443" s="48"/>
      <c r="W443" s="48"/>
      <c r="X443" s="48"/>
      <c r="Y443" s="48"/>
      <c r="Z443" s="48"/>
      <c r="AA443" s="48"/>
      <c r="AB443" s="48"/>
      <c r="AC443" s="48"/>
      <c r="AD443" s="48"/>
      <c r="AE443" s="48"/>
      <c r="AF443" s="48"/>
      <c r="AG443" s="48"/>
      <c r="AH443" s="48"/>
      <c r="AI443" s="48"/>
      <c r="AJ443" s="48"/>
      <c r="AK443" s="48"/>
      <c r="AL443" s="48"/>
      <c r="AM443" s="48"/>
      <c r="AN443" s="48"/>
      <c r="AO443" s="48"/>
      <c r="AP443" s="48"/>
      <c r="AQ443" s="48"/>
      <c r="AR443" s="48"/>
      <c r="AS443" s="48"/>
      <c r="AT443" s="48"/>
      <c r="AU443" s="48"/>
      <c r="AV443" s="48"/>
      <c r="AW443" s="48"/>
      <c r="AX443" s="48"/>
    </row>
    <row r="444" spans="1:50" ht="15" customHeight="1" x14ac:dyDescent="0.25">
      <c r="A444" s="86"/>
      <c r="B444" s="235"/>
      <c r="C444" s="604" t="str">
        <f>Translate!$E$489</f>
        <v>Share of net revenues after royalty</v>
      </c>
      <c r="D444" s="162"/>
      <c r="E444" s="52"/>
      <c r="F444" s="162"/>
      <c r="G444" s="52"/>
      <c r="H444" s="52"/>
      <c r="I444" s="89"/>
      <c r="J444" s="56"/>
      <c r="K444" s="56"/>
      <c r="L444" s="56"/>
      <c r="M444" s="56"/>
      <c r="N444" s="56"/>
      <c r="O444" s="56"/>
      <c r="P444" s="56"/>
      <c r="Q444" s="56"/>
      <c r="R444" s="56"/>
      <c r="S444" s="56"/>
      <c r="T444" s="56"/>
      <c r="U444" s="56"/>
      <c r="V444" s="56"/>
      <c r="W444" s="56"/>
      <c r="X444" s="56"/>
      <c r="Y444" s="56"/>
      <c r="Z444" s="56"/>
      <c r="AA444" s="56"/>
      <c r="AB444" s="56"/>
      <c r="AC444" s="56"/>
      <c r="AD444" s="56"/>
      <c r="AE444" s="56"/>
      <c r="AF444" s="56"/>
      <c r="AG444" s="56"/>
      <c r="AH444" s="56"/>
      <c r="AI444" s="56"/>
      <c r="AJ444" s="56"/>
      <c r="AK444" s="56"/>
      <c r="AL444" s="56"/>
      <c r="AM444" s="56"/>
      <c r="AN444" s="56"/>
      <c r="AO444" s="56"/>
      <c r="AP444" s="56"/>
      <c r="AQ444" s="56"/>
      <c r="AR444" s="56"/>
      <c r="AS444" s="56"/>
      <c r="AT444" s="56"/>
      <c r="AU444" s="56"/>
      <c r="AV444" s="56"/>
      <c r="AW444" s="56"/>
      <c r="AX444" s="56"/>
    </row>
    <row r="445" spans="1:50" ht="15" customHeight="1" x14ac:dyDescent="0.25">
      <c r="A445" s="86"/>
      <c r="B445" s="235"/>
      <c r="C445" s="604"/>
      <c r="D445" s="162"/>
      <c r="E445" s="52" t="str">
        <f xml:space="preserve"> Translate!E$286</f>
        <v>T&amp;R: Share of net revenue after royalty to SOC</v>
      </c>
      <c r="F445" s="162"/>
      <c r="G445" s="52" t="str">
        <f xml:space="preserve"> Translate!E$603</f>
        <v>US$ mn</v>
      </c>
      <c r="H445" s="52"/>
      <c r="I445" s="89">
        <f ca="1" xml:space="preserve"> SUM(K445:AX445)</f>
        <v>9146.9669629460022</v>
      </c>
      <c r="J445" s="56"/>
      <c r="K445" s="56">
        <f t="shared" ref="K445:AX445" ca="1" si="113" xml:space="preserve"> K434 - K441</f>
        <v>0</v>
      </c>
      <c r="L445" s="56">
        <f t="shared" ca="1" si="113"/>
        <v>0</v>
      </c>
      <c r="M445" s="56">
        <f t="shared" ca="1" si="113"/>
        <v>0</v>
      </c>
      <c r="N445" s="56">
        <f t="shared" ca="1" si="113"/>
        <v>0</v>
      </c>
      <c r="O445" s="56">
        <f t="shared" ca="1" si="113"/>
        <v>33.193147297575713</v>
      </c>
      <c r="P445" s="56">
        <f t="shared" ca="1" si="113"/>
        <v>265.97306549088</v>
      </c>
      <c r="Q445" s="56">
        <f t="shared" ca="1" si="113"/>
        <v>542.58505360139532</v>
      </c>
      <c r="R445" s="56">
        <f t="shared" ca="1" si="113"/>
        <v>553.43675467342314</v>
      </c>
      <c r="S445" s="56">
        <f t="shared" ca="1" si="113"/>
        <v>564.50548976689174</v>
      </c>
      <c r="T445" s="56">
        <f t="shared" ca="1" si="113"/>
        <v>575.79559956222943</v>
      </c>
      <c r="U445" s="56">
        <f t="shared" ca="1" si="113"/>
        <v>587.31151155347402</v>
      </c>
      <c r="V445" s="56">
        <f t="shared" ca="1" si="113"/>
        <v>599.05774178454362</v>
      </c>
      <c r="W445" s="56">
        <f t="shared" ca="1" si="113"/>
        <v>611.03889662023448</v>
      </c>
      <c r="X445" s="56">
        <f t="shared" ca="1" si="113"/>
        <v>623.25967455263913</v>
      </c>
      <c r="Y445" s="56">
        <f t="shared" ca="1" si="113"/>
        <v>635.72486804369191</v>
      </c>
      <c r="Z445" s="56">
        <f t="shared" ca="1" si="113"/>
        <v>648.43936540456582</v>
      </c>
      <c r="AA445" s="56">
        <f t="shared" ca="1" si="113"/>
        <v>535.74060369725237</v>
      </c>
      <c r="AB445" s="56">
        <f t="shared" ca="1" si="113"/>
        <v>442.62888677466998</v>
      </c>
      <c r="AC445" s="56">
        <f t="shared" ca="1" si="113"/>
        <v>365.6999862532324</v>
      </c>
      <c r="AD445" s="56">
        <f t="shared" ca="1" si="113"/>
        <v>302.14132864242066</v>
      </c>
      <c r="AE445" s="56">
        <f t="shared" ca="1" si="113"/>
        <v>249.62916572436794</v>
      </c>
      <c r="AF445" s="56">
        <f t="shared" ca="1" si="113"/>
        <v>206.24361672147285</v>
      </c>
      <c r="AG445" s="56">
        <f t="shared" ca="1" si="113"/>
        <v>170.39847613528087</v>
      </c>
      <c r="AH445" s="56">
        <f t="shared" ca="1" si="113"/>
        <v>140.78322098296906</v>
      </c>
      <c r="AI445" s="56">
        <f t="shared" ca="1" si="113"/>
        <v>116.31509717612906</v>
      </c>
      <c r="AJ445" s="56">
        <f t="shared" ca="1" si="113"/>
        <v>96.099533286917818</v>
      </c>
      <c r="AK445" s="56">
        <f t="shared" ca="1" si="113"/>
        <v>79.397434401651509</v>
      </c>
      <c r="AL445" s="56">
        <f t="shared" ca="1" si="113"/>
        <v>65.598160302644459</v>
      </c>
      <c r="AM445" s="56">
        <f t="shared" ca="1" si="113"/>
        <v>54.197200042044869</v>
      </c>
      <c r="AN445" s="56">
        <f t="shared" ca="1" si="113"/>
        <v>44.777726674737472</v>
      </c>
      <c r="AO445" s="56">
        <f t="shared" ca="1" si="113"/>
        <v>36.995357778668108</v>
      </c>
      <c r="AP445" s="56">
        <f t="shared" ca="1" si="113"/>
        <v>0</v>
      </c>
      <c r="AQ445" s="56">
        <f t="shared" ca="1" si="113"/>
        <v>0</v>
      </c>
      <c r="AR445" s="56">
        <f t="shared" ca="1" si="113"/>
        <v>0</v>
      </c>
      <c r="AS445" s="56">
        <f t="shared" ca="1" si="113"/>
        <v>0</v>
      </c>
      <c r="AT445" s="56">
        <f t="shared" ca="1" si="113"/>
        <v>0</v>
      </c>
      <c r="AU445" s="56">
        <f t="shared" ca="1" si="113"/>
        <v>0</v>
      </c>
      <c r="AV445" s="56">
        <f t="shared" ca="1" si="113"/>
        <v>0</v>
      </c>
      <c r="AW445" s="56">
        <f t="shared" ca="1" si="113"/>
        <v>0</v>
      </c>
      <c r="AX445" s="56">
        <f t="shared" ca="1" si="113"/>
        <v>0</v>
      </c>
    </row>
    <row r="446" spans="1:50" ht="15" customHeight="1" x14ac:dyDescent="0.25">
      <c r="A446" s="86"/>
      <c r="B446" s="235"/>
      <c r="C446" s="604"/>
      <c r="D446" s="162"/>
      <c r="E446" s="52" t="str">
        <f xml:space="preserve"> Translate!E$287</f>
        <v>T&amp;R: Share of net revenue after royalty to IOC</v>
      </c>
      <c r="F446" s="162"/>
      <c r="G446" s="52" t="str">
        <f xml:space="preserve"> Translate!E$603</f>
        <v>US$ mn</v>
      </c>
      <c r="H446" s="52"/>
      <c r="I446" s="89">
        <f ca="1" xml:space="preserve"> SUM(K446:AX446)</f>
        <v>36587.867851784009</v>
      </c>
      <c r="J446" s="56"/>
      <c r="K446" s="56">
        <f t="shared" ref="K446:AX446" ca="1" si="114" xml:space="preserve"> K435 - K442</f>
        <v>0</v>
      </c>
      <c r="L446" s="56">
        <f t="shared" ca="1" si="114"/>
        <v>0</v>
      </c>
      <c r="M446" s="56">
        <f t="shared" ca="1" si="114"/>
        <v>0</v>
      </c>
      <c r="N446" s="56">
        <f t="shared" ca="1" si="114"/>
        <v>0</v>
      </c>
      <c r="O446" s="56">
        <f t="shared" ca="1" si="114"/>
        <v>132.77258919030285</v>
      </c>
      <c r="P446" s="56">
        <f t="shared" ca="1" si="114"/>
        <v>1063.89226196352</v>
      </c>
      <c r="Q446" s="56">
        <f t="shared" ca="1" si="114"/>
        <v>2170.3402144055813</v>
      </c>
      <c r="R446" s="56">
        <f t="shared" ca="1" si="114"/>
        <v>2213.7470186936926</v>
      </c>
      <c r="S446" s="56">
        <f t="shared" ca="1" si="114"/>
        <v>2258.021959067567</v>
      </c>
      <c r="T446" s="56">
        <f t="shared" ca="1" si="114"/>
        <v>2303.1823982489177</v>
      </c>
      <c r="U446" s="56">
        <f t="shared" ca="1" si="114"/>
        <v>2349.2460462138961</v>
      </c>
      <c r="V446" s="56">
        <f t="shared" ca="1" si="114"/>
        <v>2396.2309671381745</v>
      </c>
      <c r="W446" s="56">
        <f t="shared" ca="1" si="114"/>
        <v>2444.1555864809379</v>
      </c>
      <c r="X446" s="56">
        <f t="shared" ca="1" si="114"/>
        <v>2493.0386982105565</v>
      </c>
      <c r="Y446" s="56">
        <f t="shared" ca="1" si="114"/>
        <v>2542.8994721747677</v>
      </c>
      <c r="Z446" s="56">
        <f t="shared" ca="1" si="114"/>
        <v>2593.7574616182633</v>
      </c>
      <c r="AA446" s="56">
        <f t="shared" ca="1" si="114"/>
        <v>2142.9624147890095</v>
      </c>
      <c r="AB446" s="56">
        <f t="shared" ca="1" si="114"/>
        <v>1770.5155470986799</v>
      </c>
      <c r="AC446" s="56">
        <f t="shared" ca="1" si="114"/>
        <v>1462.7999450129296</v>
      </c>
      <c r="AD446" s="56">
        <f t="shared" ca="1" si="114"/>
        <v>1208.5653145696826</v>
      </c>
      <c r="AE446" s="56">
        <f t="shared" ca="1" si="114"/>
        <v>998.51666289747175</v>
      </c>
      <c r="AF446" s="56">
        <f t="shared" ca="1" si="114"/>
        <v>824.97446688589139</v>
      </c>
      <c r="AG446" s="56">
        <f t="shared" ca="1" si="114"/>
        <v>681.59390454112349</v>
      </c>
      <c r="AH446" s="56">
        <f t="shared" ca="1" si="114"/>
        <v>563.13288393187622</v>
      </c>
      <c r="AI446" s="56">
        <f t="shared" ca="1" si="114"/>
        <v>465.26038870451623</v>
      </c>
      <c r="AJ446" s="56">
        <f t="shared" ca="1" si="114"/>
        <v>384.39813314767127</v>
      </c>
      <c r="AK446" s="56">
        <f t="shared" ca="1" si="114"/>
        <v>317.58973760660604</v>
      </c>
      <c r="AL446" s="56">
        <f t="shared" ca="1" si="114"/>
        <v>262.39264121057784</v>
      </c>
      <c r="AM446" s="56">
        <f t="shared" ca="1" si="114"/>
        <v>216.78880016817948</v>
      </c>
      <c r="AN446" s="56">
        <f t="shared" ca="1" si="114"/>
        <v>179.11090669894989</v>
      </c>
      <c r="AO446" s="56">
        <f t="shared" ca="1" si="114"/>
        <v>147.98143111467243</v>
      </c>
      <c r="AP446" s="56">
        <f t="shared" ca="1" si="114"/>
        <v>0</v>
      </c>
      <c r="AQ446" s="56">
        <f t="shared" ca="1" si="114"/>
        <v>0</v>
      </c>
      <c r="AR446" s="56">
        <f t="shared" ca="1" si="114"/>
        <v>0</v>
      </c>
      <c r="AS446" s="56">
        <f t="shared" ca="1" si="114"/>
        <v>0</v>
      </c>
      <c r="AT446" s="56">
        <f t="shared" ca="1" si="114"/>
        <v>0</v>
      </c>
      <c r="AU446" s="56">
        <f t="shared" ca="1" si="114"/>
        <v>0</v>
      </c>
      <c r="AV446" s="56">
        <f t="shared" ca="1" si="114"/>
        <v>0</v>
      </c>
      <c r="AW446" s="56">
        <f t="shared" ca="1" si="114"/>
        <v>0</v>
      </c>
      <c r="AX446" s="56">
        <f t="shared" ca="1" si="114"/>
        <v>0</v>
      </c>
    </row>
    <row r="447" spans="1:50" ht="15" customHeight="1" x14ac:dyDescent="0.25">
      <c r="A447" s="86"/>
      <c r="B447" s="235"/>
      <c r="C447" s="604"/>
      <c r="D447" s="162"/>
      <c r="E447" s="52"/>
      <c r="F447" s="162"/>
      <c r="G447" s="52"/>
      <c r="H447" s="52"/>
      <c r="I447" s="89"/>
      <c r="J447" s="56"/>
      <c r="K447" s="56"/>
      <c r="L447" s="56"/>
      <c r="M447" s="56"/>
      <c r="N447" s="56"/>
      <c r="O447" s="56"/>
      <c r="P447" s="56"/>
      <c r="Q447" s="56"/>
      <c r="R447" s="56"/>
      <c r="S447" s="56"/>
      <c r="T447" s="56"/>
      <c r="U447" s="56"/>
      <c r="V447" s="56"/>
      <c r="W447" s="56"/>
      <c r="X447" s="56"/>
      <c r="Y447" s="56"/>
      <c r="Z447" s="56"/>
      <c r="AA447" s="56"/>
      <c r="AB447" s="56"/>
      <c r="AC447" s="56"/>
      <c r="AD447" s="56"/>
      <c r="AE447" s="56"/>
      <c r="AF447" s="56"/>
      <c r="AG447" s="56"/>
      <c r="AH447" s="56"/>
      <c r="AI447" s="56"/>
      <c r="AJ447" s="56"/>
      <c r="AK447" s="56"/>
      <c r="AL447" s="56"/>
      <c r="AM447" s="56"/>
      <c r="AN447" s="56"/>
      <c r="AO447" s="56"/>
      <c r="AP447" s="56"/>
      <c r="AQ447" s="56"/>
      <c r="AR447" s="56"/>
      <c r="AS447" s="56"/>
      <c r="AT447" s="56"/>
      <c r="AU447" s="56"/>
      <c r="AV447" s="56"/>
      <c r="AW447" s="56"/>
      <c r="AX447" s="56"/>
    </row>
    <row r="448" spans="1:50" ht="15" customHeight="1" x14ac:dyDescent="0.25">
      <c r="A448" s="86"/>
      <c r="B448" s="235" t="str">
        <f xml:space="preserve"> Translate!E$604</f>
        <v>Check</v>
      </c>
      <c r="C448" s="604"/>
      <c r="D448" s="162"/>
      <c r="E448" s="52"/>
      <c r="F448" s="162"/>
      <c r="G448" s="52"/>
      <c r="H448" s="52"/>
      <c r="I448" s="89"/>
      <c r="J448" s="56"/>
      <c r="K448" s="56"/>
      <c r="L448" s="56"/>
      <c r="M448" s="56"/>
      <c r="N448" s="56"/>
      <c r="O448" s="56"/>
      <c r="P448" s="56"/>
      <c r="Q448" s="56"/>
      <c r="R448" s="56"/>
      <c r="S448" s="56"/>
      <c r="T448" s="56"/>
      <c r="U448" s="56"/>
      <c r="V448" s="56"/>
      <c r="W448" s="56"/>
      <c r="X448" s="56"/>
      <c r="Y448" s="56"/>
      <c r="Z448" s="56"/>
      <c r="AA448" s="56"/>
      <c r="AB448" s="56"/>
      <c r="AC448" s="56"/>
      <c r="AD448" s="56"/>
      <c r="AE448" s="56"/>
      <c r="AF448" s="56"/>
      <c r="AG448" s="56"/>
      <c r="AH448" s="56"/>
      <c r="AI448" s="56"/>
      <c r="AJ448" s="56"/>
      <c r="AK448" s="56"/>
      <c r="AL448" s="56"/>
      <c r="AM448" s="56"/>
      <c r="AN448" s="56"/>
      <c r="AO448" s="56"/>
      <c r="AP448" s="56"/>
      <c r="AQ448" s="56"/>
      <c r="AR448" s="56"/>
      <c r="AS448" s="56"/>
      <c r="AT448" s="56"/>
      <c r="AU448" s="56"/>
      <c r="AV448" s="56"/>
      <c r="AW448" s="56"/>
      <c r="AX448" s="56"/>
    </row>
    <row r="449" spans="1:50" ht="15" customHeight="1" x14ac:dyDescent="0.25">
      <c r="A449" s="86"/>
      <c r="B449" s="235"/>
      <c r="C449" s="604"/>
      <c r="D449" s="162"/>
      <c r="E449" s="52" t="str">
        <f xml:space="preserve"> E430</f>
        <v>Oil revenues after royalty</v>
      </c>
      <c r="F449" s="162">
        <f ca="1" xml:space="preserve"> SUM(K430:AX430) * F424</f>
        <v>45734.83481473002</v>
      </c>
      <c r="G449" s="52">
        <f xml:space="preserve"> G430</f>
        <v>0</v>
      </c>
      <c r="H449" s="52"/>
      <c r="I449" s="89"/>
      <c r="J449" s="56"/>
      <c r="K449" s="56"/>
      <c r="L449" s="56"/>
      <c r="M449" s="56"/>
      <c r="N449" s="56"/>
      <c r="O449" s="56"/>
      <c r="P449" s="56"/>
      <c r="Q449" s="56"/>
      <c r="R449" s="56"/>
      <c r="S449" s="56"/>
      <c r="T449" s="56"/>
      <c r="U449" s="56"/>
      <c r="V449" s="56"/>
      <c r="W449" s="56"/>
      <c r="X449" s="56"/>
      <c r="Y449" s="56"/>
      <c r="Z449" s="56"/>
      <c r="AA449" s="56"/>
      <c r="AB449" s="56"/>
      <c r="AC449" s="56"/>
      <c r="AD449" s="56"/>
      <c r="AE449" s="56"/>
      <c r="AF449" s="56"/>
      <c r="AG449" s="56"/>
      <c r="AH449" s="56"/>
      <c r="AI449" s="56"/>
      <c r="AJ449" s="56"/>
      <c r="AK449" s="56"/>
      <c r="AL449" s="56"/>
      <c r="AM449" s="56"/>
      <c r="AN449" s="56"/>
      <c r="AO449" s="56"/>
      <c r="AP449" s="56"/>
      <c r="AQ449" s="56"/>
      <c r="AR449" s="56"/>
      <c r="AS449" s="56"/>
      <c r="AT449" s="56"/>
      <c r="AU449" s="56"/>
      <c r="AV449" s="56"/>
      <c r="AW449" s="56"/>
      <c r="AX449" s="56"/>
    </row>
    <row r="450" spans="1:50" ht="15" customHeight="1" x14ac:dyDescent="0.25">
      <c r="A450" s="86"/>
      <c r="B450" s="235"/>
      <c r="C450" s="604"/>
      <c r="D450" s="162"/>
      <c r="E450" s="52" t="str">
        <f xml:space="preserve"> E445</f>
        <v>T&amp;R: Share of net revenue after royalty to SOC</v>
      </c>
      <c r="F450" s="162">
        <f ca="1" xml:space="preserve"> SUM(K445:AX445)</f>
        <v>9146.9669629460022</v>
      </c>
      <c r="G450" s="52" t="str">
        <f xml:space="preserve"> G445</f>
        <v>US$ mn</v>
      </c>
      <c r="H450" s="52"/>
      <c r="I450" s="89"/>
      <c r="J450" s="56"/>
      <c r="K450" s="56"/>
      <c r="L450" s="56"/>
      <c r="M450" s="56"/>
      <c r="N450" s="56"/>
      <c r="O450" s="56"/>
      <c r="P450" s="56"/>
      <c r="Q450" s="56"/>
      <c r="R450" s="56"/>
      <c r="S450" s="56"/>
      <c r="T450" s="56"/>
      <c r="U450" s="56"/>
      <c r="V450" s="56"/>
      <c r="W450" s="56"/>
      <c r="X450" s="56"/>
      <c r="Y450" s="56"/>
      <c r="Z450" s="56"/>
      <c r="AA450" s="56"/>
      <c r="AB450" s="56"/>
      <c r="AC450" s="56"/>
      <c r="AD450" s="56"/>
      <c r="AE450" s="56"/>
      <c r="AF450" s="56"/>
      <c r="AG450" s="56"/>
      <c r="AH450" s="56"/>
      <c r="AI450" s="56"/>
      <c r="AJ450" s="56"/>
      <c r="AK450" s="56"/>
      <c r="AL450" s="56"/>
      <c r="AM450" s="56"/>
      <c r="AN450" s="56"/>
      <c r="AO450" s="56"/>
      <c r="AP450" s="56"/>
      <c r="AQ450" s="56"/>
      <c r="AR450" s="56"/>
      <c r="AS450" s="56"/>
      <c r="AT450" s="56"/>
      <c r="AU450" s="56"/>
      <c r="AV450" s="56"/>
      <c r="AW450" s="56"/>
      <c r="AX450" s="56"/>
    </row>
    <row r="451" spans="1:50" ht="15" customHeight="1" x14ac:dyDescent="0.25">
      <c r="A451" s="86"/>
      <c r="B451" s="235"/>
      <c r="C451" s="604"/>
      <c r="D451" s="162"/>
      <c r="E451" s="52" t="str">
        <f xml:space="preserve"> E446</f>
        <v>T&amp;R: Share of net revenue after royalty to IOC</v>
      </c>
      <c r="F451" s="162">
        <f ca="1" xml:space="preserve"> SUM(K446:AX446)</f>
        <v>36587.867851784009</v>
      </c>
      <c r="G451" s="52" t="str">
        <f xml:space="preserve"> G446</f>
        <v>US$ mn</v>
      </c>
      <c r="H451" s="52"/>
      <c r="I451" s="89"/>
      <c r="J451" s="56"/>
      <c r="K451" s="56"/>
      <c r="L451" s="56"/>
      <c r="M451" s="56"/>
      <c r="N451" s="56"/>
      <c r="O451" s="56"/>
      <c r="P451" s="56"/>
      <c r="Q451" s="56"/>
      <c r="R451" s="56"/>
      <c r="S451" s="56"/>
      <c r="T451" s="56"/>
      <c r="U451" s="56"/>
      <c r="V451" s="56"/>
      <c r="W451" s="56"/>
      <c r="X451" s="56"/>
      <c r="Y451" s="56"/>
      <c r="Z451" s="56"/>
      <c r="AA451" s="56"/>
      <c r="AB451" s="56"/>
      <c r="AC451" s="56"/>
      <c r="AD451" s="56"/>
      <c r="AE451" s="56"/>
      <c r="AF451" s="56"/>
      <c r="AG451" s="56"/>
      <c r="AH451" s="56"/>
      <c r="AI451" s="56"/>
      <c r="AJ451" s="56"/>
      <c r="AK451" s="56"/>
      <c r="AL451" s="56"/>
      <c r="AM451" s="56"/>
      <c r="AN451" s="56"/>
      <c r="AO451" s="56"/>
      <c r="AP451" s="56"/>
      <c r="AQ451" s="56"/>
      <c r="AR451" s="56"/>
      <c r="AS451" s="56"/>
      <c r="AT451" s="56"/>
      <c r="AU451" s="56"/>
      <c r="AV451" s="56"/>
      <c r="AW451" s="56"/>
      <c r="AX451" s="56"/>
    </row>
    <row r="452" spans="1:50" ht="15" customHeight="1" x14ac:dyDescent="0.25">
      <c r="A452" s="86"/>
      <c r="B452" s="235"/>
      <c r="C452" s="604"/>
      <c r="D452" s="162"/>
      <c r="E452" s="52" t="str">
        <f xml:space="preserve"> Translate!E$755 &amp; " " &amp; Translate!E$288</f>
        <v>Check:  Revenue allocation under T&amp;R regime</v>
      </c>
      <c r="F452" s="157">
        <f ca="1" xml:space="preserve"> IF( ABS( F449 - F450 - F451) &gt; CHK_TOL, 1, 0)</f>
        <v>0</v>
      </c>
      <c r="G452" s="52" t="str">
        <f xml:space="preserve"> Translate!E$604</f>
        <v>Check</v>
      </c>
      <c r="H452" s="52"/>
      <c r="I452" s="89"/>
      <c r="J452" s="56"/>
      <c r="K452" s="56"/>
      <c r="L452" s="56"/>
      <c r="M452" s="56"/>
      <c r="N452" s="56"/>
      <c r="O452" s="56"/>
      <c r="P452" s="56"/>
      <c r="Q452" s="56"/>
      <c r="R452" s="56"/>
      <c r="S452" s="56"/>
      <c r="T452" s="56"/>
      <c r="U452" s="56"/>
      <c r="V452" s="56"/>
      <c r="W452" s="56"/>
      <c r="X452" s="56"/>
      <c r="Y452" s="56"/>
      <c r="Z452" s="56"/>
      <c r="AA452" s="56"/>
      <c r="AB452" s="56"/>
      <c r="AC452" s="56"/>
      <c r="AD452" s="56"/>
      <c r="AE452" s="56"/>
      <c r="AF452" s="56"/>
      <c r="AG452" s="56"/>
      <c r="AH452" s="56"/>
      <c r="AI452" s="56"/>
      <c r="AJ452" s="56"/>
      <c r="AK452" s="56"/>
      <c r="AL452" s="56"/>
      <c r="AM452" s="56"/>
      <c r="AN452" s="56"/>
      <c r="AO452" s="56"/>
      <c r="AP452" s="56"/>
      <c r="AQ452" s="56"/>
      <c r="AR452" s="56"/>
      <c r="AS452" s="56"/>
      <c r="AT452" s="56"/>
      <c r="AU452" s="56"/>
      <c r="AV452" s="56"/>
      <c r="AW452" s="56"/>
      <c r="AX452" s="56"/>
    </row>
    <row r="453" spans="1:50" ht="15" customHeight="1" x14ac:dyDescent="0.25">
      <c r="A453" s="86"/>
      <c r="B453" s="235"/>
      <c r="C453" s="604"/>
      <c r="D453" s="162"/>
      <c r="E453" s="52"/>
      <c r="F453" s="162"/>
      <c r="G453" s="52"/>
      <c r="H453" s="52"/>
      <c r="I453" s="89"/>
      <c r="J453" s="56"/>
      <c r="K453" s="56"/>
      <c r="L453" s="56"/>
      <c r="M453" s="56"/>
      <c r="N453" s="56"/>
      <c r="O453" s="56"/>
      <c r="P453" s="56"/>
      <c r="Q453" s="56"/>
      <c r="R453" s="56"/>
      <c r="S453" s="56"/>
      <c r="T453" s="56"/>
      <c r="U453" s="56"/>
      <c r="V453" s="56"/>
      <c r="W453" s="56"/>
      <c r="X453" s="56"/>
      <c r="Y453" s="56"/>
      <c r="Z453" s="56"/>
      <c r="AA453" s="56"/>
      <c r="AB453" s="56"/>
      <c r="AC453" s="56"/>
      <c r="AD453" s="56"/>
      <c r="AE453" s="56"/>
      <c r="AF453" s="56"/>
      <c r="AG453" s="56"/>
      <c r="AH453" s="56"/>
      <c r="AI453" s="56"/>
      <c r="AJ453" s="56"/>
      <c r="AK453" s="56"/>
      <c r="AL453" s="56"/>
      <c r="AM453" s="56"/>
      <c r="AN453" s="56"/>
      <c r="AO453" s="56"/>
      <c r="AP453" s="56"/>
      <c r="AQ453" s="56"/>
      <c r="AR453" s="56"/>
      <c r="AS453" s="56"/>
      <c r="AT453" s="56"/>
      <c r="AU453" s="56"/>
      <c r="AV453" s="56"/>
      <c r="AW453" s="56"/>
      <c r="AX453" s="56"/>
    </row>
    <row r="454" spans="1:50" ht="15" customHeight="1" x14ac:dyDescent="0.25">
      <c r="A454" s="86"/>
      <c r="B454" s="235"/>
      <c r="C454" s="604"/>
      <c r="D454" s="162"/>
      <c r="E454" s="52"/>
      <c r="F454" s="162"/>
      <c r="G454" s="52"/>
      <c r="H454" s="52"/>
      <c r="I454" s="89"/>
      <c r="J454" s="56"/>
      <c r="K454" s="56"/>
      <c r="L454" s="56"/>
      <c r="M454" s="56"/>
      <c r="N454" s="56"/>
      <c r="O454" s="56"/>
      <c r="P454" s="56"/>
      <c r="Q454" s="56"/>
      <c r="R454" s="56"/>
      <c r="S454" s="56"/>
      <c r="T454" s="56"/>
      <c r="U454" s="56"/>
      <c r="V454" s="56"/>
      <c r="W454" s="56"/>
      <c r="X454" s="56"/>
      <c r="Y454" s="56"/>
      <c r="Z454" s="56"/>
      <c r="AA454" s="56"/>
      <c r="AB454" s="56"/>
      <c r="AC454" s="56"/>
      <c r="AD454" s="56"/>
      <c r="AE454" s="56"/>
      <c r="AF454" s="56"/>
      <c r="AG454" s="56"/>
      <c r="AH454" s="56"/>
      <c r="AI454" s="56"/>
      <c r="AJ454" s="56"/>
      <c r="AK454" s="56"/>
      <c r="AL454" s="56"/>
      <c r="AM454" s="56"/>
      <c r="AN454" s="56"/>
      <c r="AO454" s="56"/>
      <c r="AP454" s="56"/>
      <c r="AQ454" s="56"/>
      <c r="AR454" s="56"/>
      <c r="AS454" s="56"/>
      <c r="AT454" s="56"/>
      <c r="AU454" s="56"/>
      <c r="AV454" s="56"/>
      <c r="AW454" s="56"/>
      <c r="AX454" s="56"/>
    </row>
    <row r="455" spans="1:50" ht="15" customHeight="1" x14ac:dyDescent="0.25">
      <c r="A455" s="202" t="str">
        <f>Translate!$E$469</f>
        <v>Production sharing: JV cost recovery</v>
      </c>
      <c r="B455" s="781"/>
      <c r="C455" s="610"/>
      <c r="D455" s="204"/>
      <c r="E455" s="202"/>
      <c r="F455" s="204"/>
      <c r="G455" s="202"/>
      <c r="H455" s="202"/>
      <c r="I455" s="202"/>
      <c r="J455" s="202"/>
      <c r="K455" s="202"/>
      <c r="L455" s="202"/>
      <c r="M455" s="202"/>
      <c r="N455" s="202"/>
      <c r="O455" s="202"/>
      <c r="P455" s="202"/>
      <c r="Q455" s="202"/>
      <c r="R455" s="202"/>
      <c r="S455" s="202"/>
      <c r="T455" s="202"/>
      <c r="U455" s="202"/>
      <c r="V455" s="202"/>
      <c r="W455" s="202"/>
      <c r="X455" s="202"/>
      <c r="Y455" s="202"/>
      <c r="Z455" s="202"/>
      <c r="AA455" s="202"/>
      <c r="AB455" s="202"/>
      <c r="AC455" s="202"/>
      <c r="AD455" s="202"/>
      <c r="AE455" s="202"/>
      <c r="AF455" s="202"/>
      <c r="AG455" s="202"/>
      <c r="AH455" s="202"/>
      <c r="AI455" s="202"/>
      <c r="AJ455" s="202"/>
      <c r="AK455" s="202"/>
      <c r="AL455" s="202"/>
      <c r="AM455" s="202"/>
      <c r="AN455" s="202"/>
      <c r="AO455" s="202"/>
      <c r="AP455" s="202"/>
      <c r="AQ455" s="202"/>
      <c r="AR455" s="202"/>
      <c r="AS455" s="202"/>
      <c r="AT455" s="202"/>
      <c r="AU455" s="202"/>
      <c r="AV455" s="202"/>
      <c r="AW455" s="202"/>
      <c r="AX455" s="202"/>
    </row>
    <row r="456" spans="1:50" ht="15" customHeight="1" x14ac:dyDescent="0.25">
      <c r="A456" s="187"/>
      <c r="B456" s="672"/>
      <c r="C456" s="635"/>
      <c r="D456" s="254"/>
      <c r="E456" s="187"/>
      <c r="F456" s="254"/>
      <c r="G456" s="187"/>
      <c r="H456" s="187"/>
      <c r="I456" s="187"/>
      <c r="J456" s="187"/>
      <c r="K456" s="187"/>
      <c r="L456" s="187"/>
      <c r="M456" s="187"/>
      <c r="N456" s="187"/>
      <c r="O456" s="187"/>
      <c r="P456" s="187"/>
      <c r="Q456" s="187"/>
      <c r="R456" s="187"/>
      <c r="S456" s="187"/>
      <c r="T456" s="187"/>
      <c r="U456" s="187"/>
      <c r="V456" s="187"/>
      <c r="W456" s="187"/>
      <c r="X456" s="187"/>
      <c r="Y456" s="187"/>
      <c r="Z456" s="187"/>
      <c r="AA456" s="187"/>
      <c r="AB456" s="187"/>
      <c r="AC456" s="187"/>
      <c r="AD456" s="187"/>
      <c r="AE456" s="187"/>
      <c r="AF456" s="187"/>
      <c r="AG456" s="187"/>
      <c r="AH456" s="187"/>
      <c r="AI456" s="187"/>
      <c r="AJ456" s="187"/>
      <c r="AK456" s="187"/>
      <c r="AL456" s="187"/>
      <c r="AM456" s="187"/>
      <c r="AN456" s="187"/>
      <c r="AO456" s="187"/>
      <c r="AP456" s="187"/>
      <c r="AQ456" s="187"/>
      <c r="AR456" s="187"/>
      <c r="AS456" s="187"/>
      <c r="AT456" s="187"/>
      <c r="AU456" s="187"/>
      <c r="AV456" s="187"/>
      <c r="AW456" s="187"/>
      <c r="AX456" s="187"/>
    </row>
    <row r="457" spans="1:50" ht="15" customHeight="1" x14ac:dyDescent="0.25">
      <c r="A457" s="227"/>
      <c r="B457" s="672" t="str">
        <f>Translate!$E$432</f>
        <v>Project costs into cost recovery (on aggregated basis for 100% of JV)</v>
      </c>
      <c r="C457" s="636"/>
      <c r="D457" s="255"/>
      <c r="E457" s="227"/>
      <c r="F457" s="255"/>
      <c r="G457" s="227"/>
      <c r="H457" s="227"/>
      <c r="I457" s="227"/>
      <c r="J457" s="227"/>
      <c r="K457" s="227"/>
      <c r="L457" s="227"/>
      <c r="M457" s="227"/>
      <c r="N457" s="227"/>
      <c r="O457" s="227"/>
      <c r="P457" s="227"/>
      <c r="Q457" s="227"/>
      <c r="R457" s="227"/>
      <c r="S457" s="227"/>
      <c r="T457" s="227"/>
      <c r="U457" s="227"/>
      <c r="V457" s="227"/>
      <c r="W457" s="227"/>
      <c r="X457" s="227"/>
      <c r="Y457" s="227"/>
      <c r="Z457" s="227"/>
      <c r="AA457" s="227"/>
      <c r="AB457" s="227"/>
      <c r="AC457" s="227"/>
      <c r="AD457" s="227"/>
      <c r="AE457" s="227"/>
      <c r="AF457" s="227"/>
      <c r="AG457" s="227"/>
      <c r="AH457" s="227"/>
      <c r="AI457" s="227"/>
      <c r="AJ457" s="227"/>
      <c r="AK457" s="227"/>
      <c r="AL457" s="227"/>
      <c r="AM457" s="227"/>
      <c r="AN457" s="227"/>
      <c r="AO457" s="227"/>
      <c r="AP457" s="227"/>
      <c r="AQ457" s="227"/>
      <c r="AR457" s="227"/>
      <c r="AS457" s="227"/>
      <c r="AT457" s="227"/>
      <c r="AU457" s="227"/>
      <c r="AV457" s="227"/>
      <c r="AW457" s="227"/>
      <c r="AX457" s="227"/>
    </row>
    <row r="458" spans="1:50" ht="15" customHeight="1" x14ac:dyDescent="0.25">
      <c r="A458" s="227"/>
      <c r="B458" s="675"/>
      <c r="C458" s="617" t="str">
        <f>Translate!$E$490</f>
        <v>Interest into cost recovery</v>
      </c>
      <c r="D458" s="255"/>
      <c r="E458" s="141"/>
      <c r="F458" s="445"/>
      <c r="G458" s="141"/>
      <c r="H458" s="55"/>
      <c r="I458" s="55"/>
      <c r="J458" s="55"/>
      <c r="K458" s="55"/>
      <c r="L458" s="55"/>
      <c r="M458" s="55"/>
      <c r="N458" s="55"/>
      <c r="O458" s="55"/>
      <c r="P458" s="55"/>
      <c r="Q458" s="55"/>
      <c r="R458" s="55"/>
      <c r="S458" s="55"/>
      <c r="T458" s="55"/>
      <c r="U458" s="55"/>
      <c r="V458" s="55"/>
      <c r="W458" s="55"/>
      <c r="X458" s="55"/>
      <c r="Y458" s="55"/>
      <c r="Z458" s="55"/>
      <c r="AA458" s="55"/>
      <c r="AB458" s="55"/>
      <c r="AC458" s="55"/>
      <c r="AD458" s="55"/>
      <c r="AE458" s="55"/>
      <c r="AF458" s="55"/>
      <c r="AG458" s="55"/>
      <c r="AH458" s="55"/>
      <c r="AI458" s="55"/>
      <c r="AJ458" s="55"/>
      <c r="AK458" s="55"/>
      <c r="AL458" s="55"/>
      <c r="AM458" s="55"/>
      <c r="AN458" s="55"/>
      <c r="AO458" s="55"/>
      <c r="AP458" s="55"/>
      <c r="AQ458" s="55"/>
      <c r="AR458" s="55"/>
      <c r="AS458" s="55"/>
      <c r="AT458" s="55"/>
      <c r="AU458" s="55"/>
      <c r="AV458" s="55"/>
      <c r="AW458" s="55"/>
      <c r="AX458" s="55"/>
    </row>
    <row r="459" spans="1:50" ht="15" customHeight="1" x14ac:dyDescent="0.25">
      <c r="A459" s="190"/>
      <c r="B459" s="672"/>
      <c r="C459" s="617"/>
      <c r="D459" s="242"/>
      <c r="E459" s="190" t="str">
        <f t="shared" ref="E459:AX459" si="115" xml:space="preserve"> E$378</f>
        <v>Interest capitalized into development costs</v>
      </c>
      <c r="F459" s="242">
        <f t="shared" si="115"/>
        <v>0</v>
      </c>
      <c r="G459" s="190" t="str">
        <f t="shared" si="115"/>
        <v>US$ mn</v>
      </c>
      <c r="H459" s="190">
        <f t="shared" si="115"/>
        <v>0</v>
      </c>
      <c r="I459" s="190">
        <f t="shared" ca="1" si="115"/>
        <v>44.11659910987558</v>
      </c>
      <c r="J459" s="190">
        <f t="shared" si="115"/>
        <v>0</v>
      </c>
      <c r="K459" s="190">
        <f t="shared" ca="1" si="115"/>
        <v>0</v>
      </c>
      <c r="L459" s="190">
        <f t="shared" ca="1" si="115"/>
        <v>0.90320999999999951</v>
      </c>
      <c r="M459" s="190">
        <f t="shared" ca="1" si="115"/>
        <v>7.379767625999996</v>
      </c>
      <c r="N459" s="190">
        <f t="shared" ca="1" si="115"/>
        <v>35.833621483875582</v>
      </c>
      <c r="O459" s="190">
        <f t="shared" ca="1" si="115"/>
        <v>0</v>
      </c>
      <c r="P459" s="190">
        <f t="shared" ca="1" si="115"/>
        <v>0</v>
      </c>
      <c r="Q459" s="190">
        <f t="shared" ca="1" si="115"/>
        <v>0</v>
      </c>
      <c r="R459" s="190">
        <f t="shared" ca="1" si="115"/>
        <v>0</v>
      </c>
      <c r="S459" s="190">
        <f t="shared" ca="1" si="115"/>
        <v>0</v>
      </c>
      <c r="T459" s="190">
        <f t="shared" ca="1" si="115"/>
        <v>0</v>
      </c>
      <c r="U459" s="190">
        <f t="shared" ca="1" si="115"/>
        <v>0</v>
      </c>
      <c r="V459" s="190">
        <f t="shared" ca="1" si="115"/>
        <v>0</v>
      </c>
      <c r="W459" s="190">
        <f t="shared" ca="1" si="115"/>
        <v>0</v>
      </c>
      <c r="X459" s="190">
        <f t="shared" ca="1" si="115"/>
        <v>0</v>
      </c>
      <c r="Y459" s="190">
        <f t="shared" ca="1" si="115"/>
        <v>0</v>
      </c>
      <c r="Z459" s="190">
        <f t="shared" ca="1" si="115"/>
        <v>0</v>
      </c>
      <c r="AA459" s="190">
        <f t="shared" ca="1" si="115"/>
        <v>0</v>
      </c>
      <c r="AB459" s="190">
        <f t="shared" ca="1" si="115"/>
        <v>0</v>
      </c>
      <c r="AC459" s="190">
        <f t="shared" ca="1" si="115"/>
        <v>0</v>
      </c>
      <c r="AD459" s="190">
        <f t="shared" ca="1" si="115"/>
        <v>0</v>
      </c>
      <c r="AE459" s="190">
        <f t="shared" ca="1" si="115"/>
        <v>0</v>
      </c>
      <c r="AF459" s="190">
        <f t="shared" ca="1" si="115"/>
        <v>0</v>
      </c>
      <c r="AG459" s="190">
        <f t="shared" ca="1" si="115"/>
        <v>0</v>
      </c>
      <c r="AH459" s="190">
        <f t="shared" ca="1" si="115"/>
        <v>0</v>
      </c>
      <c r="AI459" s="190">
        <f t="shared" ca="1" si="115"/>
        <v>0</v>
      </c>
      <c r="AJ459" s="190">
        <f t="shared" ca="1" si="115"/>
        <v>0</v>
      </c>
      <c r="AK459" s="190">
        <f t="shared" ca="1" si="115"/>
        <v>0</v>
      </c>
      <c r="AL459" s="190">
        <f t="shared" ca="1" si="115"/>
        <v>0</v>
      </c>
      <c r="AM459" s="190">
        <f t="shared" ca="1" si="115"/>
        <v>0</v>
      </c>
      <c r="AN459" s="190">
        <f t="shared" ca="1" si="115"/>
        <v>0</v>
      </c>
      <c r="AO459" s="190">
        <f t="shared" ca="1" si="115"/>
        <v>0</v>
      </c>
      <c r="AP459" s="190">
        <f t="shared" ca="1" si="115"/>
        <v>0</v>
      </c>
      <c r="AQ459" s="190">
        <f t="shared" ca="1" si="115"/>
        <v>0</v>
      </c>
      <c r="AR459" s="190">
        <f t="shared" ca="1" si="115"/>
        <v>0</v>
      </c>
      <c r="AS459" s="190">
        <f t="shared" ca="1" si="115"/>
        <v>0</v>
      </c>
      <c r="AT459" s="190">
        <f t="shared" ca="1" si="115"/>
        <v>0</v>
      </c>
      <c r="AU459" s="190">
        <f t="shared" ca="1" si="115"/>
        <v>0</v>
      </c>
      <c r="AV459" s="190">
        <f t="shared" ca="1" si="115"/>
        <v>0</v>
      </c>
      <c r="AW459" s="190">
        <f t="shared" ca="1" si="115"/>
        <v>0</v>
      </c>
      <c r="AX459" s="190">
        <f t="shared" ca="1" si="115"/>
        <v>0</v>
      </c>
    </row>
    <row r="460" spans="1:50" ht="15" customHeight="1" x14ac:dyDescent="0.25">
      <c r="A460" s="190"/>
      <c r="B460" s="672"/>
      <c r="C460" s="617"/>
      <c r="D460" s="242"/>
      <c r="E460" s="190" t="str">
        <f t="shared" ref="E460:AX460" si="116" xml:space="preserve"> E$379</f>
        <v>Interest expensed</v>
      </c>
      <c r="F460" s="242">
        <f t="shared" si="116"/>
        <v>0</v>
      </c>
      <c r="G460" s="190" t="str">
        <f t="shared" si="116"/>
        <v>US$ mn</v>
      </c>
      <c r="H460" s="190">
        <f t="shared" si="116"/>
        <v>0</v>
      </c>
      <c r="I460" s="190">
        <f t="shared" ca="1" si="116"/>
        <v>1335.8155583466985</v>
      </c>
      <c r="J460" s="190">
        <f t="shared" si="116"/>
        <v>0</v>
      </c>
      <c r="K460" s="190">
        <f t="shared" ca="1" si="116"/>
        <v>0</v>
      </c>
      <c r="L460" s="190">
        <f t="shared" ca="1" si="116"/>
        <v>0</v>
      </c>
      <c r="M460" s="190">
        <f t="shared" ca="1" si="116"/>
        <v>0</v>
      </c>
      <c r="N460" s="190">
        <f t="shared" ca="1" si="116"/>
        <v>0</v>
      </c>
      <c r="O460" s="190">
        <f t="shared" ca="1" si="116"/>
        <v>83.203443411279665</v>
      </c>
      <c r="P460" s="190">
        <f t="shared" ca="1" si="116"/>
        <v>151.47925506402157</v>
      </c>
      <c r="Q460" s="190">
        <f t="shared" ca="1" si="116"/>
        <v>200.20597452207224</v>
      </c>
      <c r="R460" s="190">
        <f t="shared" ca="1" si="116"/>
        <v>180.18537706986501</v>
      </c>
      <c r="S460" s="190">
        <f t="shared" ca="1" si="116"/>
        <v>160.16477961765779</v>
      </c>
      <c r="T460" s="190">
        <f t="shared" ca="1" si="116"/>
        <v>140.14418216545056</v>
      </c>
      <c r="U460" s="190">
        <f t="shared" ca="1" si="116"/>
        <v>120.12358471324332</v>
      </c>
      <c r="V460" s="190">
        <f t="shared" ca="1" si="116"/>
        <v>100.10298726103611</v>
      </c>
      <c r="W460" s="190">
        <f t="shared" ca="1" si="116"/>
        <v>80.082389808828893</v>
      </c>
      <c r="X460" s="190">
        <f t="shared" ca="1" si="116"/>
        <v>60.061792356621659</v>
      </c>
      <c r="Y460" s="190">
        <f t="shared" ca="1" si="116"/>
        <v>40.041194904414446</v>
      </c>
      <c r="Z460" s="190">
        <f t="shared" ca="1" si="116"/>
        <v>20.020597452207223</v>
      </c>
      <c r="AA460" s="190">
        <f t="shared" ca="1" si="116"/>
        <v>0</v>
      </c>
      <c r="AB460" s="190">
        <f t="shared" ca="1" si="116"/>
        <v>0</v>
      </c>
      <c r="AC460" s="190">
        <f t="shared" ca="1" si="116"/>
        <v>0</v>
      </c>
      <c r="AD460" s="190">
        <f t="shared" ca="1" si="116"/>
        <v>0</v>
      </c>
      <c r="AE460" s="190">
        <f t="shared" ca="1" si="116"/>
        <v>0</v>
      </c>
      <c r="AF460" s="190">
        <f t="shared" ca="1" si="116"/>
        <v>0</v>
      </c>
      <c r="AG460" s="190">
        <f t="shared" ca="1" si="116"/>
        <v>0</v>
      </c>
      <c r="AH460" s="190">
        <f t="shared" ca="1" si="116"/>
        <v>0</v>
      </c>
      <c r="AI460" s="190">
        <f t="shared" ca="1" si="116"/>
        <v>0</v>
      </c>
      <c r="AJ460" s="190">
        <f t="shared" ca="1" si="116"/>
        <v>0</v>
      </c>
      <c r="AK460" s="190">
        <f t="shared" ca="1" si="116"/>
        <v>0</v>
      </c>
      <c r="AL460" s="190">
        <f t="shared" ca="1" si="116"/>
        <v>0</v>
      </c>
      <c r="AM460" s="190">
        <f t="shared" ca="1" si="116"/>
        <v>0</v>
      </c>
      <c r="AN460" s="190">
        <f t="shared" ca="1" si="116"/>
        <v>0</v>
      </c>
      <c r="AO460" s="190">
        <f t="shared" ca="1" si="116"/>
        <v>0</v>
      </c>
      <c r="AP460" s="190">
        <f t="shared" ca="1" si="116"/>
        <v>0</v>
      </c>
      <c r="AQ460" s="190">
        <f t="shared" ca="1" si="116"/>
        <v>0</v>
      </c>
      <c r="AR460" s="190">
        <f t="shared" ca="1" si="116"/>
        <v>0</v>
      </c>
      <c r="AS460" s="190">
        <f t="shared" ca="1" si="116"/>
        <v>0</v>
      </c>
      <c r="AT460" s="190">
        <f t="shared" ca="1" si="116"/>
        <v>0</v>
      </c>
      <c r="AU460" s="190">
        <f t="shared" ca="1" si="116"/>
        <v>0</v>
      </c>
      <c r="AV460" s="190">
        <f t="shared" ca="1" si="116"/>
        <v>0</v>
      </c>
      <c r="AW460" s="190">
        <f t="shared" ca="1" si="116"/>
        <v>0</v>
      </c>
      <c r="AX460" s="190">
        <f t="shared" ca="1" si="116"/>
        <v>0</v>
      </c>
    </row>
    <row r="461" spans="1:50" ht="15" customHeight="1" x14ac:dyDescent="0.25">
      <c r="A461" s="227"/>
      <c r="B461" s="672"/>
      <c r="C461" s="636"/>
      <c r="D461" s="227"/>
      <c r="E461" s="490" t="str">
        <f xml:space="preserve"> FiscalModel!E$43</f>
        <v>Interest cost recoverable</v>
      </c>
      <c r="F461" s="408" t="str">
        <f xml:space="preserve"> FiscalModel!F$43</f>
        <v>no</v>
      </c>
      <c r="G461" s="490" t="str">
        <f xml:space="preserve"> FiscalModel!G$43</f>
        <v>Switch</v>
      </c>
      <c r="H461" s="55"/>
      <c r="I461" s="55"/>
      <c r="J461" s="55"/>
      <c r="K461" s="55"/>
      <c r="L461" s="55"/>
      <c r="M461" s="55"/>
      <c r="N461" s="55"/>
      <c r="O461" s="55"/>
      <c r="P461" s="55"/>
      <c r="Q461" s="55"/>
      <c r="R461" s="55"/>
      <c r="S461" s="55"/>
      <c r="T461" s="55"/>
      <c r="U461" s="55"/>
      <c r="V461" s="55"/>
      <c r="W461" s="55"/>
      <c r="X461" s="55"/>
      <c r="Y461" s="55"/>
      <c r="Z461" s="55"/>
      <c r="AA461" s="55"/>
      <c r="AB461" s="55"/>
      <c r="AC461" s="55"/>
      <c r="AD461" s="55"/>
      <c r="AE461" s="55"/>
      <c r="AF461" s="55"/>
      <c r="AG461" s="55"/>
      <c r="AH461" s="55"/>
      <c r="AI461" s="55"/>
      <c r="AJ461" s="55"/>
      <c r="AK461" s="55"/>
      <c r="AL461" s="55"/>
      <c r="AM461" s="55"/>
      <c r="AN461" s="55"/>
      <c r="AO461" s="55"/>
      <c r="AP461" s="55"/>
      <c r="AQ461" s="55"/>
      <c r="AR461" s="55"/>
      <c r="AS461" s="55"/>
      <c r="AT461" s="55"/>
      <c r="AU461" s="55"/>
      <c r="AV461" s="55"/>
      <c r="AW461" s="55"/>
      <c r="AX461" s="55"/>
    </row>
    <row r="462" spans="1:50" ht="15" customHeight="1" x14ac:dyDescent="0.25">
      <c r="B462" s="675"/>
      <c r="C462" s="615"/>
      <c r="D462" s="48"/>
      <c r="E462" s="222" t="str">
        <f>Inputs!E$87</f>
        <v>Label: yes</v>
      </c>
      <c r="F462" s="533" t="str">
        <f>Inputs!F$87</f>
        <v>yes</v>
      </c>
      <c r="G462" s="222" t="str">
        <f>Inputs!G$87</f>
        <v>Label</v>
      </c>
      <c r="H462" s="48"/>
      <c r="I462" s="48"/>
    </row>
    <row r="463" spans="1:50" ht="15" customHeight="1" x14ac:dyDescent="0.25">
      <c r="B463" s="675"/>
      <c r="C463" s="615"/>
      <c r="D463" s="48"/>
      <c r="E463" s="222" t="str">
        <f>Inputs!E$88</f>
        <v>Label: no</v>
      </c>
      <c r="F463" s="533" t="str">
        <f>Inputs!F$88</f>
        <v>no</v>
      </c>
      <c r="G463" s="222" t="str">
        <f>Inputs!G$88</f>
        <v>Label</v>
      </c>
      <c r="H463" s="48"/>
      <c r="I463" s="48"/>
    </row>
    <row r="464" spans="1:50" ht="15" customHeight="1" x14ac:dyDescent="0.25">
      <c r="A464" s="190"/>
      <c r="B464" s="672"/>
      <c r="C464" s="617"/>
      <c r="D464" s="242"/>
      <c r="E464" s="256" t="str">
        <f xml:space="preserve"> E459 &amp; " " &amp; Translate!E534</f>
        <v>Interest capitalized into development costs into cost recovery</v>
      </c>
      <c r="F464" s="575"/>
      <c r="G464" s="256" t="str">
        <f xml:space="preserve"> Translate!E$603</f>
        <v>US$ mn</v>
      </c>
      <c r="H464" s="190"/>
      <c r="I464" s="190">
        <f ca="1" xml:space="preserve"> SUM(K464:AX464)</f>
        <v>0</v>
      </c>
      <c r="J464" s="190"/>
      <c r="K464" s="190">
        <f ca="1" xml:space="preserve"> K459 * ( $F461 = $F462)</f>
        <v>0</v>
      </c>
      <c r="L464" s="190">
        <f t="shared" ref="L464:AX464" ca="1" si="117" xml:space="preserve"> L459 * ( $F461 = $F462)</f>
        <v>0</v>
      </c>
      <c r="M464" s="190">
        <f t="shared" ca="1" si="117"/>
        <v>0</v>
      </c>
      <c r="N464" s="190">
        <f t="shared" ca="1" si="117"/>
        <v>0</v>
      </c>
      <c r="O464" s="190">
        <f t="shared" ca="1" si="117"/>
        <v>0</v>
      </c>
      <c r="P464" s="190">
        <f t="shared" ca="1" si="117"/>
        <v>0</v>
      </c>
      <c r="Q464" s="190">
        <f t="shared" ca="1" si="117"/>
        <v>0</v>
      </c>
      <c r="R464" s="190">
        <f t="shared" ca="1" si="117"/>
        <v>0</v>
      </c>
      <c r="S464" s="190">
        <f t="shared" ca="1" si="117"/>
        <v>0</v>
      </c>
      <c r="T464" s="190">
        <f t="shared" ca="1" si="117"/>
        <v>0</v>
      </c>
      <c r="U464" s="190">
        <f t="shared" ca="1" si="117"/>
        <v>0</v>
      </c>
      <c r="V464" s="190">
        <f t="shared" ca="1" si="117"/>
        <v>0</v>
      </c>
      <c r="W464" s="190">
        <f t="shared" ca="1" si="117"/>
        <v>0</v>
      </c>
      <c r="X464" s="190">
        <f t="shared" ca="1" si="117"/>
        <v>0</v>
      </c>
      <c r="Y464" s="190">
        <f t="shared" ca="1" si="117"/>
        <v>0</v>
      </c>
      <c r="Z464" s="190">
        <f t="shared" ca="1" si="117"/>
        <v>0</v>
      </c>
      <c r="AA464" s="190">
        <f t="shared" ca="1" si="117"/>
        <v>0</v>
      </c>
      <c r="AB464" s="190">
        <f t="shared" ca="1" si="117"/>
        <v>0</v>
      </c>
      <c r="AC464" s="190">
        <f t="shared" ca="1" si="117"/>
        <v>0</v>
      </c>
      <c r="AD464" s="190">
        <f t="shared" ca="1" si="117"/>
        <v>0</v>
      </c>
      <c r="AE464" s="190">
        <f t="shared" ca="1" si="117"/>
        <v>0</v>
      </c>
      <c r="AF464" s="190">
        <f t="shared" ca="1" si="117"/>
        <v>0</v>
      </c>
      <c r="AG464" s="190">
        <f t="shared" ca="1" si="117"/>
        <v>0</v>
      </c>
      <c r="AH464" s="190">
        <f t="shared" ca="1" si="117"/>
        <v>0</v>
      </c>
      <c r="AI464" s="190">
        <f t="shared" ca="1" si="117"/>
        <v>0</v>
      </c>
      <c r="AJ464" s="190">
        <f t="shared" ca="1" si="117"/>
        <v>0</v>
      </c>
      <c r="AK464" s="190">
        <f t="shared" ca="1" si="117"/>
        <v>0</v>
      </c>
      <c r="AL464" s="190">
        <f t="shared" ca="1" si="117"/>
        <v>0</v>
      </c>
      <c r="AM464" s="190">
        <f t="shared" ca="1" si="117"/>
        <v>0</v>
      </c>
      <c r="AN464" s="190">
        <f t="shared" ca="1" si="117"/>
        <v>0</v>
      </c>
      <c r="AO464" s="190">
        <f t="shared" ca="1" si="117"/>
        <v>0</v>
      </c>
      <c r="AP464" s="190">
        <f t="shared" ca="1" si="117"/>
        <v>0</v>
      </c>
      <c r="AQ464" s="190">
        <f t="shared" ca="1" si="117"/>
        <v>0</v>
      </c>
      <c r="AR464" s="190">
        <f t="shared" ca="1" si="117"/>
        <v>0</v>
      </c>
      <c r="AS464" s="190">
        <f t="shared" ca="1" si="117"/>
        <v>0</v>
      </c>
      <c r="AT464" s="190">
        <f t="shared" ca="1" si="117"/>
        <v>0</v>
      </c>
      <c r="AU464" s="190">
        <f t="shared" ca="1" si="117"/>
        <v>0</v>
      </c>
      <c r="AV464" s="190">
        <f t="shared" ca="1" si="117"/>
        <v>0</v>
      </c>
      <c r="AW464" s="190">
        <f t="shared" ca="1" si="117"/>
        <v>0</v>
      </c>
      <c r="AX464" s="190">
        <f t="shared" ca="1" si="117"/>
        <v>0</v>
      </c>
    </row>
    <row r="465" spans="1:50" ht="15" customHeight="1" x14ac:dyDescent="0.25">
      <c r="A465" s="227"/>
      <c r="B465" s="672"/>
      <c r="C465" s="636"/>
      <c r="D465" s="255"/>
      <c r="E465" s="256" t="str">
        <f xml:space="preserve"> E460 &amp; " " &amp; Translate!E534</f>
        <v>Interest expensed into cost recovery</v>
      </c>
      <c r="F465" s="575"/>
      <c r="G465" s="256" t="str">
        <f xml:space="preserve"> Translate!E$603</f>
        <v>US$ mn</v>
      </c>
      <c r="H465" s="190"/>
      <c r="I465" s="190">
        <f ca="1" xml:space="preserve"> SUM(K465:AX465)</f>
        <v>0</v>
      </c>
      <c r="J465" s="190"/>
      <c r="K465" s="190">
        <f ca="1" xml:space="preserve"> K460 * ( $F461 = $F462)</f>
        <v>0</v>
      </c>
      <c r="L465" s="190">
        <f t="shared" ref="L465:AX465" ca="1" si="118" xml:space="preserve"> L460 * ( $F461 = $F462)</f>
        <v>0</v>
      </c>
      <c r="M465" s="190">
        <f t="shared" ca="1" si="118"/>
        <v>0</v>
      </c>
      <c r="N465" s="190">
        <f t="shared" ca="1" si="118"/>
        <v>0</v>
      </c>
      <c r="O465" s="190">
        <f t="shared" ca="1" si="118"/>
        <v>0</v>
      </c>
      <c r="P465" s="190">
        <f t="shared" ca="1" si="118"/>
        <v>0</v>
      </c>
      <c r="Q465" s="190">
        <f t="shared" ca="1" si="118"/>
        <v>0</v>
      </c>
      <c r="R465" s="190">
        <f t="shared" ca="1" si="118"/>
        <v>0</v>
      </c>
      <c r="S465" s="190">
        <f t="shared" ca="1" si="118"/>
        <v>0</v>
      </c>
      <c r="T465" s="190">
        <f t="shared" ca="1" si="118"/>
        <v>0</v>
      </c>
      <c r="U465" s="190">
        <f t="shared" ca="1" si="118"/>
        <v>0</v>
      </c>
      <c r="V465" s="190">
        <f t="shared" ca="1" si="118"/>
        <v>0</v>
      </c>
      <c r="W465" s="190">
        <f t="shared" ca="1" si="118"/>
        <v>0</v>
      </c>
      <c r="X465" s="190">
        <f t="shared" ca="1" si="118"/>
        <v>0</v>
      </c>
      <c r="Y465" s="190">
        <f t="shared" ca="1" si="118"/>
        <v>0</v>
      </c>
      <c r="Z465" s="190">
        <f t="shared" ca="1" si="118"/>
        <v>0</v>
      </c>
      <c r="AA465" s="190">
        <f t="shared" ca="1" si="118"/>
        <v>0</v>
      </c>
      <c r="AB465" s="190">
        <f t="shared" ca="1" si="118"/>
        <v>0</v>
      </c>
      <c r="AC465" s="190">
        <f t="shared" ca="1" si="118"/>
        <v>0</v>
      </c>
      <c r="AD465" s="190">
        <f t="shared" ca="1" si="118"/>
        <v>0</v>
      </c>
      <c r="AE465" s="190">
        <f t="shared" ca="1" si="118"/>
        <v>0</v>
      </c>
      <c r="AF465" s="190">
        <f t="shared" ca="1" si="118"/>
        <v>0</v>
      </c>
      <c r="AG465" s="190">
        <f t="shared" ca="1" si="118"/>
        <v>0</v>
      </c>
      <c r="AH465" s="190">
        <f t="shared" ca="1" si="118"/>
        <v>0</v>
      </c>
      <c r="AI465" s="190">
        <f t="shared" ca="1" si="118"/>
        <v>0</v>
      </c>
      <c r="AJ465" s="190">
        <f t="shared" ca="1" si="118"/>
        <v>0</v>
      </c>
      <c r="AK465" s="190">
        <f t="shared" ca="1" si="118"/>
        <v>0</v>
      </c>
      <c r="AL465" s="190">
        <f t="shared" ca="1" si="118"/>
        <v>0</v>
      </c>
      <c r="AM465" s="190">
        <f t="shared" ca="1" si="118"/>
        <v>0</v>
      </c>
      <c r="AN465" s="190">
        <f t="shared" ca="1" si="118"/>
        <v>0</v>
      </c>
      <c r="AO465" s="190">
        <f t="shared" ca="1" si="118"/>
        <v>0</v>
      </c>
      <c r="AP465" s="190">
        <f t="shared" ca="1" si="118"/>
        <v>0</v>
      </c>
      <c r="AQ465" s="190">
        <f t="shared" ca="1" si="118"/>
        <v>0</v>
      </c>
      <c r="AR465" s="190">
        <f t="shared" ca="1" si="118"/>
        <v>0</v>
      </c>
      <c r="AS465" s="190">
        <f t="shared" ca="1" si="118"/>
        <v>0</v>
      </c>
      <c r="AT465" s="190">
        <f t="shared" ca="1" si="118"/>
        <v>0</v>
      </c>
      <c r="AU465" s="190">
        <f t="shared" ca="1" si="118"/>
        <v>0</v>
      </c>
      <c r="AV465" s="190">
        <f t="shared" ca="1" si="118"/>
        <v>0</v>
      </c>
      <c r="AW465" s="190">
        <f t="shared" ca="1" si="118"/>
        <v>0</v>
      </c>
      <c r="AX465" s="190">
        <f t="shared" ca="1" si="118"/>
        <v>0</v>
      </c>
    </row>
    <row r="466" spans="1:50" ht="15" customHeight="1" x14ac:dyDescent="0.25">
      <c r="A466" s="227"/>
      <c r="B466" s="672"/>
      <c r="C466" s="636"/>
      <c r="D466" s="255"/>
      <c r="E466" s="141"/>
      <c r="F466" s="445"/>
      <c r="G466" s="141"/>
      <c r="H466" s="55"/>
      <c r="I466" s="55"/>
      <c r="J466" s="55"/>
      <c r="K466" s="55"/>
      <c r="L466" s="55"/>
      <c r="M466" s="55"/>
      <c r="N466" s="55"/>
      <c r="O466" s="55"/>
      <c r="P466" s="55"/>
      <c r="Q466" s="55"/>
      <c r="R466" s="55"/>
      <c r="S466" s="55"/>
      <c r="T466" s="55"/>
      <c r="U466" s="55"/>
      <c r="V466" s="55"/>
      <c r="W466" s="55"/>
      <c r="X466" s="55"/>
      <c r="Y466" s="55"/>
      <c r="Z466" s="55"/>
      <c r="AA466" s="55"/>
      <c r="AB466" s="55"/>
      <c r="AC466" s="55"/>
      <c r="AD466" s="55"/>
      <c r="AE466" s="55"/>
      <c r="AF466" s="55"/>
      <c r="AG466" s="55"/>
      <c r="AH466" s="55"/>
      <c r="AI466" s="55"/>
      <c r="AJ466" s="55"/>
      <c r="AK466" s="55"/>
      <c r="AL466" s="55"/>
      <c r="AM466" s="55"/>
      <c r="AN466" s="55"/>
      <c r="AO466" s="55"/>
      <c r="AP466" s="55"/>
      <c r="AQ466" s="55"/>
      <c r="AR466" s="55"/>
      <c r="AS466" s="55"/>
      <c r="AT466" s="55"/>
      <c r="AU466" s="55"/>
      <c r="AV466" s="55"/>
      <c r="AW466" s="55"/>
      <c r="AX466" s="55"/>
    </row>
    <row r="467" spans="1:50" ht="15" customHeight="1" x14ac:dyDescent="0.25">
      <c r="A467" s="227"/>
      <c r="B467" s="672"/>
      <c r="C467" s="617" t="str">
        <f xml:space="preserve"> Translate!E$289</f>
        <v>Development and replacement capital costs into cost recovery</v>
      </c>
      <c r="D467" s="255"/>
      <c r="E467" s="141"/>
      <c r="F467" s="445"/>
      <c r="G467" s="141"/>
      <c r="H467" s="55"/>
      <c r="I467" s="55"/>
      <c r="J467" s="55"/>
      <c r="K467" s="55"/>
      <c r="L467" s="55"/>
      <c r="M467" s="55"/>
      <c r="N467" s="55"/>
      <c r="O467" s="55"/>
      <c r="P467" s="55"/>
      <c r="Q467" s="55"/>
      <c r="R467" s="55"/>
      <c r="S467" s="55"/>
      <c r="T467" s="55"/>
      <c r="U467" s="55"/>
      <c r="V467" s="55"/>
      <c r="W467" s="55"/>
      <c r="X467" s="55"/>
      <c r="Y467" s="55"/>
      <c r="Z467" s="55"/>
      <c r="AA467" s="55"/>
      <c r="AB467" s="55"/>
      <c r="AC467" s="55"/>
      <c r="AD467" s="55"/>
      <c r="AE467" s="55"/>
      <c r="AF467" s="55"/>
      <c r="AG467" s="55"/>
      <c r="AH467" s="55"/>
      <c r="AI467" s="55"/>
      <c r="AJ467" s="55"/>
      <c r="AK467" s="55"/>
      <c r="AL467" s="55"/>
      <c r="AM467" s="55"/>
      <c r="AN467" s="55"/>
      <c r="AO467" s="55"/>
      <c r="AP467" s="55"/>
      <c r="AQ467" s="55"/>
      <c r="AR467" s="55"/>
      <c r="AS467" s="55"/>
      <c r="AT467" s="55"/>
      <c r="AU467" s="55"/>
      <c r="AV467" s="55"/>
      <c r="AW467" s="55"/>
      <c r="AX467" s="55"/>
    </row>
    <row r="468" spans="1:50" s="40" customFormat="1" ht="15" customHeight="1" x14ac:dyDescent="0.25">
      <c r="A468" s="355"/>
      <c r="B468" s="672"/>
      <c r="C468" s="637"/>
      <c r="D468" s="356"/>
      <c r="E468" s="140" t="str">
        <f xml:space="preserve"> ProjectCashflows!E$239</f>
        <v>Development costs, after ELT</v>
      </c>
      <c r="F468" s="540">
        <f xml:space="preserve"> ProjectCashflows!F$239</f>
        <v>0</v>
      </c>
      <c r="G468" s="140" t="str">
        <f xml:space="preserve"> ProjectCashflows!G$239</f>
        <v>US$ mn</v>
      </c>
      <c r="H468" s="140">
        <f xml:space="preserve"> ProjectCashflows!H$239</f>
        <v>0</v>
      </c>
      <c r="I468" s="140">
        <f ca="1" xml:space="preserve"> ProjectCashflows!I$239</f>
        <v>10455.572281430788</v>
      </c>
      <c r="J468" s="140">
        <f xml:space="preserve"> ProjectCashflows!J$239</f>
        <v>0</v>
      </c>
      <c r="K468" s="140">
        <f ca="1" xml:space="preserve"> ProjectCashflows!K$239</f>
        <v>0</v>
      </c>
      <c r="L468" s="140">
        <f ca="1" xml:space="preserve"> ProjectCashflows!L$239</f>
        <v>51</v>
      </c>
      <c r="M468" s="140">
        <f ca="1" xml:space="preserve"> ProjectCashflows!M$239</f>
        <v>312.12</v>
      </c>
      <c r="N468" s="140">
        <f ca="1" xml:space="preserve"> ProjectCashflows!N$239</f>
        <v>1273.4495999999999</v>
      </c>
      <c r="O468" s="140">
        <f ca="1" xml:space="preserve"> ProjectCashflows!O$239</f>
        <v>1298.918592</v>
      </c>
      <c r="P468" s="140">
        <f ca="1" xml:space="preserve"> ProjectCashflows!P$239</f>
        <v>2318.5696867199999</v>
      </c>
      <c r="Q468" s="140">
        <f ca="1" xml:space="preserve"> ProjectCashflows!Q$239</f>
        <v>1238.7786611904</v>
      </c>
      <c r="R468" s="140">
        <f ca="1" xml:space="preserve"> ProjectCashflows!R$239</f>
        <v>516.90855044217597</v>
      </c>
      <c r="S468" s="140">
        <f ca="1" xml:space="preserve"> ProjectCashflows!S$239</f>
        <v>292.91484525056643</v>
      </c>
      <c r="T468" s="140">
        <f ca="1" xml:space="preserve"> ProjectCashflows!T$239</f>
        <v>298.77314215557777</v>
      </c>
      <c r="U468" s="140">
        <f ca="1" xml:space="preserve"> ProjectCashflows!U$239</f>
        <v>304.74860499868936</v>
      </c>
      <c r="V468" s="140">
        <f ca="1" xml:space="preserve"> ProjectCashflows!V$239</f>
        <v>310.8435770986631</v>
      </c>
      <c r="W468" s="140">
        <f ca="1" xml:space="preserve"> ProjectCashflows!W$239</f>
        <v>317.06044864063637</v>
      </c>
      <c r="X468" s="140">
        <f ca="1" xml:space="preserve"> ProjectCashflows!X$239</f>
        <v>323.40165761344906</v>
      </c>
      <c r="Y468" s="140">
        <f ca="1" xml:space="preserve"> ProjectCashflows!Y$239</f>
        <v>329.86969076571808</v>
      </c>
      <c r="Z468" s="140">
        <f ca="1" xml:space="preserve"> ProjectCashflows!Z$239</f>
        <v>336.46708458103245</v>
      </c>
      <c r="AA468" s="140">
        <f ca="1" xml:space="preserve"> ProjectCashflows!AA$239</f>
        <v>343.19642627265313</v>
      </c>
      <c r="AB468" s="140">
        <f ca="1" xml:space="preserve"> ProjectCashflows!AB$239</f>
        <v>0</v>
      </c>
      <c r="AC468" s="140">
        <f ca="1" xml:space="preserve"> ProjectCashflows!AC$239</f>
        <v>0</v>
      </c>
      <c r="AD468" s="140">
        <f ca="1" xml:space="preserve"> ProjectCashflows!AD$239</f>
        <v>291.36223450555974</v>
      </c>
      <c r="AE468" s="140">
        <f ca="1" xml:space="preserve"> ProjectCashflows!AE$239</f>
        <v>297.18947919567097</v>
      </c>
      <c r="AF468" s="140">
        <f ca="1" xml:space="preserve"> ProjectCashflows!AF$239</f>
        <v>0</v>
      </c>
      <c r="AG468" s="140">
        <f ca="1" xml:space="preserve"> ProjectCashflows!AG$239</f>
        <v>0</v>
      </c>
      <c r="AH468" s="140">
        <f ca="1" xml:space="preserve"> ProjectCashflows!AH$239</f>
        <v>0</v>
      </c>
      <c r="AI468" s="140">
        <f ca="1" xml:space="preserve"> ProjectCashflows!AI$239</f>
        <v>0</v>
      </c>
      <c r="AJ468" s="140">
        <f ca="1" xml:space="preserve"> ProjectCashflows!AJ$239</f>
        <v>0</v>
      </c>
      <c r="AK468" s="140">
        <f ca="1" xml:space="preserve"> ProjectCashflows!AK$239</f>
        <v>0</v>
      </c>
      <c r="AL468" s="140">
        <f ca="1" xml:space="preserve"> ProjectCashflows!AL$239</f>
        <v>0</v>
      </c>
      <c r="AM468" s="140">
        <f ca="1" xml:space="preserve"> ProjectCashflows!AM$239</f>
        <v>0</v>
      </c>
      <c r="AN468" s="140">
        <f ca="1" xml:space="preserve"> ProjectCashflows!AN$239</f>
        <v>0</v>
      </c>
      <c r="AO468" s="140">
        <f ca="1" xml:space="preserve"> ProjectCashflows!AO$239</f>
        <v>0</v>
      </c>
      <c r="AP468" s="140">
        <f ca="1" xml:space="preserve"> ProjectCashflows!AP$239</f>
        <v>0</v>
      </c>
      <c r="AQ468" s="140">
        <f ca="1" xml:space="preserve"> ProjectCashflows!AQ$239</f>
        <v>0</v>
      </c>
      <c r="AR468" s="140">
        <f ca="1" xml:space="preserve"> ProjectCashflows!AR$239</f>
        <v>0</v>
      </c>
      <c r="AS468" s="140">
        <f ca="1" xml:space="preserve"> ProjectCashflows!AS$239</f>
        <v>0</v>
      </c>
      <c r="AT468" s="140">
        <f ca="1" xml:space="preserve"> ProjectCashflows!AT$239</f>
        <v>0</v>
      </c>
      <c r="AU468" s="140">
        <f ca="1" xml:space="preserve"> ProjectCashflows!AU$239</f>
        <v>0</v>
      </c>
      <c r="AV468" s="140">
        <f ca="1" xml:space="preserve"> ProjectCashflows!AV$239</f>
        <v>0</v>
      </c>
      <c r="AW468" s="140">
        <f ca="1" xml:space="preserve"> ProjectCashflows!AW$239</f>
        <v>0</v>
      </c>
      <c r="AX468" s="140">
        <f ca="1" xml:space="preserve"> ProjectCashflows!AX$239</f>
        <v>0</v>
      </c>
    </row>
    <row r="469" spans="1:50" s="40" customFormat="1" ht="15" customHeight="1" x14ac:dyDescent="0.25">
      <c r="A469" s="290"/>
      <c r="B469" s="174"/>
      <c r="C469" s="638"/>
      <c r="D469" s="357"/>
      <c r="E469" s="140" t="str">
        <f xml:space="preserve"> ProjectCashflows!E$240</f>
        <v>Replacement capital costs, after ELT</v>
      </c>
      <c r="F469" s="540">
        <f xml:space="preserve"> ProjectCashflows!F$240</f>
        <v>0</v>
      </c>
      <c r="G469" s="140" t="str">
        <f xml:space="preserve"> ProjectCashflows!G$240</f>
        <v>US$ mn</v>
      </c>
      <c r="H469" s="140">
        <f xml:space="preserve"> ProjectCashflows!H$240</f>
        <v>0</v>
      </c>
      <c r="I469" s="140">
        <f ca="1" xml:space="preserve"> ProjectCashflows!I$240</f>
        <v>0</v>
      </c>
      <c r="J469" s="140">
        <f xml:space="preserve"> ProjectCashflows!J$240</f>
        <v>0</v>
      </c>
      <c r="K469" s="140">
        <f ca="1" xml:space="preserve"> ProjectCashflows!K$240</f>
        <v>0</v>
      </c>
      <c r="L469" s="140">
        <f ca="1" xml:space="preserve"> ProjectCashflows!L$240</f>
        <v>0</v>
      </c>
      <c r="M469" s="140">
        <f ca="1" xml:space="preserve"> ProjectCashflows!M$240</f>
        <v>0</v>
      </c>
      <c r="N469" s="140">
        <f ca="1" xml:space="preserve"> ProjectCashflows!N$240</f>
        <v>0</v>
      </c>
      <c r="O469" s="140">
        <f ca="1" xml:space="preserve"> ProjectCashflows!O$240</f>
        <v>0</v>
      </c>
      <c r="P469" s="140">
        <f ca="1" xml:space="preserve"> ProjectCashflows!P$240</f>
        <v>0</v>
      </c>
      <c r="Q469" s="140">
        <f ca="1" xml:space="preserve"> ProjectCashflows!Q$240</f>
        <v>0</v>
      </c>
      <c r="R469" s="140">
        <f ca="1" xml:space="preserve"> ProjectCashflows!R$240</f>
        <v>0</v>
      </c>
      <c r="S469" s="140">
        <f ca="1" xml:space="preserve"> ProjectCashflows!S$240</f>
        <v>0</v>
      </c>
      <c r="T469" s="140">
        <f ca="1" xml:space="preserve"> ProjectCashflows!T$240</f>
        <v>0</v>
      </c>
      <c r="U469" s="140">
        <f ca="1" xml:space="preserve"> ProjectCashflows!U$240</f>
        <v>0</v>
      </c>
      <c r="V469" s="140">
        <f ca="1" xml:space="preserve"> ProjectCashflows!V$240</f>
        <v>0</v>
      </c>
      <c r="W469" s="140">
        <f ca="1" xml:space="preserve"> ProjectCashflows!W$240</f>
        <v>0</v>
      </c>
      <c r="X469" s="140">
        <f ca="1" xml:space="preserve"> ProjectCashflows!X$240</f>
        <v>0</v>
      </c>
      <c r="Y469" s="140">
        <f ca="1" xml:space="preserve"> ProjectCashflows!Y$240</f>
        <v>0</v>
      </c>
      <c r="Z469" s="140">
        <f ca="1" xml:space="preserve"> ProjectCashflows!Z$240</f>
        <v>0</v>
      </c>
      <c r="AA469" s="140">
        <f ca="1" xml:space="preserve"> ProjectCashflows!AA$240</f>
        <v>0</v>
      </c>
      <c r="AB469" s="140">
        <f ca="1" xml:space="preserve"> ProjectCashflows!AB$240</f>
        <v>0</v>
      </c>
      <c r="AC469" s="140">
        <f ca="1" xml:space="preserve"> ProjectCashflows!AC$240</f>
        <v>0</v>
      </c>
      <c r="AD469" s="140">
        <f ca="1" xml:space="preserve"> ProjectCashflows!AD$240</f>
        <v>0</v>
      </c>
      <c r="AE469" s="140">
        <f ca="1" xml:space="preserve"> ProjectCashflows!AE$240</f>
        <v>0</v>
      </c>
      <c r="AF469" s="140">
        <f ca="1" xml:space="preserve"> ProjectCashflows!AF$240</f>
        <v>0</v>
      </c>
      <c r="AG469" s="140">
        <f ca="1" xml:space="preserve"> ProjectCashflows!AG$240</f>
        <v>0</v>
      </c>
      <c r="AH469" s="140">
        <f ca="1" xml:space="preserve"> ProjectCashflows!AH$240</f>
        <v>0</v>
      </c>
      <c r="AI469" s="140">
        <f ca="1" xml:space="preserve"> ProjectCashflows!AI$240</f>
        <v>0</v>
      </c>
      <c r="AJ469" s="140">
        <f ca="1" xml:space="preserve"> ProjectCashflows!AJ$240</f>
        <v>0</v>
      </c>
      <c r="AK469" s="140">
        <f ca="1" xml:space="preserve"> ProjectCashflows!AK$240</f>
        <v>0</v>
      </c>
      <c r="AL469" s="140">
        <f ca="1" xml:space="preserve"> ProjectCashflows!AL$240</f>
        <v>0</v>
      </c>
      <c r="AM469" s="140">
        <f ca="1" xml:space="preserve"> ProjectCashflows!AM$240</f>
        <v>0</v>
      </c>
      <c r="AN469" s="140">
        <f ca="1" xml:space="preserve"> ProjectCashflows!AN$240</f>
        <v>0</v>
      </c>
      <c r="AO469" s="140">
        <f ca="1" xml:space="preserve"> ProjectCashflows!AO$240</f>
        <v>0</v>
      </c>
      <c r="AP469" s="140">
        <f ca="1" xml:space="preserve"> ProjectCashflows!AP$240</f>
        <v>0</v>
      </c>
      <c r="AQ469" s="140">
        <f ca="1" xml:space="preserve"> ProjectCashflows!AQ$240</f>
        <v>0</v>
      </c>
      <c r="AR469" s="140">
        <f ca="1" xml:space="preserve"> ProjectCashflows!AR$240</f>
        <v>0</v>
      </c>
      <c r="AS469" s="140">
        <f ca="1" xml:space="preserve"> ProjectCashflows!AS$240</f>
        <v>0</v>
      </c>
      <c r="AT469" s="140">
        <f ca="1" xml:space="preserve"> ProjectCashflows!AT$240</f>
        <v>0</v>
      </c>
      <c r="AU469" s="140">
        <f ca="1" xml:space="preserve"> ProjectCashflows!AU$240</f>
        <v>0</v>
      </c>
      <c r="AV469" s="140">
        <f ca="1" xml:space="preserve"> ProjectCashflows!AV$240</f>
        <v>0</v>
      </c>
      <c r="AW469" s="140">
        <f ca="1" xml:space="preserve"> ProjectCashflows!AW$240</f>
        <v>0</v>
      </c>
      <c r="AX469" s="140">
        <f ca="1" xml:space="preserve"> ProjectCashflows!AX$240</f>
        <v>0</v>
      </c>
    </row>
    <row r="470" spans="1:50" ht="15" customHeight="1" x14ac:dyDescent="0.25">
      <c r="A470" s="227"/>
      <c r="B470" s="672"/>
      <c r="C470" s="636"/>
      <c r="D470" s="255"/>
      <c r="E470" s="55" t="str">
        <f t="shared" ref="E470:AX470" si="119" xml:space="preserve"> E$464</f>
        <v>Interest capitalized into development costs into cost recovery</v>
      </c>
      <c r="F470" s="64">
        <f t="shared" si="119"/>
        <v>0</v>
      </c>
      <c r="G470" s="55" t="str">
        <f t="shared" si="119"/>
        <v>US$ mn</v>
      </c>
      <c r="H470" s="55">
        <f t="shared" si="119"/>
        <v>0</v>
      </c>
      <c r="I470" s="55">
        <f t="shared" ca="1" si="119"/>
        <v>0</v>
      </c>
      <c r="J470" s="55">
        <f t="shared" si="119"/>
        <v>0</v>
      </c>
      <c r="K470" s="55">
        <f ca="1" xml:space="preserve"> K$464</f>
        <v>0</v>
      </c>
      <c r="L470" s="55">
        <f t="shared" ca="1" si="119"/>
        <v>0</v>
      </c>
      <c r="M470" s="55">
        <f t="shared" ca="1" si="119"/>
        <v>0</v>
      </c>
      <c r="N470" s="55">
        <f t="shared" ca="1" si="119"/>
        <v>0</v>
      </c>
      <c r="O470" s="55">
        <f t="shared" ca="1" si="119"/>
        <v>0</v>
      </c>
      <c r="P470" s="55">
        <f t="shared" ca="1" si="119"/>
        <v>0</v>
      </c>
      <c r="Q470" s="55">
        <f t="shared" ca="1" si="119"/>
        <v>0</v>
      </c>
      <c r="R470" s="55">
        <f t="shared" ca="1" si="119"/>
        <v>0</v>
      </c>
      <c r="S470" s="55">
        <f t="shared" ca="1" si="119"/>
        <v>0</v>
      </c>
      <c r="T470" s="55">
        <f t="shared" ca="1" si="119"/>
        <v>0</v>
      </c>
      <c r="U470" s="55">
        <f t="shared" ca="1" si="119"/>
        <v>0</v>
      </c>
      <c r="V470" s="55">
        <f t="shared" ca="1" si="119"/>
        <v>0</v>
      </c>
      <c r="W470" s="55">
        <f t="shared" ca="1" si="119"/>
        <v>0</v>
      </c>
      <c r="X470" s="55">
        <f t="shared" ca="1" si="119"/>
        <v>0</v>
      </c>
      <c r="Y470" s="55">
        <f t="shared" ca="1" si="119"/>
        <v>0</v>
      </c>
      <c r="Z470" s="55">
        <f t="shared" ca="1" si="119"/>
        <v>0</v>
      </c>
      <c r="AA470" s="55">
        <f t="shared" ca="1" si="119"/>
        <v>0</v>
      </c>
      <c r="AB470" s="55">
        <f t="shared" ca="1" si="119"/>
        <v>0</v>
      </c>
      <c r="AC470" s="55">
        <f t="shared" ca="1" si="119"/>
        <v>0</v>
      </c>
      <c r="AD470" s="55">
        <f t="shared" ca="1" si="119"/>
        <v>0</v>
      </c>
      <c r="AE470" s="55">
        <f t="shared" ca="1" si="119"/>
        <v>0</v>
      </c>
      <c r="AF470" s="55">
        <f t="shared" ca="1" si="119"/>
        <v>0</v>
      </c>
      <c r="AG470" s="55">
        <f t="shared" ca="1" si="119"/>
        <v>0</v>
      </c>
      <c r="AH470" s="55">
        <f t="shared" ca="1" si="119"/>
        <v>0</v>
      </c>
      <c r="AI470" s="55">
        <f t="shared" ca="1" si="119"/>
        <v>0</v>
      </c>
      <c r="AJ470" s="55">
        <f t="shared" ca="1" si="119"/>
        <v>0</v>
      </c>
      <c r="AK470" s="55">
        <f t="shared" ca="1" si="119"/>
        <v>0</v>
      </c>
      <c r="AL470" s="55">
        <f t="shared" ca="1" si="119"/>
        <v>0</v>
      </c>
      <c r="AM470" s="55">
        <f t="shared" ca="1" si="119"/>
        <v>0</v>
      </c>
      <c r="AN470" s="55">
        <f t="shared" ca="1" si="119"/>
        <v>0</v>
      </c>
      <c r="AO470" s="55">
        <f t="shared" ca="1" si="119"/>
        <v>0</v>
      </c>
      <c r="AP470" s="55">
        <f t="shared" ca="1" si="119"/>
        <v>0</v>
      </c>
      <c r="AQ470" s="55">
        <f t="shared" ca="1" si="119"/>
        <v>0</v>
      </c>
      <c r="AR470" s="55">
        <f t="shared" ca="1" si="119"/>
        <v>0</v>
      </c>
      <c r="AS470" s="55">
        <f t="shared" ca="1" si="119"/>
        <v>0</v>
      </c>
      <c r="AT470" s="55">
        <f t="shared" ca="1" si="119"/>
        <v>0</v>
      </c>
      <c r="AU470" s="55">
        <f t="shared" ca="1" si="119"/>
        <v>0</v>
      </c>
      <c r="AV470" s="55">
        <f t="shared" ca="1" si="119"/>
        <v>0</v>
      </c>
      <c r="AW470" s="55">
        <f t="shared" ca="1" si="119"/>
        <v>0</v>
      </c>
      <c r="AX470" s="55">
        <f t="shared" ca="1" si="119"/>
        <v>0</v>
      </c>
    </row>
    <row r="471" spans="1:50" s="485" customFormat="1" ht="15" customHeight="1" x14ac:dyDescent="0.25">
      <c r="A471" s="526"/>
      <c r="B471" s="684"/>
      <c r="C471" s="639"/>
      <c r="D471" s="527"/>
      <c r="E471" s="482" t="str">
        <f xml:space="preserve"> Translate!E$289</f>
        <v>Development and replacement capital costs into cost recovery</v>
      </c>
      <c r="F471" s="504"/>
      <c r="G471" s="482" t="str">
        <f xml:space="preserve"> Translate!E$603</f>
        <v>US$ mn</v>
      </c>
      <c r="H471" s="482"/>
      <c r="I471" s="482">
        <f ca="1" xml:space="preserve"> SUM(K471:AX471)</f>
        <v>10455.572281430788</v>
      </c>
      <c r="J471" s="482"/>
      <c r="K471" s="482">
        <f t="shared" ref="K471:AX471" ca="1" si="120">SUM(K468:K470)</f>
        <v>0</v>
      </c>
      <c r="L471" s="482">
        <f ca="1">SUM(L468:L470)</f>
        <v>51</v>
      </c>
      <c r="M471" s="482">
        <f t="shared" ca="1" si="120"/>
        <v>312.12</v>
      </c>
      <c r="N471" s="482">
        <f t="shared" ca="1" si="120"/>
        <v>1273.4495999999999</v>
      </c>
      <c r="O471" s="482">
        <f t="shared" ca="1" si="120"/>
        <v>1298.918592</v>
      </c>
      <c r="P471" s="482">
        <f t="shared" ca="1" si="120"/>
        <v>2318.5696867199999</v>
      </c>
      <c r="Q471" s="482">
        <f t="shared" ca="1" si="120"/>
        <v>1238.7786611904</v>
      </c>
      <c r="R471" s="482">
        <f t="shared" ca="1" si="120"/>
        <v>516.90855044217597</v>
      </c>
      <c r="S471" s="482">
        <f t="shared" ca="1" si="120"/>
        <v>292.91484525056643</v>
      </c>
      <c r="T471" s="482">
        <f t="shared" ca="1" si="120"/>
        <v>298.77314215557777</v>
      </c>
      <c r="U471" s="482">
        <f t="shared" ca="1" si="120"/>
        <v>304.74860499868936</v>
      </c>
      <c r="V471" s="482">
        <f t="shared" ca="1" si="120"/>
        <v>310.8435770986631</v>
      </c>
      <c r="W471" s="482">
        <f t="shared" ca="1" si="120"/>
        <v>317.06044864063637</v>
      </c>
      <c r="X471" s="482">
        <f t="shared" ca="1" si="120"/>
        <v>323.40165761344906</v>
      </c>
      <c r="Y471" s="482">
        <f t="shared" ca="1" si="120"/>
        <v>329.86969076571808</v>
      </c>
      <c r="Z471" s="482">
        <f t="shared" ca="1" si="120"/>
        <v>336.46708458103245</v>
      </c>
      <c r="AA471" s="482">
        <f t="shared" ca="1" si="120"/>
        <v>343.19642627265313</v>
      </c>
      <c r="AB471" s="482">
        <f t="shared" ca="1" si="120"/>
        <v>0</v>
      </c>
      <c r="AC471" s="482">
        <f t="shared" ca="1" si="120"/>
        <v>0</v>
      </c>
      <c r="AD471" s="482">
        <f t="shared" ca="1" si="120"/>
        <v>291.36223450555974</v>
      </c>
      <c r="AE471" s="482">
        <f t="shared" ca="1" si="120"/>
        <v>297.18947919567097</v>
      </c>
      <c r="AF471" s="482">
        <f t="shared" ca="1" si="120"/>
        <v>0</v>
      </c>
      <c r="AG471" s="482">
        <f t="shared" ca="1" si="120"/>
        <v>0</v>
      </c>
      <c r="AH471" s="482">
        <f t="shared" ca="1" si="120"/>
        <v>0</v>
      </c>
      <c r="AI471" s="482">
        <f t="shared" ca="1" si="120"/>
        <v>0</v>
      </c>
      <c r="AJ471" s="482">
        <f t="shared" ca="1" si="120"/>
        <v>0</v>
      </c>
      <c r="AK471" s="482">
        <f t="shared" ca="1" si="120"/>
        <v>0</v>
      </c>
      <c r="AL471" s="482">
        <f t="shared" ca="1" si="120"/>
        <v>0</v>
      </c>
      <c r="AM471" s="482">
        <f t="shared" ca="1" si="120"/>
        <v>0</v>
      </c>
      <c r="AN471" s="482">
        <f t="shared" ca="1" si="120"/>
        <v>0</v>
      </c>
      <c r="AO471" s="482">
        <f t="shared" ca="1" si="120"/>
        <v>0</v>
      </c>
      <c r="AP471" s="482">
        <f t="shared" ca="1" si="120"/>
        <v>0</v>
      </c>
      <c r="AQ471" s="482">
        <f t="shared" ca="1" si="120"/>
        <v>0</v>
      </c>
      <c r="AR471" s="482">
        <f t="shared" ca="1" si="120"/>
        <v>0</v>
      </c>
      <c r="AS471" s="482">
        <f t="shared" ca="1" si="120"/>
        <v>0</v>
      </c>
      <c r="AT471" s="482">
        <f t="shared" ca="1" si="120"/>
        <v>0</v>
      </c>
      <c r="AU471" s="482">
        <f t="shared" ca="1" si="120"/>
        <v>0</v>
      </c>
      <c r="AV471" s="482">
        <f t="shared" ca="1" si="120"/>
        <v>0</v>
      </c>
      <c r="AW471" s="482">
        <f t="shared" ca="1" si="120"/>
        <v>0</v>
      </c>
      <c r="AX471" s="482">
        <f t="shared" ca="1" si="120"/>
        <v>0</v>
      </c>
    </row>
    <row r="472" spans="1:50" ht="15" customHeight="1" x14ac:dyDescent="0.25">
      <c r="A472" s="106"/>
      <c r="B472" s="174"/>
      <c r="C472" s="601"/>
      <c r="D472" s="117"/>
      <c r="E472" s="116"/>
      <c r="F472" s="117"/>
      <c r="G472" s="116"/>
      <c r="H472" s="116"/>
      <c r="I472" s="116"/>
      <c r="J472" s="116"/>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row>
    <row r="473" spans="1:50" ht="15" customHeight="1" x14ac:dyDescent="0.25">
      <c r="A473" s="227"/>
      <c r="B473" s="672"/>
      <c r="C473" s="617" t="str">
        <f>Translate!$E$491</f>
        <v>Production bonus into cost recovery</v>
      </c>
      <c r="D473" s="255"/>
      <c r="E473" s="48"/>
      <c r="F473" s="147"/>
      <c r="G473" s="48"/>
      <c r="H473" s="48"/>
      <c r="I473" s="48"/>
      <c r="J473" s="48"/>
      <c r="K473" s="48"/>
      <c r="L473" s="48"/>
      <c r="M473" s="48"/>
      <c r="N473" s="48"/>
      <c r="O473" s="48"/>
      <c r="P473" s="48"/>
      <c r="Q473" s="48"/>
      <c r="R473" s="48"/>
      <c r="S473" s="48"/>
      <c r="T473" s="48"/>
      <c r="U473" s="48"/>
      <c r="V473" s="48"/>
      <c r="W473" s="48"/>
      <c r="X473" s="48"/>
      <c r="Y473" s="48"/>
      <c r="Z473" s="48"/>
      <c r="AA473" s="48"/>
      <c r="AB473" s="48"/>
      <c r="AC473" s="48"/>
      <c r="AD473" s="48"/>
      <c r="AE473" s="48"/>
      <c r="AF473" s="48"/>
      <c r="AG473" s="48"/>
      <c r="AH473" s="48"/>
      <c r="AI473" s="48"/>
      <c r="AJ473" s="48"/>
      <c r="AK473" s="48"/>
      <c r="AL473" s="48"/>
      <c r="AM473" s="48"/>
      <c r="AN473" s="48"/>
      <c r="AO473" s="48"/>
      <c r="AP473" s="48"/>
      <c r="AQ473" s="48"/>
      <c r="AR473" s="48"/>
      <c r="AS473" s="48"/>
      <c r="AT473" s="48"/>
      <c r="AU473" s="48"/>
      <c r="AV473" s="48"/>
      <c r="AW473" s="48"/>
      <c r="AX473" s="48"/>
    </row>
    <row r="474" spans="1:50" ht="15" customHeight="1" x14ac:dyDescent="0.25">
      <c r="A474" s="227"/>
      <c r="B474" s="672"/>
      <c r="C474" s="636"/>
      <c r="D474" s="255"/>
      <c r="E474" s="48" t="str">
        <f t="shared" ref="E474:AX474" si="121" xml:space="preserve"> E$172</f>
        <v>Bonuses</v>
      </c>
      <c r="F474" s="147">
        <f t="shared" si="121"/>
        <v>0</v>
      </c>
      <c r="G474" s="48" t="str">
        <f t="shared" si="121"/>
        <v>US$ mn</v>
      </c>
      <c r="H474" s="48">
        <f t="shared" si="121"/>
        <v>0</v>
      </c>
      <c r="I474" s="48">
        <f t="shared" ca="1" si="121"/>
        <v>60</v>
      </c>
      <c r="J474" s="48">
        <f t="shared" si="121"/>
        <v>0</v>
      </c>
      <c r="K474" s="48">
        <f t="shared" ca="1" si="121"/>
        <v>10</v>
      </c>
      <c r="L474" s="48">
        <f t="shared" ca="1" si="121"/>
        <v>0</v>
      </c>
      <c r="M474" s="48">
        <f t="shared" ca="1" si="121"/>
        <v>0</v>
      </c>
      <c r="N474" s="48">
        <f t="shared" ca="1" si="121"/>
        <v>0</v>
      </c>
      <c r="O474" s="48">
        <f t="shared" ca="1" si="121"/>
        <v>50</v>
      </c>
      <c r="P474" s="48">
        <f t="shared" ca="1" si="121"/>
        <v>0</v>
      </c>
      <c r="Q474" s="48">
        <f t="shared" ca="1" si="121"/>
        <v>0</v>
      </c>
      <c r="R474" s="48">
        <f t="shared" ca="1" si="121"/>
        <v>0</v>
      </c>
      <c r="S474" s="48">
        <f t="shared" ca="1" si="121"/>
        <v>0</v>
      </c>
      <c r="T474" s="48">
        <f t="shared" ca="1" si="121"/>
        <v>0</v>
      </c>
      <c r="U474" s="48">
        <f t="shared" ca="1" si="121"/>
        <v>0</v>
      </c>
      <c r="V474" s="48">
        <f t="shared" ca="1" si="121"/>
        <v>0</v>
      </c>
      <c r="W474" s="48">
        <f t="shared" ca="1" si="121"/>
        <v>0</v>
      </c>
      <c r="X474" s="48">
        <f t="shared" ca="1" si="121"/>
        <v>0</v>
      </c>
      <c r="Y474" s="48">
        <f t="shared" ca="1" si="121"/>
        <v>0</v>
      </c>
      <c r="Z474" s="48">
        <f t="shared" ca="1" si="121"/>
        <v>0</v>
      </c>
      <c r="AA474" s="48">
        <f t="shared" ca="1" si="121"/>
        <v>0</v>
      </c>
      <c r="AB474" s="48">
        <f t="shared" ca="1" si="121"/>
        <v>0</v>
      </c>
      <c r="AC474" s="48">
        <f t="shared" ca="1" si="121"/>
        <v>0</v>
      </c>
      <c r="AD474" s="48">
        <f t="shared" ca="1" si="121"/>
        <v>0</v>
      </c>
      <c r="AE474" s="48">
        <f t="shared" ca="1" si="121"/>
        <v>0</v>
      </c>
      <c r="AF474" s="48">
        <f t="shared" ca="1" si="121"/>
        <v>0</v>
      </c>
      <c r="AG474" s="48">
        <f t="shared" ca="1" si="121"/>
        <v>0</v>
      </c>
      <c r="AH474" s="48">
        <f t="shared" ca="1" si="121"/>
        <v>0</v>
      </c>
      <c r="AI474" s="48">
        <f t="shared" ca="1" si="121"/>
        <v>0</v>
      </c>
      <c r="AJ474" s="48">
        <f t="shared" ca="1" si="121"/>
        <v>0</v>
      </c>
      <c r="AK474" s="48">
        <f t="shared" ca="1" si="121"/>
        <v>0</v>
      </c>
      <c r="AL474" s="48">
        <f t="shared" ca="1" si="121"/>
        <v>0</v>
      </c>
      <c r="AM474" s="48">
        <f t="shared" ca="1" si="121"/>
        <v>0</v>
      </c>
      <c r="AN474" s="48">
        <f t="shared" ca="1" si="121"/>
        <v>0</v>
      </c>
      <c r="AO474" s="48">
        <f t="shared" ca="1" si="121"/>
        <v>0</v>
      </c>
      <c r="AP474" s="48">
        <f t="shared" ca="1" si="121"/>
        <v>0</v>
      </c>
      <c r="AQ474" s="48">
        <f t="shared" ca="1" si="121"/>
        <v>0</v>
      </c>
      <c r="AR474" s="48">
        <f t="shared" ca="1" si="121"/>
        <v>0</v>
      </c>
      <c r="AS474" s="48">
        <f t="shared" ca="1" si="121"/>
        <v>0</v>
      </c>
      <c r="AT474" s="48">
        <f t="shared" ca="1" si="121"/>
        <v>0</v>
      </c>
      <c r="AU474" s="48">
        <f t="shared" ca="1" si="121"/>
        <v>0</v>
      </c>
      <c r="AV474" s="48">
        <f t="shared" ca="1" si="121"/>
        <v>0</v>
      </c>
      <c r="AW474" s="48">
        <f t="shared" ca="1" si="121"/>
        <v>0</v>
      </c>
      <c r="AX474" s="48">
        <f t="shared" ca="1" si="121"/>
        <v>0</v>
      </c>
    </row>
    <row r="475" spans="1:50" ht="15" customHeight="1" x14ac:dyDescent="0.25">
      <c r="A475" s="227"/>
      <c r="B475" s="672"/>
      <c r="C475" s="636"/>
      <c r="D475" s="255"/>
      <c r="E475" s="532" t="str">
        <f xml:space="preserve"> FiscalModel!E$18</f>
        <v>Bonuses cost recoverable and CIT and RRT deductible</v>
      </c>
      <c r="F475" s="404" t="str">
        <f xml:space="preserve"> FiscalModel!F$18</f>
        <v>no</v>
      </c>
      <c r="G475" s="532" t="str">
        <f xml:space="preserve"> FiscalModel!G$18</f>
        <v>Option</v>
      </c>
      <c r="H475" s="48"/>
      <c r="I475" s="48"/>
      <c r="J475" s="48"/>
      <c r="K475" s="48"/>
      <c r="L475" s="48"/>
      <c r="M475" s="48"/>
      <c r="N475" s="48"/>
      <c r="O475" s="48"/>
      <c r="P475" s="48"/>
      <c r="Q475" s="48"/>
      <c r="R475" s="48"/>
      <c r="S475" s="48"/>
      <c r="T475" s="48"/>
      <c r="U475" s="48"/>
      <c r="V475" s="48"/>
      <c r="W475" s="48"/>
      <c r="X475" s="48"/>
      <c r="Y475" s="48"/>
      <c r="Z475" s="48"/>
      <c r="AA475" s="48"/>
      <c r="AB475" s="48"/>
      <c r="AC475" s="48"/>
      <c r="AD475" s="48"/>
      <c r="AE475" s="48"/>
      <c r="AF475" s="48"/>
      <c r="AG475" s="48"/>
      <c r="AH475" s="48"/>
      <c r="AI475" s="48"/>
      <c r="AJ475" s="48"/>
      <c r="AK475" s="48"/>
      <c r="AL475" s="48"/>
      <c r="AM475" s="48"/>
      <c r="AN475" s="48"/>
      <c r="AO475" s="48"/>
      <c r="AP475" s="48"/>
      <c r="AQ475" s="48"/>
      <c r="AR475" s="48"/>
      <c r="AS475" s="48"/>
      <c r="AT475" s="48"/>
      <c r="AU475" s="48"/>
      <c r="AV475" s="48"/>
      <c r="AW475" s="48"/>
      <c r="AX475" s="48"/>
    </row>
    <row r="476" spans="1:50" ht="15" customHeight="1" x14ac:dyDescent="0.25">
      <c r="B476" s="675"/>
      <c r="C476" s="615"/>
      <c r="D476" s="48"/>
      <c r="E476" s="222" t="str">
        <f>Inputs!E$87</f>
        <v>Label: yes</v>
      </c>
      <c r="F476" s="533" t="str">
        <f>Inputs!F$87</f>
        <v>yes</v>
      </c>
      <c r="G476" s="222" t="str">
        <f>Inputs!G$87</f>
        <v>Label</v>
      </c>
      <c r="H476" s="48"/>
      <c r="I476" s="48"/>
    </row>
    <row r="477" spans="1:50" ht="15" customHeight="1" x14ac:dyDescent="0.25">
      <c r="B477" s="675"/>
      <c r="C477" s="615"/>
      <c r="D477" s="48"/>
      <c r="E477" s="222" t="str">
        <f>Inputs!E$88</f>
        <v>Label: no</v>
      </c>
      <c r="F477" s="533" t="str">
        <f>Inputs!F$88</f>
        <v>no</v>
      </c>
      <c r="G477" s="222" t="str">
        <f>Inputs!G$88</f>
        <v>Label</v>
      </c>
      <c r="H477" s="48"/>
      <c r="I477" s="48"/>
    </row>
    <row r="478" spans="1:50" s="7" customFormat="1" ht="15" customHeight="1" x14ac:dyDescent="0.25">
      <c r="A478" s="227"/>
      <c r="B478" s="672"/>
      <c r="C478" s="636"/>
      <c r="D478" s="255"/>
      <c r="E478" s="55" t="str">
        <f xml:space="preserve"> E474 &amp; " " &amp; Translate!E534</f>
        <v>Bonuses into cost recovery</v>
      </c>
      <c r="F478" s="64"/>
      <c r="G478" s="55" t="str">
        <f xml:space="preserve"> Translate!E$603</f>
        <v>US$ mn</v>
      </c>
      <c r="H478" s="55"/>
      <c r="I478" s="55">
        <f ca="1" xml:space="preserve"> SUM(K478:AX478)</f>
        <v>0</v>
      </c>
      <c r="J478" s="55"/>
      <c r="K478" s="55">
        <f ca="1" xml:space="preserve"> K474 * ($F475 = $F476)</f>
        <v>0</v>
      </c>
      <c r="L478" s="55">
        <f t="shared" ref="L478:AX478" ca="1" si="122" xml:space="preserve"> L474 * ($F475 = $F476)</f>
        <v>0</v>
      </c>
      <c r="M478" s="55">
        <f t="shared" ca="1" si="122"/>
        <v>0</v>
      </c>
      <c r="N478" s="55">
        <f t="shared" ca="1" si="122"/>
        <v>0</v>
      </c>
      <c r="O478" s="55">
        <f t="shared" ca="1" si="122"/>
        <v>0</v>
      </c>
      <c r="P478" s="55">
        <f t="shared" ca="1" si="122"/>
        <v>0</v>
      </c>
      <c r="Q478" s="55">
        <f t="shared" ca="1" si="122"/>
        <v>0</v>
      </c>
      <c r="R478" s="55">
        <f t="shared" ca="1" si="122"/>
        <v>0</v>
      </c>
      <c r="S478" s="55">
        <f t="shared" ca="1" si="122"/>
        <v>0</v>
      </c>
      <c r="T478" s="55">
        <f t="shared" ca="1" si="122"/>
        <v>0</v>
      </c>
      <c r="U478" s="55">
        <f t="shared" ca="1" si="122"/>
        <v>0</v>
      </c>
      <c r="V478" s="55">
        <f t="shared" ca="1" si="122"/>
        <v>0</v>
      </c>
      <c r="W478" s="55">
        <f t="shared" ca="1" si="122"/>
        <v>0</v>
      </c>
      <c r="X478" s="55">
        <f t="shared" ca="1" si="122"/>
        <v>0</v>
      </c>
      <c r="Y478" s="55">
        <f t="shared" ca="1" si="122"/>
        <v>0</v>
      </c>
      <c r="Z478" s="55">
        <f t="shared" ca="1" si="122"/>
        <v>0</v>
      </c>
      <c r="AA478" s="55">
        <f t="shared" ca="1" si="122"/>
        <v>0</v>
      </c>
      <c r="AB478" s="55">
        <f t="shared" ca="1" si="122"/>
        <v>0</v>
      </c>
      <c r="AC478" s="55">
        <f t="shared" ca="1" si="122"/>
        <v>0</v>
      </c>
      <c r="AD478" s="55">
        <f t="shared" ca="1" si="122"/>
        <v>0</v>
      </c>
      <c r="AE478" s="55">
        <f t="shared" ca="1" si="122"/>
        <v>0</v>
      </c>
      <c r="AF478" s="55">
        <f t="shared" ca="1" si="122"/>
        <v>0</v>
      </c>
      <c r="AG478" s="55">
        <f t="shared" ca="1" si="122"/>
        <v>0</v>
      </c>
      <c r="AH478" s="55">
        <f t="shared" ca="1" si="122"/>
        <v>0</v>
      </c>
      <c r="AI478" s="55">
        <f t="shared" ca="1" si="122"/>
        <v>0</v>
      </c>
      <c r="AJ478" s="55">
        <f t="shared" ca="1" si="122"/>
        <v>0</v>
      </c>
      <c r="AK478" s="55">
        <f t="shared" ca="1" si="122"/>
        <v>0</v>
      </c>
      <c r="AL478" s="55">
        <f t="shared" ca="1" si="122"/>
        <v>0</v>
      </c>
      <c r="AM478" s="55">
        <f t="shared" ca="1" si="122"/>
        <v>0</v>
      </c>
      <c r="AN478" s="55">
        <f t="shared" ca="1" si="122"/>
        <v>0</v>
      </c>
      <c r="AO478" s="55">
        <f t="shared" ca="1" si="122"/>
        <v>0</v>
      </c>
      <c r="AP478" s="55">
        <f t="shared" ca="1" si="122"/>
        <v>0</v>
      </c>
      <c r="AQ478" s="55">
        <f t="shared" ca="1" si="122"/>
        <v>0</v>
      </c>
      <c r="AR478" s="55">
        <f t="shared" ca="1" si="122"/>
        <v>0</v>
      </c>
      <c r="AS478" s="55">
        <f t="shared" ca="1" si="122"/>
        <v>0</v>
      </c>
      <c r="AT478" s="55">
        <f t="shared" ca="1" si="122"/>
        <v>0</v>
      </c>
      <c r="AU478" s="55">
        <f t="shared" ca="1" si="122"/>
        <v>0</v>
      </c>
      <c r="AV478" s="55">
        <f t="shared" ca="1" si="122"/>
        <v>0</v>
      </c>
      <c r="AW478" s="55">
        <f t="shared" ca="1" si="122"/>
        <v>0</v>
      </c>
      <c r="AX478" s="55">
        <f t="shared" ca="1" si="122"/>
        <v>0</v>
      </c>
    </row>
    <row r="479" spans="1:50" ht="15" customHeight="1" x14ac:dyDescent="0.25">
      <c r="A479" s="106"/>
      <c r="B479" s="174"/>
      <c r="C479" s="601"/>
      <c r="D479" s="117"/>
      <c r="E479" s="116"/>
      <c r="F479" s="117"/>
      <c r="G479" s="116"/>
      <c r="H479" s="116"/>
      <c r="I479" s="116"/>
      <c r="J479" s="116"/>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row>
    <row r="480" spans="1:50" s="48" customFormat="1" ht="15" customHeight="1" x14ac:dyDescent="0.25">
      <c r="A480" s="227"/>
      <c r="B480" s="672"/>
      <c r="C480" s="617" t="str">
        <f>Translate!$E$492</f>
        <v>Carbon tax into cost recovery</v>
      </c>
      <c r="D480" s="255"/>
      <c r="F480" s="147"/>
    </row>
    <row r="481" spans="1:50" s="48" customFormat="1" ht="15" customHeight="1" x14ac:dyDescent="0.25">
      <c r="A481" s="227"/>
      <c r="B481" s="672"/>
      <c r="C481" s="636"/>
      <c r="D481" s="255"/>
      <c r="E481" s="48" t="str">
        <f>E$295</f>
        <v>Carbon tax</v>
      </c>
      <c r="F481" s="48">
        <f>F$295</f>
        <v>0</v>
      </c>
      <c r="G481" s="48" t="str">
        <f>G$295</f>
        <v>US$ mn</v>
      </c>
      <c r="H481" s="48">
        <f t="shared" ref="H481:AX481" si="123">H$295</f>
        <v>0</v>
      </c>
      <c r="I481" s="48">
        <f ca="1">I$295</f>
        <v>1010.9375317244442</v>
      </c>
      <c r="J481" s="48">
        <f>J$295</f>
        <v>0</v>
      </c>
      <c r="K481" s="48">
        <f ca="1">K$295</f>
        <v>0</v>
      </c>
      <c r="L481" s="48">
        <f ca="1">L$295</f>
        <v>0</v>
      </c>
      <c r="M481" s="48">
        <f t="shared" ca="1" si="123"/>
        <v>0</v>
      </c>
      <c r="N481" s="48">
        <f t="shared" ca="1" si="123"/>
        <v>0</v>
      </c>
      <c r="O481" s="48">
        <f t="shared" ca="1" si="123"/>
        <v>4.3932277328165359</v>
      </c>
      <c r="P481" s="48">
        <f t="shared" ca="1" si="123"/>
        <v>34.512210000000003</v>
      </c>
      <c r="Q481" s="48">
        <f t="shared" ca="1" si="123"/>
        <v>69.024420000000006</v>
      </c>
      <c r="R481" s="48">
        <f t="shared" ca="1" si="123"/>
        <v>69.024420000000006</v>
      </c>
      <c r="S481" s="48">
        <f t="shared" ca="1" si="123"/>
        <v>69.024420000000006</v>
      </c>
      <c r="T481" s="48">
        <f t="shared" ca="1" si="123"/>
        <v>69.024420000000006</v>
      </c>
      <c r="U481" s="48">
        <f t="shared" ca="1" si="123"/>
        <v>69.024420000000006</v>
      </c>
      <c r="V481" s="48">
        <f t="shared" ca="1" si="123"/>
        <v>69.024420000000006</v>
      </c>
      <c r="W481" s="48">
        <f t="shared" ca="1" si="123"/>
        <v>69.024420000000006</v>
      </c>
      <c r="X481" s="48">
        <f t="shared" ca="1" si="123"/>
        <v>69.024420000000006</v>
      </c>
      <c r="Y481" s="48">
        <f t="shared" ca="1" si="123"/>
        <v>69.024420000000006</v>
      </c>
      <c r="Z481" s="48">
        <f t="shared" ca="1" si="123"/>
        <v>69.024420000000006</v>
      </c>
      <c r="AA481" s="48">
        <f t="shared" ca="1" si="123"/>
        <v>55.909780200000014</v>
      </c>
      <c r="AB481" s="48">
        <f t="shared" ca="1" si="123"/>
        <v>45.286921962000008</v>
      </c>
      <c r="AC481" s="48">
        <f t="shared" ca="1" si="123"/>
        <v>36.682406789220011</v>
      </c>
      <c r="AD481" s="48">
        <f t="shared" ca="1" si="123"/>
        <v>29.71274949926822</v>
      </c>
      <c r="AE481" s="48">
        <f t="shared" ca="1" si="123"/>
        <v>24.067327094407261</v>
      </c>
      <c r="AF481" s="48">
        <f t="shared" ca="1" si="123"/>
        <v>19.49453494646988</v>
      </c>
      <c r="AG481" s="48">
        <f t="shared" ca="1" si="123"/>
        <v>15.790573306640605</v>
      </c>
      <c r="AH481" s="48">
        <f t="shared" ca="1" si="123"/>
        <v>12.790364378378891</v>
      </c>
      <c r="AI481" s="48">
        <f t="shared" ca="1" si="123"/>
        <v>10.360195146486902</v>
      </c>
      <c r="AJ481" s="48">
        <f t="shared" ca="1" si="123"/>
        <v>8.39175806865439</v>
      </c>
      <c r="AK481" s="48">
        <f t="shared" ca="1" si="123"/>
        <v>6.7973240356100568</v>
      </c>
      <c r="AL481" s="48">
        <f t="shared" ca="1" si="123"/>
        <v>5.5058324688441456</v>
      </c>
      <c r="AM481" s="48">
        <f t="shared" ca="1" si="123"/>
        <v>4.4597242997637574</v>
      </c>
      <c r="AN481" s="48">
        <f t="shared" ca="1" si="123"/>
        <v>3.6123766828086437</v>
      </c>
      <c r="AO481" s="48">
        <f t="shared" ca="1" si="123"/>
        <v>2.9260251130750028</v>
      </c>
      <c r="AP481" s="48">
        <f t="shared" ca="1" si="123"/>
        <v>0</v>
      </c>
      <c r="AQ481" s="48">
        <f t="shared" ca="1" si="123"/>
        <v>0</v>
      </c>
      <c r="AR481" s="48">
        <f t="shared" ca="1" si="123"/>
        <v>0</v>
      </c>
      <c r="AS481" s="48">
        <f t="shared" ca="1" si="123"/>
        <v>0</v>
      </c>
      <c r="AT481" s="48">
        <f t="shared" ca="1" si="123"/>
        <v>0</v>
      </c>
      <c r="AU481" s="48">
        <f t="shared" ca="1" si="123"/>
        <v>0</v>
      </c>
      <c r="AV481" s="48">
        <f t="shared" ca="1" si="123"/>
        <v>0</v>
      </c>
      <c r="AW481" s="48">
        <f t="shared" ca="1" si="123"/>
        <v>0</v>
      </c>
      <c r="AX481" s="48">
        <f t="shared" ca="1" si="123"/>
        <v>0</v>
      </c>
    </row>
    <row r="482" spans="1:50" s="48" customFormat="1" ht="15" customHeight="1" x14ac:dyDescent="0.25">
      <c r="A482" s="227"/>
      <c r="B482" s="672"/>
      <c r="C482" s="636"/>
      <c r="D482" s="255"/>
      <c r="E482" s="532" t="str">
        <f xml:space="preserve"> E$35</f>
        <v>Carbon tax cost recoverable and CIT and RRT deductible</v>
      </c>
      <c r="F482" s="404" t="str">
        <f xml:space="preserve"> F$35</f>
        <v>yes</v>
      </c>
      <c r="G482" s="532" t="str">
        <f t="shared" ref="G482" si="124" xml:space="preserve"> G$35</f>
        <v>Option</v>
      </c>
    </row>
    <row r="483" spans="1:50" s="48" customFormat="1" ht="15" customHeight="1" x14ac:dyDescent="0.25">
      <c r="B483" s="675"/>
      <c r="C483" s="615"/>
      <c r="E483" s="222" t="str">
        <f>Inputs!E$87</f>
        <v>Label: yes</v>
      </c>
      <c r="F483" s="533" t="str">
        <f>Inputs!F$87</f>
        <v>yes</v>
      </c>
      <c r="G483" s="222" t="str">
        <f>Inputs!G$87</f>
        <v>Label</v>
      </c>
    </row>
    <row r="484" spans="1:50" s="48" customFormat="1" ht="15" customHeight="1" x14ac:dyDescent="0.25">
      <c r="B484" s="675"/>
      <c r="C484" s="615"/>
      <c r="E484" s="222" t="str">
        <f>Inputs!E$88</f>
        <v>Label: no</v>
      </c>
      <c r="F484" s="533" t="str">
        <f>Inputs!F$88</f>
        <v>no</v>
      </c>
      <c r="G484" s="222" t="str">
        <f>Inputs!G$88</f>
        <v>Label</v>
      </c>
    </row>
    <row r="485" spans="1:50" s="55" customFormat="1" ht="15" customHeight="1" x14ac:dyDescent="0.25">
      <c r="A485" s="227"/>
      <c r="B485" s="672"/>
      <c r="C485" s="636"/>
      <c r="D485" s="255"/>
      <c r="E485" s="55" t="str">
        <f xml:space="preserve"> E481 &amp; " " &amp; Translate!E534</f>
        <v>Carbon tax into cost recovery</v>
      </c>
      <c r="F485" s="64"/>
      <c r="G485" s="55" t="str">
        <f xml:space="preserve"> Translate!E$603</f>
        <v>US$ mn</v>
      </c>
      <c r="I485" s="55">
        <f ca="1" xml:space="preserve"> SUM(K485:AX485)</f>
        <v>1010.9375317244442</v>
      </c>
      <c r="K485" s="55">
        <f ca="1" xml:space="preserve"> K481 * ($F482 = $F483)</f>
        <v>0</v>
      </c>
      <c r="L485" s="55">
        <f t="shared" ref="L485:AX485" ca="1" si="125" xml:space="preserve"> L481 * ($F482 = $F483)</f>
        <v>0</v>
      </c>
      <c r="M485" s="55">
        <f t="shared" ca="1" si="125"/>
        <v>0</v>
      </c>
      <c r="N485" s="55">
        <f t="shared" ca="1" si="125"/>
        <v>0</v>
      </c>
      <c r="O485" s="55">
        <f t="shared" ca="1" si="125"/>
        <v>4.3932277328165359</v>
      </c>
      <c r="P485" s="55">
        <f t="shared" ca="1" si="125"/>
        <v>34.512210000000003</v>
      </c>
      <c r="Q485" s="55">
        <f t="shared" ca="1" si="125"/>
        <v>69.024420000000006</v>
      </c>
      <c r="R485" s="55">
        <f t="shared" ca="1" si="125"/>
        <v>69.024420000000006</v>
      </c>
      <c r="S485" s="55">
        <f t="shared" ca="1" si="125"/>
        <v>69.024420000000006</v>
      </c>
      <c r="T485" s="55">
        <f t="shared" ca="1" si="125"/>
        <v>69.024420000000006</v>
      </c>
      <c r="U485" s="55">
        <f t="shared" ca="1" si="125"/>
        <v>69.024420000000006</v>
      </c>
      <c r="V485" s="55">
        <f t="shared" ca="1" si="125"/>
        <v>69.024420000000006</v>
      </c>
      <c r="W485" s="55">
        <f t="shared" ca="1" si="125"/>
        <v>69.024420000000006</v>
      </c>
      <c r="X485" s="55">
        <f t="shared" ca="1" si="125"/>
        <v>69.024420000000006</v>
      </c>
      <c r="Y485" s="55">
        <f t="shared" ca="1" si="125"/>
        <v>69.024420000000006</v>
      </c>
      <c r="Z485" s="55">
        <f t="shared" ca="1" si="125"/>
        <v>69.024420000000006</v>
      </c>
      <c r="AA485" s="55">
        <f t="shared" ca="1" si="125"/>
        <v>55.909780200000014</v>
      </c>
      <c r="AB485" s="55">
        <f t="shared" ca="1" si="125"/>
        <v>45.286921962000008</v>
      </c>
      <c r="AC485" s="55">
        <f t="shared" ca="1" si="125"/>
        <v>36.682406789220011</v>
      </c>
      <c r="AD485" s="55">
        <f t="shared" ca="1" si="125"/>
        <v>29.71274949926822</v>
      </c>
      <c r="AE485" s="55">
        <f t="shared" ca="1" si="125"/>
        <v>24.067327094407261</v>
      </c>
      <c r="AF485" s="55">
        <f t="shared" ca="1" si="125"/>
        <v>19.49453494646988</v>
      </c>
      <c r="AG485" s="55">
        <f t="shared" ca="1" si="125"/>
        <v>15.790573306640605</v>
      </c>
      <c r="AH485" s="55">
        <f t="shared" ca="1" si="125"/>
        <v>12.790364378378891</v>
      </c>
      <c r="AI485" s="55">
        <f t="shared" ca="1" si="125"/>
        <v>10.360195146486902</v>
      </c>
      <c r="AJ485" s="55">
        <f t="shared" ca="1" si="125"/>
        <v>8.39175806865439</v>
      </c>
      <c r="AK485" s="55">
        <f t="shared" ca="1" si="125"/>
        <v>6.7973240356100568</v>
      </c>
      <c r="AL485" s="55">
        <f t="shared" ca="1" si="125"/>
        <v>5.5058324688441456</v>
      </c>
      <c r="AM485" s="55">
        <f t="shared" ca="1" si="125"/>
        <v>4.4597242997637574</v>
      </c>
      <c r="AN485" s="55">
        <f t="shared" ca="1" si="125"/>
        <v>3.6123766828086437</v>
      </c>
      <c r="AO485" s="55">
        <f t="shared" ca="1" si="125"/>
        <v>2.9260251130750028</v>
      </c>
      <c r="AP485" s="55">
        <f t="shared" ca="1" si="125"/>
        <v>0</v>
      </c>
      <c r="AQ485" s="55">
        <f t="shared" ca="1" si="125"/>
        <v>0</v>
      </c>
      <c r="AR485" s="55">
        <f t="shared" ca="1" si="125"/>
        <v>0</v>
      </c>
      <c r="AS485" s="55">
        <f t="shared" ca="1" si="125"/>
        <v>0</v>
      </c>
      <c r="AT485" s="55">
        <f t="shared" ca="1" si="125"/>
        <v>0</v>
      </c>
      <c r="AU485" s="55">
        <f t="shared" ca="1" si="125"/>
        <v>0</v>
      </c>
      <c r="AV485" s="55">
        <f t="shared" ca="1" si="125"/>
        <v>0</v>
      </c>
      <c r="AW485" s="55">
        <f t="shared" ca="1" si="125"/>
        <v>0</v>
      </c>
      <c r="AX485" s="55">
        <f t="shared" ca="1" si="125"/>
        <v>0</v>
      </c>
    </row>
    <row r="486" spans="1:50" ht="15" customHeight="1" x14ac:dyDescent="0.25">
      <c r="A486" s="106"/>
      <c r="B486" s="174"/>
      <c r="C486" s="601"/>
      <c r="D486" s="117"/>
      <c r="E486" s="116"/>
      <c r="F486" s="117"/>
      <c r="G486" s="116"/>
      <c r="H486" s="116"/>
      <c r="I486" s="116"/>
      <c r="J486" s="116"/>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row>
    <row r="487" spans="1:50" ht="15" customHeight="1" x14ac:dyDescent="0.25">
      <c r="A487" s="106"/>
      <c r="B487" s="174"/>
      <c r="C487" s="601" t="str">
        <f>Translate!$E$493</f>
        <v>Other costs immediately available for cost recovery</v>
      </c>
      <c r="D487" s="117"/>
      <c r="E487" s="116"/>
      <c r="F487" s="117"/>
      <c r="G487" s="116"/>
      <c r="H487" s="116"/>
      <c r="I487" s="116"/>
      <c r="J487" s="116"/>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row>
    <row r="488" spans="1:50" s="40" customFormat="1" ht="15" customHeight="1" x14ac:dyDescent="0.25">
      <c r="A488" s="290"/>
      <c r="B488" s="174"/>
      <c r="C488" s="638"/>
      <c r="D488" s="357"/>
      <c r="E488" s="140" t="str">
        <f xml:space="preserve"> ProjectCashflows!E$238</f>
        <v>Exploration costs, after ELT</v>
      </c>
      <c r="F488" s="540">
        <f xml:space="preserve"> ProjectCashflows!F$238</f>
        <v>0</v>
      </c>
      <c r="G488" s="140" t="str">
        <f xml:space="preserve"> ProjectCashflows!G$238</f>
        <v>US$ mn</v>
      </c>
      <c r="H488" s="140">
        <f xml:space="preserve"> ProjectCashflows!H$238</f>
        <v>0</v>
      </c>
      <c r="I488" s="140">
        <f ca="1" xml:space="preserve"> ProjectCashflows!I$238</f>
        <v>420</v>
      </c>
      <c r="J488" s="140">
        <f xml:space="preserve"> ProjectCashflows!J$238</f>
        <v>0</v>
      </c>
      <c r="K488" s="140">
        <f ca="1" xml:space="preserve"> ProjectCashflows!K$238</f>
        <v>420</v>
      </c>
      <c r="L488" s="140">
        <f ca="1" xml:space="preserve"> ProjectCashflows!L$238</f>
        <v>0</v>
      </c>
      <c r="M488" s="140">
        <f ca="1" xml:space="preserve"> ProjectCashflows!M$238</f>
        <v>0</v>
      </c>
      <c r="N488" s="140">
        <f ca="1" xml:space="preserve"> ProjectCashflows!N$238</f>
        <v>0</v>
      </c>
      <c r="O488" s="140">
        <f ca="1" xml:space="preserve"> ProjectCashflows!O$238</f>
        <v>0</v>
      </c>
      <c r="P488" s="140">
        <f ca="1" xml:space="preserve"> ProjectCashflows!P$238</f>
        <v>0</v>
      </c>
      <c r="Q488" s="140">
        <f ca="1" xml:space="preserve"> ProjectCashflows!Q$238</f>
        <v>0</v>
      </c>
      <c r="R488" s="140">
        <f ca="1" xml:space="preserve"> ProjectCashflows!R$238</f>
        <v>0</v>
      </c>
      <c r="S488" s="140">
        <f ca="1" xml:space="preserve"> ProjectCashflows!S$238</f>
        <v>0</v>
      </c>
      <c r="T488" s="140">
        <f ca="1" xml:space="preserve"> ProjectCashflows!T$238</f>
        <v>0</v>
      </c>
      <c r="U488" s="140">
        <f ca="1" xml:space="preserve"> ProjectCashflows!U$238</f>
        <v>0</v>
      </c>
      <c r="V488" s="140">
        <f ca="1" xml:space="preserve"> ProjectCashflows!V$238</f>
        <v>0</v>
      </c>
      <c r="W488" s="140">
        <f ca="1" xml:space="preserve"> ProjectCashflows!W$238</f>
        <v>0</v>
      </c>
      <c r="X488" s="140">
        <f ca="1" xml:space="preserve"> ProjectCashflows!X$238</f>
        <v>0</v>
      </c>
      <c r="Y488" s="140">
        <f ca="1" xml:space="preserve"> ProjectCashflows!Y$238</f>
        <v>0</v>
      </c>
      <c r="Z488" s="140">
        <f ca="1" xml:space="preserve"> ProjectCashflows!Z$238</f>
        <v>0</v>
      </c>
      <c r="AA488" s="140">
        <f ca="1" xml:space="preserve"> ProjectCashflows!AA$238</f>
        <v>0</v>
      </c>
      <c r="AB488" s="140">
        <f ca="1" xml:space="preserve"> ProjectCashflows!AB$238</f>
        <v>0</v>
      </c>
      <c r="AC488" s="140">
        <f ca="1" xml:space="preserve"> ProjectCashflows!AC$238</f>
        <v>0</v>
      </c>
      <c r="AD488" s="140">
        <f ca="1" xml:space="preserve"> ProjectCashflows!AD$238</f>
        <v>0</v>
      </c>
      <c r="AE488" s="140">
        <f ca="1" xml:space="preserve"> ProjectCashflows!AE$238</f>
        <v>0</v>
      </c>
      <c r="AF488" s="140">
        <f ca="1" xml:space="preserve"> ProjectCashflows!AF$238</f>
        <v>0</v>
      </c>
      <c r="AG488" s="140">
        <f ca="1" xml:space="preserve"> ProjectCashflows!AG$238</f>
        <v>0</v>
      </c>
      <c r="AH488" s="140">
        <f ca="1" xml:space="preserve"> ProjectCashflows!AH$238</f>
        <v>0</v>
      </c>
      <c r="AI488" s="140">
        <f ca="1" xml:space="preserve"> ProjectCashflows!AI$238</f>
        <v>0</v>
      </c>
      <c r="AJ488" s="140">
        <f ca="1" xml:space="preserve"> ProjectCashflows!AJ$238</f>
        <v>0</v>
      </c>
      <c r="AK488" s="140">
        <f ca="1" xml:space="preserve"> ProjectCashflows!AK$238</f>
        <v>0</v>
      </c>
      <c r="AL488" s="140">
        <f ca="1" xml:space="preserve"> ProjectCashflows!AL$238</f>
        <v>0</v>
      </c>
      <c r="AM488" s="140">
        <f ca="1" xml:space="preserve"> ProjectCashflows!AM$238</f>
        <v>0</v>
      </c>
      <c r="AN488" s="140">
        <f ca="1" xml:space="preserve"> ProjectCashflows!AN$238</f>
        <v>0</v>
      </c>
      <c r="AO488" s="140">
        <f ca="1" xml:space="preserve"> ProjectCashflows!AO$238</f>
        <v>0</v>
      </c>
      <c r="AP488" s="140">
        <f ca="1" xml:space="preserve"> ProjectCashflows!AP$238</f>
        <v>0</v>
      </c>
      <c r="AQ488" s="140">
        <f ca="1" xml:space="preserve"> ProjectCashflows!AQ$238</f>
        <v>0</v>
      </c>
      <c r="AR488" s="140">
        <f ca="1" xml:space="preserve"> ProjectCashflows!AR$238</f>
        <v>0</v>
      </c>
      <c r="AS488" s="140">
        <f ca="1" xml:space="preserve"> ProjectCashflows!AS$238</f>
        <v>0</v>
      </c>
      <c r="AT488" s="140">
        <f ca="1" xml:space="preserve"> ProjectCashflows!AT$238</f>
        <v>0</v>
      </c>
      <c r="AU488" s="140">
        <f ca="1" xml:space="preserve"> ProjectCashflows!AU$238</f>
        <v>0</v>
      </c>
      <c r="AV488" s="140">
        <f ca="1" xml:space="preserve"> ProjectCashflows!AV$238</f>
        <v>0</v>
      </c>
      <c r="AW488" s="140">
        <f ca="1" xml:space="preserve"> ProjectCashflows!AW$238</f>
        <v>0</v>
      </c>
      <c r="AX488" s="140">
        <f ca="1" xml:space="preserve"> ProjectCashflows!AX$238</f>
        <v>0</v>
      </c>
    </row>
    <row r="489" spans="1:50" s="40" customFormat="1" ht="15" customHeight="1" x14ac:dyDescent="0.25">
      <c r="A489" s="290"/>
      <c r="B489" s="174"/>
      <c r="C489" s="638"/>
      <c r="D489" s="357"/>
      <c r="E489" s="140" t="str">
        <f xml:space="preserve"> ProjectCashflows!E$241</f>
        <v>Operating costs, after ELT</v>
      </c>
      <c r="F489" s="540">
        <f xml:space="preserve"> ProjectCashflows!F$241</f>
        <v>0</v>
      </c>
      <c r="G489" s="140" t="str">
        <f xml:space="preserve"> ProjectCashflows!G$241</f>
        <v>US$ mn</v>
      </c>
      <c r="H489" s="140">
        <f xml:space="preserve"> ProjectCashflows!H$241</f>
        <v>0</v>
      </c>
      <c r="I489" s="140">
        <f ca="1" xml:space="preserve"> ProjectCashflows!I$241</f>
        <v>6159.112593390113</v>
      </c>
      <c r="J489" s="140">
        <f xml:space="preserve"> ProjectCashflows!J$241</f>
        <v>0</v>
      </c>
      <c r="K489" s="140">
        <f ca="1" xml:space="preserve"> ProjectCashflows!K$241</f>
        <v>0</v>
      </c>
      <c r="L489" s="140">
        <f ca="1" xml:space="preserve"> ProjectCashflows!L$241</f>
        <v>0</v>
      </c>
      <c r="M489" s="140">
        <f ca="1" xml:space="preserve"> ProjectCashflows!M$241</f>
        <v>0</v>
      </c>
      <c r="N489" s="140">
        <f ca="1" xml:space="preserve"> ProjectCashflows!N$241</f>
        <v>0</v>
      </c>
      <c r="O489" s="140">
        <f ca="1" xml:space="preserve"> ProjectCashflows!O$241</f>
        <v>54.121608000000002</v>
      </c>
      <c r="P489" s="140">
        <f ca="1" xml:space="preserve"> ProjectCashflows!P$241</f>
        <v>198.73454457599999</v>
      </c>
      <c r="Q489" s="140">
        <f ca="1" xml:space="preserve"> ProjectCashflows!Q$241</f>
        <v>292.80222900864004</v>
      </c>
      <c r="R489" s="140">
        <f ca="1" xml:space="preserve"> ProjectCashflows!R$241</f>
        <v>298.65827358881279</v>
      </c>
      <c r="S489" s="140">
        <f ca="1" xml:space="preserve"> ProjectCashflows!S$241</f>
        <v>304.63143906058912</v>
      </c>
      <c r="T489" s="140">
        <f ca="1" xml:space="preserve"> ProjectCashflows!T$241</f>
        <v>310.72406784180089</v>
      </c>
      <c r="U489" s="140">
        <f ca="1" xml:space="preserve"> ProjectCashflows!U$241</f>
        <v>316.93854919863691</v>
      </c>
      <c r="V489" s="140">
        <f ca="1" xml:space="preserve"> ProjectCashflows!V$241</f>
        <v>323.27732018260963</v>
      </c>
      <c r="W489" s="140">
        <f ca="1" xml:space="preserve"> ProjectCashflows!W$241</f>
        <v>329.74286658626181</v>
      </c>
      <c r="X489" s="140">
        <f ca="1" xml:space="preserve"> ProjectCashflows!X$241</f>
        <v>336.33772391798703</v>
      </c>
      <c r="Y489" s="140">
        <f ca="1" xml:space="preserve"> ProjectCashflows!Y$241</f>
        <v>343.06447839634683</v>
      </c>
      <c r="Z489" s="140">
        <f ca="1" xml:space="preserve"> ProjectCashflows!Z$241</f>
        <v>349.92576796427375</v>
      </c>
      <c r="AA489" s="140">
        <f ca="1" xml:space="preserve"> ProjectCashflows!AA$241</f>
        <v>356.92428332355922</v>
      </c>
      <c r="AB489" s="140">
        <f ca="1" xml:space="preserve"> ProjectCashflows!AB$241</f>
        <v>364.06276899003046</v>
      </c>
      <c r="AC489" s="140">
        <f ca="1" xml:space="preserve"> ProjectCashflows!AC$241</f>
        <v>214.23693713644101</v>
      </c>
      <c r="AD489" s="140">
        <f ca="1" xml:space="preserve"> ProjectCashflows!AD$241</f>
        <v>203.95356415389182</v>
      </c>
      <c r="AE489" s="140">
        <f ca="1" xml:space="preserve"> ProjectCashflows!AE$241</f>
        <v>178.3136875174026</v>
      </c>
      <c r="AF489" s="140">
        <f ca="1" xml:space="preserve"> ProjectCashflows!AF$241</f>
        <v>168.23896417266934</v>
      </c>
      <c r="AG489" s="140">
        <f ca="1" xml:space="preserve"> ProjectCashflows!AG$241</f>
        <v>154.59796707758807</v>
      </c>
      <c r="AH489" s="140">
        <f ca="1" xml:space="preserve"> ProjectCashflows!AH$241</f>
        <v>149.80543009818282</v>
      </c>
      <c r="AI489" s="140">
        <f ca="1" xml:space="preserve"> ProjectCashflows!AI$241</f>
        <v>144.75935245277034</v>
      </c>
      <c r="AJ489" s="140">
        <f ca="1" xml:space="preserve"> ProjectCashflows!AJ$241</f>
        <v>139.45150952950212</v>
      </c>
      <c r="AK489" s="140">
        <f ca="1" xml:space="preserve"> ProjectCashflows!AK$241</f>
        <v>133.87344914832201</v>
      </c>
      <c r="AL489" s="140">
        <f ca="1" xml:space="preserve"> ProjectCashflows!AL$241</f>
        <v>128.01648574808294</v>
      </c>
      <c r="AM489" s="140">
        <f ca="1" xml:space="preserve"> ProjectCashflows!AM$241</f>
        <v>121.87169443217496</v>
      </c>
      <c r="AN489" s="140">
        <f ca="1" xml:space="preserve"> ProjectCashflows!AN$241</f>
        <v>124.30912832081846</v>
      </c>
      <c r="AO489" s="140">
        <f ca="1" xml:space="preserve"> ProjectCashflows!AO$241</f>
        <v>117.73850296671806</v>
      </c>
      <c r="AP489" s="140">
        <f ca="1" xml:space="preserve"> ProjectCashflows!AP$241</f>
        <v>0</v>
      </c>
      <c r="AQ489" s="140">
        <f ca="1" xml:space="preserve"> ProjectCashflows!AQ$241</f>
        <v>0</v>
      </c>
      <c r="AR489" s="140">
        <f ca="1" xml:space="preserve"> ProjectCashflows!AR$241</f>
        <v>0</v>
      </c>
      <c r="AS489" s="140">
        <f ca="1" xml:space="preserve"> ProjectCashflows!AS$241</f>
        <v>0</v>
      </c>
      <c r="AT489" s="140">
        <f ca="1" xml:space="preserve"> ProjectCashflows!AT$241</f>
        <v>0</v>
      </c>
      <c r="AU489" s="140">
        <f ca="1" xml:space="preserve"> ProjectCashflows!AU$241</f>
        <v>0</v>
      </c>
      <c r="AV489" s="140">
        <f ca="1" xml:space="preserve"> ProjectCashflows!AV$241</f>
        <v>0</v>
      </c>
      <c r="AW489" s="140">
        <f ca="1" xml:space="preserve"> ProjectCashflows!AW$241</f>
        <v>0</v>
      </c>
      <c r="AX489" s="140">
        <f ca="1" xml:space="preserve"> ProjectCashflows!AX$241</f>
        <v>0</v>
      </c>
    </row>
    <row r="490" spans="1:50" ht="15" customHeight="1" x14ac:dyDescent="0.25">
      <c r="A490" s="106"/>
      <c r="B490" s="174"/>
      <c r="C490" s="601"/>
      <c r="D490" s="117"/>
      <c r="E490" s="48" t="str">
        <f xml:space="preserve"> E$148</f>
        <v>Net decommissioning cashflows including fund</v>
      </c>
      <c r="F490" s="147">
        <f t="shared" ref="F490:AX490" si="126" xml:space="preserve"> F$148</f>
        <v>0</v>
      </c>
      <c r="G490" s="48" t="str">
        <f t="shared" si="126"/>
        <v>US$ mn</v>
      </c>
      <c r="H490" s="48">
        <f t="shared" si="126"/>
        <v>0</v>
      </c>
      <c r="I490" s="48">
        <f t="shared" ca="1" si="126"/>
        <v>1142.4449806063617</v>
      </c>
      <c r="J490" s="48">
        <f t="shared" si="126"/>
        <v>0</v>
      </c>
      <c r="K490" s="48">
        <f t="shared" ca="1" si="126"/>
        <v>0</v>
      </c>
      <c r="L490" s="48">
        <f t="shared" ca="1" si="126"/>
        <v>0</v>
      </c>
      <c r="M490" s="48">
        <f t="shared" ca="1" si="126"/>
        <v>0</v>
      </c>
      <c r="N490" s="48">
        <f t="shared" ca="1" si="126"/>
        <v>0</v>
      </c>
      <c r="O490" s="48">
        <f t="shared" ca="1" si="126"/>
        <v>0</v>
      </c>
      <c r="P490" s="48">
        <f t="shared" ca="1" si="126"/>
        <v>0</v>
      </c>
      <c r="Q490" s="48">
        <f t="shared" ca="1" si="126"/>
        <v>0</v>
      </c>
      <c r="R490" s="48">
        <f t="shared" ca="1" si="126"/>
        <v>0</v>
      </c>
      <c r="S490" s="48">
        <f t="shared" ca="1" si="126"/>
        <v>0</v>
      </c>
      <c r="T490" s="48">
        <f t="shared" ca="1" si="126"/>
        <v>0</v>
      </c>
      <c r="U490" s="48">
        <f t="shared" ca="1" si="126"/>
        <v>0</v>
      </c>
      <c r="V490" s="48">
        <f t="shared" ca="1" si="126"/>
        <v>0</v>
      </c>
      <c r="W490" s="48">
        <f t="shared" ca="1" si="126"/>
        <v>63.743472965385962</v>
      </c>
      <c r="X490" s="48">
        <f t="shared" ca="1" si="126"/>
        <v>63.743472965385962</v>
      </c>
      <c r="Y490" s="48">
        <f t="shared" ca="1" si="126"/>
        <v>63.743472965385962</v>
      </c>
      <c r="Z490" s="48">
        <f t="shared" ca="1" si="126"/>
        <v>63.743472965385962</v>
      </c>
      <c r="AA490" s="48">
        <f t="shared" ca="1" si="126"/>
        <v>63.743472965385962</v>
      </c>
      <c r="AB490" s="48">
        <f t="shared" ca="1" si="126"/>
        <v>63.743472965385962</v>
      </c>
      <c r="AC490" s="48">
        <f t="shared" ca="1" si="126"/>
        <v>63.743472965385962</v>
      </c>
      <c r="AD490" s="48">
        <f t="shared" ca="1" si="126"/>
        <v>63.743472965385962</v>
      </c>
      <c r="AE490" s="48">
        <f t="shared" ca="1" si="126"/>
        <v>63.743472965385962</v>
      </c>
      <c r="AF490" s="48">
        <f t="shared" ca="1" si="126"/>
        <v>63.743472965385962</v>
      </c>
      <c r="AG490" s="48">
        <f t="shared" ca="1" si="126"/>
        <v>63.743472965385962</v>
      </c>
      <c r="AH490" s="48">
        <f t="shared" ca="1" si="126"/>
        <v>63.743472965385962</v>
      </c>
      <c r="AI490" s="48">
        <f t="shared" ca="1" si="126"/>
        <v>63.743472965385962</v>
      </c>
      <c r="AJ490" s="48">
        <f t="shared" ca="1" si="126"/>
        <v>63.743472965385962</v>
      </c>
      <c r="AK490" s="48">
        <f t="shared" ca="1" si="126"/>
        <v>63.743472965385962</v>
      </c>
      <c r="AL490" s="48">
        <f t="shared" ca="1" si="126"/>
        <v>63.743472965385934</v>
      </c>
      <c r="AM490" s="48">
        <f t="shared" ca="1" si="126"/>
        <v>40.849804386728749</v>
      </c>
      <c r="AN490" s="48">
        <f t="shared" ca="1" si="126"/>
        <v>40.849804386728749</v>
      </c>
      <c r="AO490" s="48">
        <f t="shared" ca="1" si="126"/>
        <v>40.849804386728749</v>
      </c>
      <c r="AP490" s="48">
        <f t="shared" ca="1" si="126"/>
        <v>0</v>
      </c>
      <c r="AQ490" s="48">
        <f t="shared" ca="1" si="126"/>
        <v>0</v>
      </c>
      <c r="AR490" s="48">
        <f t="shared" ca="1" si="126"/>
        <v>0</v>
      </c>
      <c r="AS490" s="48">
        <f t="shared" ca="1" si="126"/>
        <v>0</v>
      </c>
      <c r="AT490" s="48">
        <f t="shared" ca="1" si="126"/>
        <v>0</v>
      </c>
      <c r="AU490" s="48">
        <f t="shared" ca="1" si="126"/>
        <v>0</v>
      </c>
      <c r="AV490" s="48">
        <f t="shared" ca="1" si="126"/>
        <v>0</v>
      </c>
      <c r="AW490" s="48">
        <f t="shared" ca="1" si="126"/>
        <v>0</v>
      </c>
      <c r="AX490" s="48">
        <f t="shared" ca="1" si="126"/>
        <v>0</v>
      </c>
    </row>
    <row r="491" spans="1:50" s="485" customFormat="1" ht="15" customHeight="1" x14ac:dyDescent="0.25">
      <c r="A491" s="510"/>
      <c r="B491" s="679"/>
      <c r="C491" s="640"/>
      <c r="D491" s="505"/>
      <c r="E491" s="485" t="str">
        <f xml:space="preserve"> Translate!E$290</f>
        <v>Other costs directly into cost recovery</v>
      </c>
      <c r="F491" s="505"/>
      <c r="G491" s="485" t="str">
        <f xml:space="preserve"> Translate!E$603</f>
        <v>US$ mn</v>
      </c>
      <c r="I491" s="485">
        <f ca="1" xml:space="preserve"> SUM(K491:AX491)</f>
        <v>7721.5575739964743</v>
      </c>
      <c r="K491" s="485">
        <f t="shared" ref="K491:AX491" ca="1" si="127">SUM(K488:K490)</f>
        <v>420</v>
      </c>
      <c r="L491" s="485">
        <f t="shared" ca="1" si="127"/>
        <v>0</v>
      </c>
      <c r="M491" s="485">
        <f t="shared" ca="1" si="127"/>
        <v>0</v>
      </c>
      <c r="N491" s="485">
        <f t="shared" ca="1" si="127"/>
        <v>0</v>
      </c>
      <c r="O491" s="485">
        <f t="shared" ca="1" si="127"/>
        <v>54.121608000000002</v>
      </c>
      <c r="P491" s="485">
        <f t="shared" ca="1" si="127"/>
        <v>198.73454457599999</v>
      </c>
      <c r="Q491" s="485">
        <f t="shared" ca="1" si="127"/>
        <v>292.80222900864004</v>
      </c>
      <c r="R491" s="485">
        <f t="shared" ca="1" si="127"/>
        <v>298.65827358881279</v>
      </c>
      <c r="S491" s="485">
        <f t="shared" ca="1" si="127"/>
        <v>304.63143906058912</v>
      </c>
      <c r="T491" s="485">
        <f t="shared" ca="1" si="127"/>
        <v>310.72406784180089</v>
      </c>
      <c r="U491" s="485">
        <f t="shared" ca="1" si="127"/>
        <v>316.93854919863691</v>
      </c>
      <c r="V491" s="485">
        <f t="shared" ca="1" si="127"/>
        <v>323.27732018260963</v>
      </c>
      <c r="W491" s="485">
        <f t="shared" ca="1" si="127"/>
        <v>393.4863395516478</v>
      </c>
      <c r="X491" s="485">
        <f t="shared" ca="1" si="127"/>
        <v>400.08119688337297</v>
      </c>
      <c r="Y491" s="485">
        <f t="shared" ca="1" si="127"/>
        <v>406.80795136173276</v>
      </c>
      <c r="Z491" s="485">
        <f t="shared" ca="1" si="127"/>
        <v>413.66924092965974</v>
      </c>
      <c r="AA491" s="485">
        <f t="shared" ca="1" si="127"/>
        <v>420.66775628894516</v>
      </c>
      <c r="AB491" s="485">
        <f t="shared" ca="1" si="127"/>
        <v>427.80624195541645</v>
      </c>
      <c r="AC491" s="485">
        <f t="shared" ca="1" si="127"/>
        <v>277.98041010182698</v>
      </c>
      <c r="AD491" s="485">
        <f t="shared" ca="1" si="127"/>
        <v>267.69703711927775</v>
      </c>
      <c r="AE491" s="485">
        <f t="shared" ca="1" si="127"/>
        <v>242.05716048278856</v>
      </c>
      <c r="AF491" s="485">
        <f t="shared" ca="1" si="127"/>
        <v>231.9824371380553</v>
      </c>
      <c r="AG491" s="485">
        <f t="shared" ca="1" si="127"/>
        <v>218.34144004297403</v>
      </c>
      <c r="AH491" s="485">
        <f t="shared" ca="1" si="127"/>
        <v>213.54890306356879</v>
      </c>
      <c r="AI491" s="485">
        <f t="shared" ca="1" si="127"/>
        <v>208.50282541815631</v>
      </c>
      <c r="AJ491" s="485">
        <f t="shared" ca="1" si="127"/>
        <v>203.19498249488808</v>
      </c>
      <c r="AK491" s="485">
        <f t="shared" ca="1" si="127"/>
        <v>197.61692211370797</v>
      </c>
      <c r="AL491" s="485">
        <f t="shared" ca="1" si="127"/>
        <v>191.75995871346888</v>
      </c>
      <c r="AM491" s="485">
        <f t="shared" ca="1" si="127"/>
        <v>162.72149881890371</v>
      </c>
      <c r="AN491" s="485">
        <f t="shared" ca="1" si="127"/>
        <v>165.15893270754719</v>
      </c>
      <c r="AO491" s="485">
        <f t="shared" ca="1" si="127"/>
        <v>158.58830735344679</v>
      </c>
      <c r="AP491" s="485">
        <f t="shared" ca="1" si="127"/>
        <v>0</v>
      </c>
      <c r="AQ491" s="485">
        <f t="shared" ca="1" si="127"/>
        <v>0</v>
      </c>
      <c r="AR491" s="485">
        <f t="shared" ca="1" si="127"/>
        <v>0</v>
      </c>
      <c r="AS491" s="485">
        <f t="shared" ca="1" si="127"/>
        <v>0</v>
      </c>
      <c r="AT491" s="485">
        <f t="shared" ca="1" si="127"/>
        <v>0</v>
      </c>
      <c r="AU491" s="485">
        <f t="shared" ca="1" si="127"/>
        <v>0</v>
      </c>
      <c r="AV491" s="485">
        <f t="shared" ca="1" si="127"/>
        <v>0</v>
      </c>
      <c r="AW491" s="485">
        <f t="shared" ca="1" si="127"/>
        <v>0</v>
      </c>
      <c r="AX491" s="485">
        <f t="shared" ca="1" si="127"/>
        <v>0</v>
      </c>
    </row>
    <row r="492" spans="1:50" ht="15" customHeight="1" x14ac:dyDescent="0.25">
      <c r="A492" s="106"/>
      <c r="B492" s="174"/>
      <c r="C492" s="601"/>
      <c r="D492" s="117"/>
      <c r="E492" s="116"/>
      <c r="F492" s="117"/>
      <c r="G492" s="116"/>
      <c r="H492" s="116"/>
      <c r="I492" s="116"/>
      <c r="J492" s="116"/>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row>
    <row r="493" spans="1:50" ht="15" customHeight="1" x14ac:dyDescent="0.25">
      <c r="A493" s="106"/>
      <c r="B493" s="174"/>
      <c r="C493" s="601" t="str">
        <f xml:space="preserve"> Translate!E$291</f>
        <v>Costs into cost recovery</v>
      </c>
      <c r="D493" s="117"/>
      <c r="E493" s="116"/>
      <c r="F493" s="117"/>
      <c r="G493" s="116"/>
      <c r="H493" s="116"/>
      <c r="I493" s="116"/>
      <c r="J493" s="116"/>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row>
    <row r="494" spans="1:50" ht="15" customHeight="1" x14ac:dyDescent="0.25">
      <c r="A494" s="106"/>
      <c r="B494" s="174"/>
      <c r="C494" s="601"/>
      <c r="D494" s="117"/>
      <c r="E494" s="3" t="str">
        <f xml:space="preserve"> E$465</f>
        <v>Interest expensed into cost recovery</v>
      </c>
      <c r="F494" s="44">
        <f t="shared" ref="F494:AX494" si="128" xml:space="preserve"> F$465</f>
        <v>0</v>
      </c>
      <c r="G494" s="3" t="str">
        <f t="shared" si="128"/>
        <v>US$ mn</v>
      </c>
      <c r="H494" s="3">
        <f t="shared" si="128"/>
        <v>0</v>
      </c>
      <c r="I494" s="3">
        <f t="shared" ca="1" si="128"/>
        <v>0</v>
      </c>
      <c r="J494" s="3">
        <f t="shared" si="128"/>
        <v>0</v>
      </c>
      <c r="K494" s="3">
        <f ca="1" xml:space="preserve"> K$465</f>
        <v>0</v>
      </c>
      <c r="L494" s="3">
        <f t="shared" ca="1" si="128"/>
        <v>0</v>
      </c>
      <c r="M494" s="3">
        <f t="shared" ca="1" si="128"/>
        <v>0</v>
      </c>
      <c r="N494" s="3">
        <f t="shared" ca="1" si="128"/>
        <v>0</v>
      </c>
      <c r="O494" s="3">
        <f t="shared" ca="1" si="128"/>
        <v>0</v>
      </c>
      <c r="P494" s="3">
        <f t="shared" ca="1" si="128"/>
        <v>0</v>
      </c>
      <c r="Q494" s="3">
        <f t="shared" ca="1" si="128"/>
        <v>0</v>
      </c>
      <c r="R494" s="3">
        <f t="shared" ca="1" si="128"/>
        <v>0</v>
      </c>
      <c r="S494" s="3">
        <f t="shared" ca="1" si="128"/>
        <v>0</v>
      </c>
      <c r="T494" s="3">
        <f t="shared" ca="1" si="128"/>
        <v>0</v>
      </c>
      <c r="U494" s="3">
        <f t="shared" ca="1" si="128"/>
        <v>0</v>
      </c>
      <c r="V494" s="3">
        <f t="shared" ca="1" si="128"/>
        <v>0</v>
      </c>
      <c r="W494" s="3">
        <f t="shared" ca="1" si="128"/>
        <v>0</v>
      </c>
      <c r="X494" s="3">
        <f t="shared" ca="1" si="128"/>
        <v>0</v>
      </c>
      <c r="Y494" s="3">
        <f t="shared" ca="1" si="128"/>
        <v>0</v>
      </c>
      <c r="Z494" s="3">
        <f t="shared" ca="1" si="128"/>
        <v>0</v>
      </c>
      <c r="AA494" s="3">
        <f t="shared" ca="1" si="128"/>
        <v>0</v>
      </c>
      <c r="AB494" s="3">
        <f t="shared" ca="1" si="128"/>
        <v>0</v>
      </c>
      <c r="AC494" s="3">
        <f t="shared" ca="1" si="128"/>
        <v>0</v>
      </c>
      <c r="AD494" s="3">
        <f t="shared" ca="1" si="128"/>
        <v>0</v>
      </c>
      <c r="AE494" s="3">
        <f t="shared" ca="1" si="128"/>
        <v>0</v>
      </c>
      <c r="AF494" s="3">
        <f t="shared" ca="1" si="128"/>
        <v>0</v>
      </c>
      <c r="AG494" s="3">
        <f t="shared" ca="1" si="128"/>
        <v>0</v>
      </c>
      <c r="AH494" s="3">
        <f t="shared" ca="1" si="128"/>
        <v>0</v>
      </c>
      <c r="AI494" s="3">
        <f t="shared" ca="1" si="128"/>
        <v>0</v>
      </c>
      <c r="AJ494" s="3">
        <f t="shared" ca="1" si="128"/>
        <v>0</v>
      </c>
      <c r="AK494" s="3">
        <f t="shared" ca="1" si="128"/>
        <v>0</v>
      </c>
      <c r="AL494" s="3">
        <f t="shared" ca="1" si="128"/>
        <v>0</v>
      </c>
      <c r="AM494" s="3">
        <f t="shared" ca="1" si="128"/>
        <v>0</v>
      </c>
      <c r="AN494" s="3">
        <f t="shared" ca="1" si="128"/>
        <v>0</v>
      </c>
      <c r="AO494" s="3">
        <f t="shared" ca="1" si="128"/>
        <v>0</v>
      </c>
      <c r="AP494" s="3">
        <f t="shared" ca="1" si="128"/>
        <v>0</v>
      </c>
      <c r="AQ494" s="3">
        <f t="shared" ca="1" si="128"/>
        <v>0</v>
      </c>
      <c r="AR494" s="3">
        <f t="shared" ca="1" si="128"/>
        <v>0</v>
      </c>
      <c r="AS494" s="3">
        <f t="shared" ca="1" si="128"/>
        <v>0</v>
      </c>
      <c r="AT494" s="3">
        <f t="shared" ca="1" si="128"/>
        <v>0</v>
      </c>
      <c r="AU494" s="3">
        <f t="shared" ca="1" si="128"/>
        <v>0</v>
      </c>
      <c r="AV494" s="3">
        <f t="shared" ca="1" si="128"/>
        <v>0</v>
      </c>
      <c r="AW494" s="3">
        <f t="shared" ca="1" si="128"/>
        <v>0</v>
      </c>
      <c r="AX494" s="3">
        <f t="shared" ca="1" si="128"/>
        <v>0</v>
      </c>
    </row>
    <row r="495" spans="1:50" ht="15" customHeight="1" x14ac:dyDescent="0.25">
      <c r="A495" s="106"/>
      <c r="B495" s="174"/>
      <c r="C495" s="601"/>
      <c r="D495" s="117"/>
      <c r="E495" s="3" t="str">
        <f t="shared" ref="E495:AX495" si="129" xml:space="preserve"> E$471</f>
        <v>Development and replacement capital costs into cost recovery</v>
      </c>
      <c r="F495" s="44">
        <f t="shared" si="129"/>
        <v>0</v>
      </c>
      <c r="G495" s="3" t="str">
        <f t="shared" si="129"/>
        <v>US$ mn</v>
      </c>
      <c r="H495" s="3">
        <f t="shared" si="129"/>
        <v>0</v>
      </c>
      <c r="I495" s="3">
        <f t="shared" ca="1" si="129"/>
        <v>10455.572281430788</v>
      </c>
      <c r="J495" s="3">
        <f t="shared" si="129"/>
        <v>0</v>
      </c>
      <c r="K495" s="3">
        <f ca="1" xml:space="preserve"> K$471</f>
        <v>0</v>
      </c>
      <c r="L495" s="3">
        <f t="shared" ca="1" si="129"/>
        <v>51</v>
      </c>
      <c r="M495" s="3">
        <f t="shared" ca="1" si="129"/>
        <v>312.12</v>
      </c>
      <c r="N495" s="3">
        <f t="shared" ca="1" si="129"/>
        <v>1273.4495999999999</v>
      </c>
      <c r="O495" s="3">
        <f t="shared" ca="1" si="129"/>
        <v>1298.918592</v>
      </c>
      <c r="P495" s="3">
        <f t="shared" ca="1" si="129"/>
        <v>2318.5696867199999</v>
      </c>
      <c r="Q495" s="3">
        <f t="shared" ca="1" si="129"/>
        <v>1238.7786611904</v>
      </c>
      <c r="R495" s="3">
        <f t="shared" ca="1" si="129"/>
        <v>516.90855044217597</v>
      </c>
      <c r="S495" s="3">
        <f t="shared" ca="1" si="129"/>
        <v>292.91484525056643</v>
      </c>
      <c r="T495" s="3">
        <f t="shared" ca="1" si="129"/>
        <v>298.77314215557777</v>
      </c>
      <c r="U495" s="3">
        <f t="shared" ca="1" si="129"/>
        <v>304.74860499868936</v>
      </c>
      <c r="V495" s="3">
        <f t="shared" ca="1" si="129"/>
        <v>310.8435770986631</v>
      </c>
      <c r="W495" s="3">
        <f t="shared" ca="1" si="129"/>
        <v>317.06044864063637</v>
      </c>
      <c r="X495" s="3">
        <f t="shared" ca="1" si="129"/>
        <v>323.40165761344906</v>
      </c>
      <c r="Y495" s="3">
        <f t="shared" ca="1" si="129"/>
        <v>329.86969076571808</v>
      </c>
      <c r="Z495" s="3">
        <f t="shared" ca="1" si="129"/>
        <v>336.46708458103245</v>
      </c>
      <c r="AA495" s="3">
        <f t="shared" ca="1" si="129"/>
        <v>343.19642627265313</v>
      </c>
      <c r="AB495" s="3">
        <f t="shared" ca="1" si="129"/>
        <v>0</v>
      </c>
      <c r="AC495" s="3">
        <f t="shared" ca="1" si="129"/>
        <v>0</v>
      </c>
      <c r="AD495" s="3">
        <f t="shared" ca="1" si="129"/>
        <v>291.36223450555974</v>
      </c>
      <c r="AE495" s="3">
        <f t="shared" ca="1" si="129"/>
        <v>297.18947919567097</v>
      </c>
      <c r="AF495" s="3">
        <f t="shared" ca="1" si="129"/>
        <v>0</v>
      </c>
      <c r="AG495" s="3">
        <f t="shared" ca="1" si="129"/>
        <v>0</v>
      </c>
      <c r="AH495" s="3">
        <f t="shared" ca="1" si="129"/>
        <v>0</v>
      </c>
      <c r="AI495" s="3">
        <f t="shared" ca="1" si="129"/>
        <v>0</v>
      </c>
      <c r="AJ495" s="3">
        <f t="shared" ca="1" si="129"/>
        <v>0</v>
      </c>
      <c r="AK495" s="3">
        <f t="shared" ca="1" si="129"/>
        <v>0</v>
      </c>
      <c r="AL495" s="3">
        <f t="shared" ca="1" si="129"/>
        <v>0</v>
      </c>
      <c r="AM495" s="3">
        <f t="shared" ca="1" si="129"/>
        <v>0</v>
      </c>
      <c r="AN495" s="3">
        <f t="shared" ca="1" si="129"/>
        <v>0</v>
      </c>
      <c r="AO495" s="3">
        <f t="shared" ca="1" si="129"/>
        <v>0</v>
      </c>
      <c r="AP495" s="3">
        <f t="shared" ca="1" si="129"/>
        <v>0</v>
      </c>
      <c r="AQ495" s="3">
        <f t="shared" ca="1" si="129"/>
        <v>0</v>
      </c>
      <c r="AR495" s="3">
        <f t="shared" ca="1" si="129"/>
        <v>0</v>
      </c>
      <c r="AS495" s="3">
        <f t="shared" ca="1" si="129"/>
        <v>0</v>
      </c>
      <c r="AT495" s="3">
        <f t="shared" ca="1" si="129"/>
        <v>0</v>
      </c>
      <c r="AU495" s="3">
        <f t="shared" ca="1" si="129"/>
        <v>0</v>
      </c>
      <c r="AV495" s="3">
        <f t="shared" ca="1" si="129"/>
        <v>0</v>
      </c>
      <c r="AW495" s="3">
        <f t="shared" ca="1" si="129"/>
        <v>0</v>
      </c>
      <c r="AX495" s="3">
        <f t="shared" ca="1" si="129"/>
        <v>0</v>
      </c>
    </row>
    <row r="496" spans="1:50" ht="15" customHeight="1" x14ac:dyDescent="0.25">
      <c r="A496" s="106"/>
      <c r="B496" s="174"/>
      <c r="C496" s="601"/>
      <c r="D496" s="117"/>
      <c r="E496" s="3" t="str">
        <f xml:space="preserve"> E$478</f>
        <v>Bonuses into cost recovery</v>
      </c>
      <c r="F496" s="44">
        <f t="shared" ref="F496:AX496" si="130" xml:space="preserve"> F$478</f>
        <v>0</v>
      </c>
      <c r="G496" s="3" t="str">
        <f t="shared" si="130"/>
        <v>US$ mn</v>
      </c>
      <c r="H496" s="3">
        <f t="shared" si="130"/>
        <v>0</v>
      </c>
      <c r="I496" s="3">
        <f t="shared" ca="1" si="130"/>
        <v>0</v>
      </c>
      <c r="J496" s="3">
        <f t="shared" si="130"/>
        <v>0</v>
      </c>
      <c r="K496" s="3">
        <f ca="1" xml:space="preserve"> K$478</f>
        <v>0</v>
      </c>
      <c r="L496" s="3">
        <f t="shared" ca="1" si="130"/>
        <v>0</v>
      </c>
      <c r="M496" s="3">
        <f t="shared" ca="1" si="130"/>
        <v>0</v>
      </c>
      <c r="N496" s="3">
        <f t="shared" ca="1" si="130"/>
        <v>0</v>
      </c>
      <c r="O496" s="3">
        <f t="shared" ca="1" si="130"/>
        <v>0</v>
      </c>
      <c r="P496" s="3">
        <f t="shared" ca="1" si="130"/>
        <v>0</v>
      </c>
      <c r="Q496" s="3">
        <f t="shared" ca="1" si="130"/>
        <v>0</v>
      </c>
      <c r="R496" s="3">
        <f t="shared" ca="1" si="130"/>
        <v>0</v>
      </c>
      <c r="S496" s="3">
        <f t="shared" ca="1" si="130"/>
        <v>0</v>
      </c>
      <c r="T496" s="3">
        <f t="shared" ca="1" si="130"/>
        <v>0</v>
      </c>
      <c r="U496" s="3">
        <f t="shared" ca="1" si="130"/>
        <v>0</v>
      </c>
      <c r="V496" s="3">
        <f t="shared" ca="1" si="130"/>
        <v>0</v>
      </c>
      <c r="W496" s="3">
        <f t="shared" ca="1" si="130"/>
        <v>0</v>
      </c>
      <c r="X496" s="3">
        <f t="shared" ca="1" si="130"/>
        <v>0</v>
      </c>
      <c r="Y496" s="3">
        <f t="shared" ca="1" si="130"/>
        <v>0</v>
      </c>
      <c r="Z496" s="3">
        <f t="shared" ca="1" si="130"/>
        <v>0</v>
      </c>
      <c r="AA496" s="3">
        <f t="shared" ca="1" si="130"/>
        <v>0</v>
      </c>
      <c r="AB496" s="3">
        <f t="shared" ca="1" si="130"/>
        <v>0</v>
      </c>
      <c r="AC496" s="3">
        <f t="shared" ca="1" si="130"/>
        <v>0</v>
      </c>
      <c r="AD496" s="3">
        <f t="shared" ca="1" si="130"/>
        <v>0</v>
      </c>
      <c r="AE496" s="3">
        <f t="shared" ca="1" si="130"/>
        <v>0</v>
      </c>
      <c r="AF496" s="3">
        <f t="shared" ca="1" si="130"/>
        <v>0</v>
      </c>
      <c r="AG496" s="3">
        <f t="shared" ca="1" si="130"/>
        <v>0</v>
      </c>
      <c r="AH496" s="3">
        <f t="shared" ca="1" si="130"/>
        <v>0</v>
      </c>
      <c r="AI496" s="3">
        <f t="shared" ca="1" si="130"/>
        <v>0</v>
      </c>
      <c r="AJ496" s="3">
        <f t="shared" ca="1" si="130"/>
        <v>0</v>
      </c>
      <c r="AK496" s="3">
        <f t="shared" ca="1" si="130"/>
        <v>0</v>
      </c>
      <c r="AL496" s="3">
        <f t="shared" ca="1" si="130"/>
        <v>0</v>
      </c>
      <c r="AM496" s="3">
        <f t="shared" ca="1" si="130"/>
        <v>0</v>
      </c>
      <c r="AN496" s="3">
        <f t="shared" ca="1" si="130"/>
        <v>0</v>
      </c>
      <c r="AO496" s="3">
        <f t="shared" ca="1" si="130"/>
        <v>0</v>
      </c>
      <c r="AP496" s="3">
        <f t="shared" ca="1" si="130"/>
        <v>0</v>
      </c>
      <c r="AQ496" s="3">
        <f t="shared" ca="1" si="130"/>
        <v>0</v>
      </c>
      <c r="AR496" s="3">
        <f t="shared" ca="1" si="130"/>
        <v>0</v>
      </c>
      <c r="AS496" s="3">
        <f t="shared" ca="1" si="130"/>
        <v>0</v>
      </c>
      <c r="AT496" s="3">
        <f t="shared" ca="1" si="130"/>
        <v>0</v>
      </c>
      <c r="AU496" s="3">
        <f t="shared" ca="1" si="130"/>
        <v>0</v>
      </c>
      <c r="AV496" s="3">
        <f t="shared" ca="1" si="130"/>
        <v>0</v>
      </c>
      <c r="AW496" s="3">
        <f t="shared" ca="1" si="130"/>
        <v>0</v>
      </c>
      <c r="AX496" s="3">
        <f t="shared" ca="1" si="130"/>
        <v>0</v>
      </c>
    </row>
    <row r="497" spans="1:50" ht="15" customHeight="1" x14ac:dyDescent="0.25">
      <c r="A497" s="106"/>
      <c r="B497" s="174"/>
      <c r="C497" s="601"/>
      <c r="D497" s="117"/>
      <c r="E497" s="3" t="str">
        <f>E$485</f>
        <v>Carbon tax into cost recovery</v>
      </c>
      <c r="F497" s="3">
        <f>F$485</f>
        <v>0</v>
      </c>
      <c r="G497" s="3" t="str">
        <f>G$485</f>
        <v>US$ mn</v>
      </c>
      <c r="H497" s="3">
        <f t="shared" ref="H497:AX497" si="131">H$485</f>
        <v>0</v>
      </c>
      <c r="I497" s="3">
        <f ca="1">I$485</f>
        <v>1010.9375317244442</v>
      </c>
      <c r="J497" s="3">
        <f>J$485</f>
        <v>0</v>
      </c>
      <c r="K497" s="3">
        <f ca="1">K$485</f>
        <v>0</v>
      </c>
      <c r="L497" s="3">
        <f t="shared" ca="1" si="131"/>
        <v>0</v>
      </c>
      <c r="M497" s="3">
        <f t="shared" ca="1" si="131"/>
        <v>0</v>
      </c>
      <c r="N497" s="3">
        <f t="shared" ca="1" si="131"/>
        <v>0</v>
      </c>
      <c r="O497" s="3">
        <f t="shared" ca="1" si="131"/>
        <v>4.3932277328165359</v>
      </c>
      <c r="P497" s="3">
        <f t="shared" ca="1" si="131"/>
        <v>34.512210000000003</v>
      </c>
      <c r="Q497" s="3">
        <f t="shared" ca="1" si="131"/>
        <v>69.024420000000006</v>
      </c>
      <c r="R497" s="3">
        <f t="shared" ca="1" si="131"/>
        <v>69.024420000000006</v>
      </c>
      <c r="S497" s="3">
        <f t="shared" ca="1" si="131"/>
        <v>69.024420000000006</v>
      </c>
      <c r="T497" s="3">
        <f t="shared" ca="1" si="131"/>
        <v>69.024420000000006</v>
      </c>
      <c r="U497" s="3">
        <f t="shared" ca="1" si="131"/>
        <v>69.024420000000006</v>
      </c>
      <c r="V497" s="3">
        <f t="shared" ca="1" si="131"/>
        <v>69.024420000000006</v>
      </c>
      <c r="W497" s="3">
        <f t="shared" ca="1" si="131"/>
        <v>69.024420000000006</v>
      </c>
      <c r="X497" s="3">
        <f t="shared" ca="1" si="131"/>
        <v>69.024420000000006</v>
      </c>
      <c r="Y497" s="3">
        <f t="shared" ca="1" si="131"/>
        <v>69.024420000000006</v>
      </c>
      <c r="Z497" s="3">
        <f t="shared" ca="1" si="131"/>
        <v>69.024420000000006</v>
      </c>
      <c r="AA497" s="3">
        <f t="shared" ca="1" si="131"/>
        <v>55.909780200000014</v>
      </c>
      <c r="AB497" s="3">
        <f t="shared" ca="1" si="131"/>
        <v>45.286921962000008</v>
      </c>
      <c r="AC497" s="3">
        <f t="shared" ca="1" si="131"/>
        <v>36.682406789220011</v>
      </c>
      <c r="AD497" s="3">
        <f t="shared" ca="1" si="131"/>
        <v>29.71274949926822</v>
      </c>
      <c r="AE497" s="3">
        <f t="shared" ca="1" si="131"/>
        <v>24.067327094407261</v>
      </c>
      <c r="AF497" s="3">
        <f t="shared" ca="1" si="131"/>
        <v>19.49453494646988</v>
      </c>
      <c r="AG497" s="3">
        <f t="shared" ca="1" si="131"/>
        <v>15.790573306640605</v>
      </c>
      <c r="AH497" s="3">
        <f t="shared" ca="1" si="131"/>
        <v>12.790364378378891</v>
      </c>
      <c r="AI497" s="3">
        <f t="shared" ca="1" si="131"/>
        <v>10.360195146486902</v>
      </c>
      <c r="AJ497" s="3">
        <f t="shared" ca="1" si="131"/>
        <v>8.39175806865439</v>
      </c>
      <c r="AK497" s="3">
        <f t="shared" ca="1" si="131"/>
        <v>6.7973240356100568</v>
      </c>
      <c r="AL497" s="3">
        <f t="shared" ca="1" si="131"/>
        <v>5.5058324688441456</v>
      </c>
      <c r="AM497" s="3">
        <f t="shared" ca="1" si="131"/>
        <v>4.4597242997637574</v>
      </c>
      <c r="AN497" s="3">
        <f t="shared" ca="1" si="131"/>
        <v>3.6123766828086437</v>
      </c>
      <c r="AO497" s="3">
        <f t="shared" ca="1" si="131"/>
        <v>2.9260251130750028</v>
      </c>
      <c r="AP497" s="3">
        <f t="shared" ca="1" si="131"/>
        <v>0</v>
      </c>
      <c r="AQ497" s="3">
        <f t="shared" ca="1" si="131"/>
        <v>0</v>
      </c>
      <c r="AR497" s="3">
        <f t="shared" ca="1" si="131"/>
        <v>0</v>
      </c>
      <c r="AS497" s="3">
        <f t="shared" ca="1" si="131"/>
        <v>0</v>
      </c>
      <c r="AT497" s="3">
        <f t="shared" ca="1" si="131"/>
        <v>0</v>
      </c>
      <c r="AU497" s="3">
        <f t="shared" ca="1" si="131"/>
        <v>0</v>
      </c>
      <c r="AV497" s="3">
        <f t="shared" ca="1" si="131"/>
        <v>0</v>
      </c>
      <c r="AW497" s="3">
        <f t="shared" ca="1" si="131"/>
        <v>0</v>
      </c>
      <c r="AX497" s="3">
        <f t="shared" ca="1" si="131"/>
        <v>0</v>
      </c>
    </row>
    <row r="498" spans="1:50" ht="15" customHeight="1" x14ac:dyDescent="0.25">
      <c r="A498" s="106"/>
      <c r="B498" s="174"/>
      <c r="C498" s="601"/>
      <c r="D498" s="117"/>
      <c r="E498" s="3" t="str">
        <f xml:space="preserve"> E$491</f>
        <v>Other costs directly into cost recovery</v>
      </c>
      <c r="F498" s="44">
        <f t="shared" ref="F498:AX498" si="132" xml:space="preserve"> F$491</f>
        <v>0</v>
      </c>
      <c r="G498" s="3" t="str">
        <f t="shared" si="132"/>
        <v>US$ mn</v>
      </c>
      <c r="H498" s="3">
        <f t="shared" si="132"/>
        <v>0</v>
      </c>
      <c r="I498" s="3">
        <f t="shared" ca="1" si="132"/>
        <v>7721.5575739964743</v>
      </c>
      <c r="J498" s="3">
        <f t="shared" si="132"/>
        <v>0</v>
      </c>
      <c r="K498" s="3">
        <f ca="1" xml:space="preserve"> K$491</f>
        <v>420</v>
      </c>
      <c r="L498" s="3">
        <f t="shared" ca="1" si="132"/>
        <v>0</v>
      </c>
      <c r="M498" s="3">
        <f t="shared" ca="1" si="132"/>
        <v>0</v>
      </c>
      <c r="N498" s="3">
        <f t="shared" ca="1" si="132"/>
        <v>0</v>
      </c>
      <c r="O498" s="3">
        <f t="shared" ca="1" si="132"/>
        <v>54.121608000000002</v>
      </c>
      <c r="P498" s="3">
        <f t="shared" ca="1" si="132"/>
        <v>198.73454457599999</v>
      </c>
      <c r="Q498" s="3">
        <f t="shared" ca="1" si="132"/>
        <v>292.80222900864004</v>
      </c>
      <c r="R498" s="3">
        <f t="shared" ca="1" si="132"/>
        <v>298.65827358881279</v>
      </c>
      <c r="S498" s="3">
        <f t="shared" ca="1" si="132"/>
        <v>304.63143906058912</v>
      </c>
      <c r="T498" s="3">
        <f t="shared" ca="1" si="132"/>
        <v>310.72406784180089</v>
      </c>
      <c r="U498" s="3">
        <f t="shared" ca="1" si="132"/>
        <v>316.93854919863691</v>
      </c>
      <c r="V498" s="3">
        <f t="shared" ca="1" si="132"/>
        <v>323.27732018260963</v>
      </c>
      <c r="W498" s="3">
        <f t="shared" ca="1" si="132"/>
        <v>393.4863395516478</v>
      </c>
      <c r="X498" s="3">
        <f t="shared" ca="1" si="132"/>
        <v>400.08119688337297</v>
      </c>
      <c r="Y498" s="3">
        <f t="shared" ca="1" si="132"/>
        <v>406.80795136173276</v>
      </c>
      <c r="Z498" s="3">
        <f t="shared" ca="1" si="132"/>
        <v>413.66924092965974</v>
      </c>
      <c r="AA498" s="3">
        <f t="shared" ca="1" si="132"/>
        <v>420.66775628894516</v>
      </c>
      <c r="AB498" s="3">
        <f t="shared" ca="1" si="132"/>
        <v>427.80624195541645</v>
      </c>
      <c r="AC498" s="3">
        <f t="shared" ca="1" si="132"/>
        <v>277.98041010182698</v>
      </c>
      <c r="AD498" s="3">
        <f t="shared" ca="1" si="132"/>
        <v>267.69703711927775</v>
      </c>
      <c r="AE498" s="3">
        <f t="shared" ca="1" si="132"/>
        <v>242.05716048278856</v>
      </c>
      <c r="AF498" s="3">
        <f t="shared" ca="1" si="132"/>
        <v>231.9824371380553</v>
      </c>
      <c r="AG498" s="3">
        <f t="shared" ca="1" si="132"/>
        <v>218.34144004297403</v>
      </c>
      <c r="AH498" s="3">
        <f t="shared" ca="1" si="132"/>
        <v>213.54890306356879</v>
      </c>
      <c r="AI498" s="3">
        <f t="shared" ca="1" si="132"/>
        <v>208.50282541815631</v>
      </c>
      <c r="AJ498" s="3">
        <f t="shared" ca="1" si="132"/>
        <v>203.19498249488808</v>
      </c>
      <c r="AK498" s="3">
        <f t="shared" ca="1" si="132"/>
        <v>197.61692211370797</v>
      </c>
      <c r="AL498" s="3">
        <f t="shared" ca="1" si="132"/>
        <v>191.75995871346888</v>
      </c>
      <c r="AM498" s="3">
        <f t="shared" ca="1" si="132"/>
        <v>162.72149881890371</v>
      </c>
      <c r="AN498" s="3">
        <f t="shared" ca="1" si="132"/>
        <v>165.15893270754719</v>
      </c>
      <c r="AO498" s="3">
        <f t="shared" ca="1" si="132"/>
        <v>158.58830735344679</v>
      </c>
      <c r="AP498" s="3">
        <f t="shared" ca="1" si="132"/>
        <v>0</v>
      </c>
      <c r="AQ498" s="3">
        <f t="shared" ca="1" si="132"/>
        <v>0</v>
      </c>
      <c r="AR498" s="3">
        <f t="shared" ca="1" si="132"/>
        <v>0</v>
      </c>
      <c r="AS498" s="3">
        <f t="shared" ca="1" si="132"/>
        <v>0</v>
      </c>
      <c r="AT498" s="3">
        <f t="shared" ca="1" si="132"/>
        <v>0</v>
      </c>
      <c r="AU498" s="3">
        <f t="shared" ca="1" si="132"/>
        <v>0</v>
      </c>
      <c r="AV498" s="3">
        <f t="shared" ca="1" si="132"/>
        <v>0</v>
      </c>
      <c r="AW498" s="3">
        <f t="shared" ca="1" si="132"/>
        <v>0</v>
      </c>
      <c r="AX498" s="3">
        <f t="shared" ca="1" si="132"/>
        <v>0</v>
      </c>
    </row>
    <row r="499" spans="1:50" s="485" customFormat="1" ht="15" customHeight="1" x14ac:dyDescent="0.25">
      <c r="A499" s="493"/>
      <c r="B499" s="680"/>
      <c r="C499" s="641"/>
      <c r="D499" s="495"/>
      <c r="E499" s="494" t="str">
        <f xml:space="preserve"> Translate!E$291</f>
        <v>Costs into cost recovery</v>
      </c>
      <c r="F499" s="495"/>
      <c r="G499" s="494" t="str">
        <f xml:space="preserve"> Translate!E$603</f>
        <v>US$ mn</v>
      </c>
      <c r="H499" s="494"/>
      <c r="I499" s="494">
        <f ca="1" xml:space="preserve"> SUM(K499:AX499)</f>
        <v>19188.067387151714</v>
      </c>
      <c r="J499" s="494"/>
      <c r="K499" s="494">
        <f ca="1">SUM(K494:K498)</f>
        <v>420</v>
      </c>
      <c r="L499" s="494">
        <f t="shared" ref="L499:AX499" ca="1" si="133">SUM(L494:L498)</f>
        <v>51</v>
      </c>
      <c r="M499" s="494">
        <f t="shared" ca="1" si="133"/>
        <v>312.12</v>
      </c>
      <c r="N499" s="494">
        <f t="shared" ca="1" si="133"/>
        <v>1273.4495999999999</v>
      </c>
      <c r="O499" s="494">
        <f t="shared" ca="1" si="133"/>
        <v>1357.4334277328164</v>
      </c>
      <c r="P499" s="494">
        <f t="shared" ca="1" si="133"/>
        <v>2551.816441296</v>
      </c>
      <c r="Q499" s="494">
        <f t="shared" ca="1" si="133"/>
        <v>1600.6053101990401</v>
      </c>
      <c r="R499" s="494">
        <f t="shared" ca="1" si="133"/>
        <v>884.59124403098872</v>
      </c>
      <c r="S499" s="494">
        <f t="shared" ca="1" si="133"/>
        <v>666.57070431115562</v>
      </c>
      <c r="T499" s="494">
        <f t="shared" ca="1" si="133"/>
        <v>678.52162999737868</v>
      </c>
      <c r="U499" s="494">
        <f t="shared" ca="1" si="133"/>
        <v>690.71157419732629</v>
      </c>
      <c r="V499" s="494">
        <f t="shared" ca="1" si="133"/>
        <v>703.14531728127281</v>
      </c>
      <c r="W499" s="494">
        <f t="shared" ca="1" si="133"/>
        <v>779.57120819228419</v>
      </c>
      <c r="X499" s="494">
        <f t="shared" ca="1" si="133"/>
        <v>792.50727449682199</v>
      </c>
      <c r="Y499" s="494">
        <f t="shared" ca="1" si="133"/>
        <v>805.70206212745086</v>
      </c>
      <c r="Z499" s="494">
        <f t="shared" ca="1" si="133"/>
        <v>819.16074551069221</v>
      </c>
      <c r="AA499" s="494">
        <f t="shared" ca="1" si="133"/>
        <v>819.77396276159834</v>
      </c>
      <c r="AB499" s="494">
        <f t="shared" ca="1" si="133"/>
        <v>473.09316391741646</v>
      </c>
      <c r="AC499" s="494">
        <f t="shared" ca="1" si="133"/>
        <v>314.66281689104699</v>
      </c>
      <c r="AD499" s="494">
        <f t="shared" ca="1" si="133"/>
        <v>588.77202112410578</v>
      </c>
      <c r="AE499" s="494">
        <f t="shared" ca="1" si="133"/>
        <v>563.31396677286671</v>
      </c>
      <c r="AF499" s="494">
        <f t="shared" ca="1" si="133"/>
        <v>251.47697208452519</v>
      </c>
      <c r="AG499" s="494">
        <f t="shared" ca="1" si="133"/>
        <v>234.13201334961462</v>
      </c>
      <c r="AH499" s="494">
        <f t="shared" ca="1" si="133"/>
        <v>226.33926744194767</v>
      </c>
      <c r="AI499" s="494">
        <f t="shared" ca="1" si="133"/>
        <v>218.86302056464319</v>
      </c>
      <c r="AJ499" s="494">
        <f t="shared" ca="1" si="133"/>
        <v>211.58674056354246</v>
      </c>
      <c r="AK499" s="494">
        <f t="shared" ca="1" si="133"/>
        <v>204.41424614931802</v>
      </c>
      <c r="AL499" s="494">
        <f t="shared" ca="1" si="133"/>
        <v>197.26579118231302</v>
      </c>
      <c r="AM499" s="494">
        <f t="shared" ca="1" si="133"/>
        <v>167.18122311866748</v>
      </c>
      <c r="AN499" s="494">
        <f t="shared" ca="1" si="133"/>
        <v>168.77130939035584</v>
      </c>
      <c r="AO499" s="494">
        <f t="shared" ca="1" si="133"/>
        <v>161.51433246652181</v>
      </c>
      <c r="AP499" s="494">
        <f t="shared" ca="1" si="133"/>
        <v>0</v>
      </c>
      <c r="AQ499" s="494">
        <f t="shared" ca="1" si="133"/>
        <v>0</v>
      </c>
      <c r="AR499" s="494">
        <f t="shared" ca="1" si="133"/>
        <v>0</v>
      </c>
      <c r="AS499" s="494">
        <f t="shared" ca="1" si="133"/>
        <v>0</v>
      </c>
      <c r="AT499" s="494">
        <f t="shared" ca="1" si="133"/>
        <v>0</v>
      </c>
      <c r="AU499" s="494">
        <f t="shared" ca="1" si="133"/>
        <v>0</v>
      </c>
      <c r="AV499" s="494">
        <f t="shared" ca="1" si="133"/>
        <v>0</v>
      </c>
      <c r="AW499" s="494">
        <f t="shared" ca="1" si="133"/>
        <v>0</v>
      </c>
      <c r="AX499" s="494">
        <f t="shared" ca="1" si="133"/>
        <v>0</v>
      </c>
    </row>
    <row r="500" spans="1:50" ht="15" customHeight="1" x14ac:dyDescent="0.25">
      <c r="A500" s="106"/>
      <c r="B500" s="174"/>
      <c r="C500" s="601"/>
      <c r="D500" s="117"/>
      <c r="E500" s="116"/>
      <c r="F500" s="117"/>
      <c r="G500" s="116"/>
      <c r="H500" s="116"/>
      <c r="I500" s="116"/>
      <c r="J500" s="116"/>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row>
    <row r="501" spans="1:50" ht="15" customHeight="1" x14ac:dyDescent="0.25">
      <c r="A501" s="106"/>
      <c r="B501" s="174" t="str">
        <f xml:space="preserve"> Translate!E$292</f>
        <v>Revenues available for cost recovery</v>
      </c>
      <c r="C501" s="601"/>
      <c r="D501" s="117"/>
      <c r="E501" s="116"/>
      <c r="F501" s="117"/>
      <c r="G501" s="116"/>
      <c r="H501" s="116"/>
      <c r="I501" s="116"/>
      <c r="J501" s="116"/>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row>
    <row r="502" spans="1:50" s="48" customFormat="1" ht="15" customHeight="1" x14ac:dyDescent="0.25">
      <c r="A502" s="241"/>
      <c r="B502" s="675"/>
      <c r="C502" s="615"/>
      <c r="D502" s="64"/>
      <c r="E502" s="55" t="str">
        <f xml:space="preserve"> E$219</f>
        <v>Oil revenues after royalty</v>
      </c>
      <c r="F502" s="55">
        <f t="shared" ref="F502:AX502" si="134" xml:space="preserve"> F$219</f>
        <v>0</v>
      </c>
      <c r="G502" s="55">
        <f t="shared" si="134"/>
        <v>0</v>
      </c>
      <c r="H502" s="55">
        <f t="shared" si="134"/>
        <v>0</v>
      </c>
      <c r="I502" s="55">
        <f t="shared" ca="1" si="134"/>
        <v>45734.83481473002</v>
      </c>
      <c r="J502" s="55">
        <f t="shared" si="134"/>
        <v>0</v>
      </c>
      <c r="K502" s="55">
        <f t="shared" ca="1" si="134"/>
        <v>0</v>
      </c>
      <c r="L502" s="55">
        <f t="shared" ca="1" si="134"/>
        <v>0</v>
      </c>
      <c r="M502" s="55">
        <f t="shared" ca="1" si="134"/>
        <v>0</v>
      </c>
      <c r="N502" s="55">
        <f t="shared" ca="1" si="134"/>
        <v>0</v>
      </c>
      <c r="O502" s="55">
        <f t="shared" ca="1" si="134"/>
        <v>165.96573648787856</v>
      </c>
      <c r="P502" s="55">
        <f t="shared" ca="1" si="134"/>
        <v>1329.8653274543999</v>
      </c>
      <c r="Q502" s="55">
        <f t="shared" ca="1" si="134"/>
        <v>2712.9252680069762</v>
      </c>
      <c r="R502" s="55">
        <f t="shared" ca="1" si="134"/>
        <v>2767.1837733671155</v>
      </c>
      <c r="S502" s="55">
        <f t="shared" ca="1" si="134"/>
        <v>2822.527448834458</v>
      </c>
      <c r="T502" s="55">
        <f t="shared" ca="1" si="134"/>
        <v>2878.9779978111474</v>
      </c>
      <c r="U502" s="55">
        <f t="shared" ca="1" si="134"/>
        <v>2936.5575577673703</v>
      </c>
      <c r="V502" s="55">
        <f t="shared" ca="1" si="134"/>
        <v>2995.2887089227179</v>
      </c>
      <c r="W502" s="55">
        <f t="shared" ca="1" si="134"/>
        <v>3055.1944831011724</v>
      </c>
      <c r="X502" s="55">
        <f t="shared" ca="1" si="134"/>
        <v>3116.2983727631954</v>
      </c>
      <c r="Y502" s="55">
        <f t="shared" ca="1" si="134"/>
        <v>3178.6243402184596</v>
      </c>
      <c r="Z502" s="55">
        <f t="shared" ca="1" si="134"/>
        <v>3242.196827022829</v>
      </c>
      <c r="AA502" s="55">
        <f t="shared" ca="1" si="134"/>
        <v>2678.703018486262</v>
      </c>
      <c r="AB502" s="55">
        <f t="shared" ca="1" si="134"/>
        <v>2213.14443387335</v>
      </c>
      <c r="AC502" s="55">
        <f t="shared" ca="1" si="134"/>
        <v>1828.4999312661616</v>
      </c>
      <c r="AD502" s="55">
        <f t="shared" ca="1" si="134"/>
        <v>1510.7066432121032</v>
      </c>
      <c r="AE502" s="55">
        <f t="shared" ca="1" si="134"/>
        <v>1248.1458286218397</v>
      </c>
      <c r="AF502" s="55">
        <f t="shared" ca="1" si="134"/>
        <v>1031.2180836073642</v>
      </c>
      <c r="AG502" s="55">
        <f t="shared" ca="1" si="134"/>
        <v>851.99238067640431</v>
      </c>
      <c r="AH502" s="55">
        <f t="shared" ca="1" si="134"/>
        <v>703.91610491484528</v>
      </c>
      <c r="AI502" s="55">
        <f t="shared" ca="1" si="134"/>
        <v>581.57548588064526</v>
      </c>
      <c r="AJ502" s="55">
        <f t="shared" ca="1" si="134"/>
        <v>480.49766643458906</v>
      </c>
      <c r="AK502" s="55">
        <f t="shared" ca="1" si="134"/>
        <v>396.98717200825752</v>
      </c>
      <c r="AL502" s="55">
        <f t="shared" ca="1" si="134"/>
        <v>327.99080151322232</v>
      </c>
      <c r="AM502" s="55">
        <f t="shared" ca="1" si="134"/>
        <v>270.98600021022435</v>
      </c>
      <c r="AN502" s="55">
        <f t="shared" ca="1" si="134"/>
        <v>223.88863337368736</v>
      </c>
      <c r="AO502" s="55">
        <f t="shared" ca="1" si="134"/>
        <v>184.97678889334054</v>
      </c>
      <c r="AP502" s="55">
        <f t="shared" ca="1" si="134"/>
        <v>0</v>
      </c>
      <c r="AQ502" s="55">
        <f t="shared" ca="1" si="134"/>
        <v>0</v>
      </c>
      <c r="AR502" s="55">
        <f t="shared" ca="1" si="134"/>
        <v>0</v>
      </c>
      <c r="AS502" s="55">
        <f t="shared" ca="1" si="134"/>
        <v>0</v>
      </c>
      <c r="AT502" s="55">
        <f t="shared" ca="1" si="134"/>
        <v>0</v>
      </c>
      <c r="AU502" s="55">
        <f t="shared" ca="1" si="134"/>
        <v>0</v>
      </c>
      <c r="AV502" s="55">
        <f t="shared" ca="1" si="134"/>
        <v>0</v>
      </c>
      <c r="AW502" s="55">
        <f t="shared" ca="1" si="134"/>
        <v>0</v>
      </c>
      <c r="AX502" s="55">
        <f t="shared" ca="1" si="134"/>
        <v>0</v>
      </c>
    </row>
    <row r="503" spans="1:50" ht="15" customHeight="1" x14ac:dyDescent="0.25">
      <c r="A503" s="241"/>
      <c r="B503" s="675"/>
      <c r="C503" s="615"/>
      <c r="D503" s="64"/>
      <c r="E503" s="490" t="str">
        <f xml:space="preserve"> FiscalModel!E$42</f>
        <v>Cost recovery limit</v>
      </c>
      <c r="F503" s="534">
        <f xml:space="preserve"> FiscalModel!F$42</f>
        <v>0</v>
      </c>
      <c r="G503" s="490" t="str">
        <f xml:space="preserve"> FiscalModel!G$42</f>
        <v>%</v>
      </c>
      <c r="H503" s="55"/>
      <c r="I503" s="55"/>
      <c r="J503" s="55"/>
      <c r="K503" s="55"/>
      <c r="L503" s="55"/>
      <c r="M503" s="55"/>
      <c r="N503" s="55"/>
      <c r="O503" s="55"/>
      <c r="P503" s="55"/>
      <c r="Q503" s="55"/>
      <c r="R503" s="55"/>
      <c r="S503" s="55"/>
      <c r="T503" s="55"/>
      <c r="U503" s="55"/>
      <c r="V503" s="55"/>
      <c r="W503" s="55"/>
      <c r="X503" s="55"/>
      <c r="Y503" s="55"/>
      <c r="Z503" s="55"/>
      <c r="AA503" s="55"/>
      <c r="AB503" s="55"/>
      <c r="AC503" s="55"/>
      <c r="AD503" s="55"/>
      <c r="AE503" s="55"/>
      <c r="AF503" s="55"/>
      <c r="AG503" s="55"/>
      <c r="AH503" s="55"/>
      <c r="AI503" s="55"/>
      <c r="AJ503" s="55"/>
      <c r="AK503" s="55"/>
      <c r="AL503" s="55"/>
      <c r="AM503" s="55"/>
      <c r="AN503" s="55"/>
      <c r="AO503" s="55"/>
      <c r="AP503" s="55"/>
      <c r="AQ503" s="55"/>
      <c r="AR503" s="55"/>
      <c r="AS503" s="55"/>
      <c r="AT503" s="55"/>
      <c r="AU503" s="55"/>
      <c r="AV503" s="55"/>
      <c r="AW503" s="55"/>
      <c r="AX503" s="55"/>
    </row>
    <row r="504" spans="1:50" ht="15" customHeight="1" x14ac:dyDescent="0.25">
      <c r="A504" s="241"/>
      <c r="B504" s="675"/>
      <c r="C504" s="615"/>
      <c r="D504" s="64"/>
      <c r="E504" s="190" t="str">
        <f xml:space="preserve"> Translate!E$292</f>
        <v>Revenues available for cost recovery</v>
      </c>
      <c r="F504" s="147"/>
      <c r="G504" s="190" t="str">
        <f xml:space="preserve"> Translate!E$603</f>
        <v>US$ mn</v>
      </c>
      <c r="H504" s="190"/>
      <c r="I504" s="55">
        <f ca="1" xml:space="preserve"> SUM(K504:AX504)</f>
        <v>0</v>
      </c>
      <c r="J504" s="48"/>
      <c r="K504" s="55">
        <f t="shared" ref="K504:AX504" ca="1" si="135" xml:space="preserve"> K502 * $F503</f>
        <v>0</v>
      </c>
      <c r="L504" s="55">
        <f t="shared" ca="1" si="135"/>
        <v>0</v>
      </c>
      <c r="M504" s="55">
        <f t="shared" ca="1" si="135"/>
        <v>0</v>
      </c>
      <c r="N504" s="55">
        <f t="shared" ca="1" si="135"/>
        <v>0</v>
      </c>
      <c r="O504" s="55">
        <f t="shared" ca="1" si="135"/>
        <v>0</v>
      </c>
      <c r="P504" s="55">
        <f t="shared" ca="1" si="135"/>
        <v>0</v>
      </c>
      <c r="Q504" s="55">
        <f t="shared" ca="1" si="135"/>
        <v>0</v>
      </c>
      <c r="R504" s="55">
        <f t="shared" ca="1" si="135"/>
        <v>0</v>
      </c>
      <c r="S504" s="55">
        <f t="shared" ca="1" si="135"/>
        <v>0</v>
      </c>
      <c r="T504" s="55">
        <f t="shared" ca="1" si="135"/>
        <v>0</v>
      </c>
      <c r="U504" s="55">
        <f t="shared" ca="1" si="135"/>
        <v>0</v>
      </c>
      <c r="V504" s="55">
        <f t="shared" ca="1" si="135"/>
        <v>0</v>
      </c>
      <c r="W504" s="55">
        <f t="shared" ca="1" si="135"/>
        <v>0</v>
      </c>
      <c r="X504" s="55">
        <f t="shared" ca="1" si="135"/>
        <v>0</v>
      </c>
      <c r="Y504" s="55">
        <f t="shared" ca="1" si="135"/>
        <v>0</v>
      </c>
      <c r="Z504" s="55">
        <f t="shared" ca="1" si="135"/>
        <v>0</v>
      </c>
      <c r="AA504" s="55">
        <f t="shared" ca="1" si="135"/>
        <v>0</v>
      </c>
      <c r="AB504" s="55">
        <f t="shared" ca="1" si="135"/>
        <v>0</v>
      </c>
      <c r="AC504" s="55">
        <f t="shared" ca="1" si="135"/>
        <v>0</v>
      </c>
      <c r="AD504" s="55">
        <f t="shared" ca="1" si="135"/>
        <v>0</v>
      </c>
      <c r="AE504" s="55">
        <f t="shared" ca="1" si="135"/>
        <v>0</v>
      </c>
      <c r="AF504" s="55">
        <f t="shared" ca="1" si="135"/>
        <v>0</v>
      </c>
      <c r="AG504" s="55">
        <f t="shared" ca="1" si="135"/>
        <v>0</v>
      </c>
      <c r="AH504" s="55">
        <f t="shared" ca="1" si="135"/>
        <v>0</v>
      </c>
      <c r="AI504" s="55">
        <f t="shared" ca="1" si="135"/>
        <v>0</v>
      </c>
      <c r="AJ504" s="55">
        <f t="shared" ca="1" si="135"/>
        <v>0</v>
      </c>
      <c r="AK504" s="55">
        <f t="shared" ca="1" si="135"/>
        <v>0</v>
      </c>
      <c r="AL504" s="55">
        <f t="shared" ca="1" si="135"/>
        <v>0</v>
      </c>
      <c r="AM504" s="55">
        <f t="shared" ca="1" si="135"/>
        <v>0</v>
      </c>
      <c r="AN504" s="55">
        <f t="shared" ca="1" si="135"/>
        <v>0</v>
      </c>
      <c r="AO504" s="55">
        <f t="shared" ca="1" si="135"/>
        <v>0</v>
      </c>
      <c r="AP504" s="55">
        <f t="shared" ca="1" si="135"/>
        <v>0</v>
      </c>
      <c r="AQ504" s="55">
        <f t="shared" ca="1" si="135"/>
        <v>0</v>
      </c>
      <c r="AR504" s="55">
        <f t="shared" ca="1" si="135"/>
        <v>0</v>
      </c>
      <c r="AS504" s="55">
        <f t="shared" ca="1" si="135"/>
        <v>0</v>
      </c>
      <c r="AT504" s="55">
        <f t="shared" ca="1" si="135"/>
        <v>0</v>
      </c>
      <c r="AU504" s="55">
        <f t="shared" ca="1" si="135"/>
        <v>0</v>
      </c>
      <c r="AV504" s="55">
        <f t="shared" ca="1" si="135"/>
        <v>0</v>
      </c>
      <c r="AW504" s="55">
        <f t="shared" ca="1" si="135"/>
        <v>0</v>
      </c>
      <c r="AX504" s="55">
        <f t="shared" ca="1" si="135"/>
        <v>0</v>
      </c>
    </row>
    <row r="505" spans="1:50" ht="15" customHeight="1" x14ac:dyDescent="0.25">
      <c r="A505" s="106"/>
      <c r="B505" s="174"/>
      <c r="C505" s="601"/>
      <c r="D505" s="117"/>
      <c r="E505" s="116"/>
      <c r="F505" s="117"/>
      <c r="G505" s="116"/>
      <c r="H505" s="116"/>
      <c r="I505" s="116"/>
      <c r="J505" s="116"/>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row>
    <row r="506" spans="1:50" ht="15" customHeight="1" x14ac:dyDescent="0.25">
      <c r="A506" s="106"/>
      <c r="B506" s="174" t="str">
        <f xml:space="preserve"> Translate!E$295</f>
        <v>Uplift on unrecovered costs</v>
      </c>
      <c r="C506" s="601"/>
      <c r="D506" s="117"/>
      <c r="E506" s="116"/>
      <c r="F506" s="117"/>
      <c r="G506" s="116"/>
      <c r="H506" s="116"/>
      <c r="I506" s="116"/>
      <c r="J506" s="116"/>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row>
    <row r="507" spans="1:50" ht="15" customHeight="1" x14ac:dyDescent="0.25">
      <c r="A507" s="106"/>
      <c r="B507" s="174"/>
      <c r="C507" s="601"/>
      <c r="D507" s="117"/>
      <c r="E507" s="401" t="str">
        <f xml:space="preserve"> FiscalModel!E$44</f>
        <v>Uplift on unrecovered costs</v>
      </c>
      <c r="F507" s="564">
        <f xml:space="preserve"> FiscalModel!F$44</f>
        <v>0</v>
      </c>
      <c r="G507" s="401" t="str">
        <f xml:space="preserve"> FiscalModel!G$44</f>
        <v>%</v>
      </c>
      <c r="H507" s="116"/>
      <c r="I507" s="116"/>
      <c r="J507" s="116"/>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row>
    <row r="508" spans="1:50" ht="15" customHeight="1" x14ac:dyDescent="0.25">
      <c r="A508" s="106"/>
      <c r="B508" s="174"/>
      <c r="C508" s="601"/>
      <c r="D508" s="117"/>
      <c r="E508" s="532" t="str">
        <f xml:space="preserve"> FiscalModel!E$45</f>
        <v>Uplift limit (production years)</v>
      </c>
      <c r="F508" s="404">
        <f xml:space="preserve"> FiscalModel!F$45</f>
        <v>0</v>
      </c>
      <c r="G508" s="532" t="str">
        <f xml:space="preserve"> FiscalModel!G$45</f>
        <v>Year</v>
      </c>
      <c r="H508" s="116"/>
      <c r="I508" s="116"/>
      <c r="J508" s="116"/>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row>
    <row r="509" spans="1:50" s="40" customFormat="1" ht="15" customHeight="1" x14ac:dyDescent="0.25">
      <c r="A509" s="290"/>
      <c r="B509" s="174"/>
      <c r="C509" s="638"/>
      <c r="D509" s="357"/>
      <c r="E509" s="40" t="str">
        <f xml:space="preserve"> ProjectCashflows!E$180</f>
        <v>Production years, after ELT</v>
      </c>
      <c r="F509" s="283">
        <f xml:space="preserve"> ProjectCashflows!F$180</f>
        <v>0</v>
      </c>
      <c r="G509" s="40" t="str">
        <f xml:space="preserve"> ProjectCashflows!G$180</f>
        <v>Year</v>
      </c>
      <c r="H509" s="40">
        <f xml:space="preserve"> ProjectCashflows!H$180</f>
        <v>0</v>
      </c>
      <c r="I509" s="40">
        <f xml:space="preserve"> ProjectCashflows!I$180</f>
        <v>0</v>
      </c>
      <c r="J509" s="40">
        <f xml:space="preserve"> ProjectCashflows!J$180</f>
        <v>0</v>
      </c>
      <c r="K509" s="40">
        <f ca="1" xml:space="preserve"> ProjectCashflows!K$180</f>
        <v>0</v>
      </c>
      <c r="L509" s="40">
        <f ca="1" xml:space="preserve"> ProjectCashflows!L$180</f>
        <v>0</v>
      </c>
      <c r="M509" s="40">
        <f ca="1" xml:space="preserve"> ProjectCashflows!M$180</f>
        <v>0</v>
      </c>
      <c r="N509" s="40">
        <f ca="1" xml:space="preserve"> ProjectCashflows!N$180</f>
        <v>0</v>
      </c>
      <c r="O509" s="40">
        <f ca="1" xml:space="preserve"> ProjectCashflows!O$180</f>
        <v>1</v>
      </c>
      <c r="P509" s="40">
        <f ca="1" xml:space="preserve"> ProjectCashflows!P$180</f>
        <v>1</v>
      </c>
      <c r="Q509" s="40">
        <f ca="1" xml:space="preserve"> ProjectCashflows!Q$180</f>
        <v>1</v>
      </c>
      <c r="R509" s="40">
        <f ca="1" xml:space="preserve"> ProjectCashflows!R$180</f>
        <v>1</v>
      </c>
      <c r="S509" s="40">
        <f ca="1" xml:space="preserve"> ProjectCashflows!S$180</f>
        <v>1</v>
      </c>
      <c r="T509" s="40">
        <f ca="1" xml:space="preserve"> ProjectCashflows!T$180</f>
        <v>1</v>
      </c>
      <c r="U509" s="40">
        <f ca="1" xml:space="preserve"> ProjectCashflows!U$180</f>
        <v>1</v>
      </c>
      <c r="V509" s="40">
        <f ca="1" xml:space="preserve"> ProjectCashflows!V$180</f>
        <v>1</v>
      </c>
      <c r="W509" s="40">
        <f ca="1" xml:space="preserve"> ProjectCashflows!W$180</f>
        <v>1</v>
      </c>
      <c r="X509" s="40">
        <f ca="1" xml:space="preserve"> ProjectCashflows!X$180</f>
        <v>1</v>
      </c>
      <c r="Y509" s="40">
        <f ca="1" xml:space="preserve"> ProjectCashflows!Y$180</f>
        <v>1</v>
      </c>
      <c r="Z509" s="40">
        <f ca="1" xml:space="preserve"> ProjectCashflows!Z$180</f>
        <v>1</v>
      </c>
      <c r="AA509" s="40">
        <f ca="1" xml:space="preserve"> ProjectCashflows!AA$180</f>
        <v>1</v>
      </c>
      <c r="AB509" s="40">
        <f ca="1" xml:space="preserve"> ProjectCashflows!AB$180</f>
        <v>1</v>
      </c>
      <c r="AC509" s="40">
        <f ca="1" xml:space="preserve"> ProjectCashflows!AC$180</f>
        <v>1</v>
      </c>
      <c r="AD509" s="40">
        <f ca="1" xml:space="preserve"> ProjectCashflows!AD$180</f>
        <v>1</v>
      </c>
      <c r="AE509" s="40">
        <f ca="1" xml:space="preserve"> ProjectCashflows!AE$180</f>
        <v>1</v>
      </c>
      <c r="AF509" s="40">
        <f ca="1" xml:space="preserve"> ProjectCashflows!AF$180</f>
        <v>1</v>
      </c>
      <c r="AG509" s="40">
        <f ca="1" xml:space="preserve"> ProjectCashflows!AG$180</f>
        <v>1</v>
      </c>
      <c r="AH509" s="40">
        <f ca="1" xml:space="preserve"> ProjectCashflows!AH$180</f>
        <v>1</v>
      </c>
      <c r="AI509" s="40">
        <f ca="1" xml:space="preserve"> ProjectCashflows!AI$180</f>
        <v>1</v>
      </c>
      <c r="AJ509" s="40">
        <f ca="1" xml:space="preserve"> ProjectCashflows!AJ$180</f>
        <v>1</v>
      </c>
      <c r="AK509" s="40">
        <f ca="1" xml:space="preserve"> ProjectCashflows!AK$180</f>
        <v>1</v>
      </c>
      <c r="AL509" s="40">
        <f ca="1" xml:space="preserve"> ProjectCashflows!AL$180</f>
        <v>1</v>
      </c>
      <c r="AM509" s="40">
        <f ca="1" xml:space="preserve"> ProjectCashflows!AM$180</f>
        <v>1</v>
      </c>
      <c r="AN509" s="40">
        <f ca="1" xml:space="preserve"> ProjectCashflows!AN$180</f>
        <v>1</v>
      </c>
      <c r="AO509" s="40">
        <f ca="1" xml:space="preserve"> ProjectCashflows!AO$180</f>
        <v>1</v>
      </c>
      <c r="AP509" s="40">
        <f ca="1" xml:space="preserve"> ProjectCashflows!AP$180</f>
        <v>0</v>
      </c>
      <c r="AQ509" s="40">
        <f ca="1" xml:space="preserve"> ProjectCashflows!AQ$180</f>
        <v>0</v>
      </c>
      <c r="AR509" s="40">
        <f ca="1" xml:space="preserve"> ProjectCashflows!AR$180</f>
        <v>0</v>
      </c>
      <c r="AS509" s="40">
        <f ca="1" xml:space="preserve"> ProjectCashflows!AS$180</f>
        <v>0</v>
      </c>
      <c r="AT509" s="40">
        <f ca="1" xml:space="preserve"> ProjectCashflows!AT$180</f>
        <v>0</v>
      </c>
      <c r="AU509" s="40">
        <f ca="1" xml:space="preserve"> ProjectCashflows!AU$180</f>
        <v>0</v>
      </c>
      <c r="AV509" s="40">
        <f ca="1" xml:space="preserve"> ProjectCashflows!AV$180</f>
        <v>0</v>
      </c>
      <c r="AW509" s="40">
        <f ca="1" xml:space="preserve"> ProjectCashflows!AW$180</f>
        <v>0</v>
      </c>
      <c r="AX509" s="40">
        <f ca="1" xml:space="preserve"> ProjectCashflows!AX$180</f>
        <v>0</v>
      </c>
    </row>
    <row r="510" spans="1:50" s="40" customFormat="1" ht="15" customHeight="1" x14ac:dyDescent="0.25">
      <c r="A510" s="290"/>
      <c r="B510" s="174"/>
      <c r="C510" s="638"/>
      <c r="D510" s="357"/>
      <c r="E510" s="40" t="str">
        <f xml:space="preserve"> ProjectCashflows!E$181</f>
        <v>Cumulative production years</v>
      </c>
      <c r="F510" s="283">
        <f xml:space="preserve"> ProjectCashflows!F$181</f>
        <v>0</v>
      </c>
      <c r="G510" s="40" t="str">
        <f xml:space="preserve"> ProjectCashflows!G$181</f>
        <v>Year</v>
      </c>
      <c r="H510" s="40">
        <f xml:space="preserve"> ProjectCashflows!H$181</f>
        <v>0</v>
      </c>
      <c r="I510" s="40">
        <f xml:space="preserve"> ProjectCashflows!I$181</f>
        <v>0</v>
      </c>
      <c r="J510" s="40">
        <f xml:space="preserve"> ProjectCashflows!J$181</f>
        <v>0</v>
      </c>
      <c r="K510" s="40">
        <f ca="1" xml:space="preserve"> ProjectCashflows!K$181</f>
        <v>0</v>
      </c>
      <c r="L510" s="40">
        <f ca="1" xml:space="preserve"> ProjectCashflows!L$181</f>
        <v>0</v>
      </c>
      <c r="M510" s="40">
        <f ca="1" xml:space="preserve"> ProjectCashflows!M$181</f>
        <v>0</v>
      </c>
      <c r="N510" s="40">
        <f ca="1" xml:space="preserve"> ProjectCashflows!N$181</f>
        <v>0</v>
      </c>
      <c r="O510" s="40">
        <f ca="1" xml:space="preserve"> ProjectCashflows!O$181</f>
        <v>1</v>
      </c>
      <c r="P510" s="40">
        <f ca="1" xml:space="preserve"> ProjectCashflows!P$181</f>
        <v>2</v>
      </c>
      <c r="Q510" s="40">
        <f ca="1" xml:space="preserve"> ProjectCashflows!Q$181</f>
        <v>3</v>
      </c>
      <c r="R510" s="40">
        <f ca="1" xml:space="preserve"> ProjectCashflows!R$181</f>
        <v>4</v>
      </c>
      <c r="S510" s="40">
        <f ca="1" xml:space="preserve"> ProjectCashflows!S$181</f>
        <v>5</v>
      </c>
      <c r="T510" s="40">
        <f ca="1" xml:space="preserve"> ProjectCashflows!T$181</f>
        <v>6</v>
      </c>
      <c r="U510" s="40">
        <f ca="1" xml:space="preserve"> ProjectCashflows!U$181</f>
        <v>7</v>
      </c>
      <c r="V510" s="40">
        <f ca="1" xml:space="preserve"> ProjectCashflows!V$181</f>
        <v>8</v>
      </c>
      <c r="W510" s="40">
        <f ca="1" xml:space="preserve"> ProjectCashflows!W$181</f>
        <v>9</v>
      </c>
      <c r="X510" s="40">
        <f ca="1" xml:space="preserve"> ProjectCashflows!X$181</f>
        <v>10</v>
      </c>
      <c r="Y510" s="40">
        <f ca="1" xml:space="preserve"> ProjectCashflows!Y$181</f>
        <v>11</v>
      </c>
      <c r="Z510" s="40">
        <f ca="1" xml:space="preserve"> ProjectCashflows!Z$181</f>
        <v>12</v>
      </c>
      <c r="AA510" s="40">
        <f ca="1" xml:space="preserve"> ProjectCashflows!AA$181</f>
        <v>13</v>
      </c>
      <c r="AB510" s="40">
        <f ca="1" xml:space="preserve"> ProjectCashflows!AB$181</f>
        <v>14</v>
      </c>
      <c r="AC510" s="40">
        <f ca="1" xml:space="preserve"> ProjectCashflows!AC$181</f>
        <v>15</v>
      </c>
      <c r="AD510" s="40">
        <f ca="1" xml:space="preserve"> ProjectCashflows!AD$181</f>
        <v>16</v>
      </c>
      <c r="AE510" s="40">
        <f ca="1" xml:space="preserve"> ProjectCashflows!AE$181</f>
        <v>17</v>
      </c>
      <c r="AF510" s="40">
        <f ca="1" xml:space="preserve"> ProjectCashflows!AF$181</f>
        <v>18</v>
      </c>
      <c r="AG510" s="40">
        <f ca="1" xml:space="preserve"> ProjectCashflows!AG$181</f>
        <v>19</v>
      </c>
      <c r="AH510" s="40">
        <f ca="1" xml:space="preserve"> ProjectCashflows!AH$181</f>
        <v>20</v>
      </c>
      <c r="AI510" s="40">
        <f ca="1" xml:space="preserve"> ProjectCashflows!AI$181</f>
        <v>21</v>
      </c>
      <c r="AJ510" s="40">
        <f ca="1" xml:space="preserve"> ProjectCashflows!AJ$181</f>
        <v>22</v>
      </c>
      <c r="AK510" s="40">
        <f ca="1" xml:space="preserve"> ProjectCashflows!AK$181</f>
        <v>23</v>
      </c>
      <c r="AL510" s="40">
        <f ca="1" xml:space="preserve"> ProjectCashflows!AL$181</f>
        <v>24</v>
      </c>
      <c r="AM510" s="40">
        <f ca="1" xml:space="preserve"> ProjectCashflows!AM$181</f>
        <v>25</v>
      </c>
      <c r="AN510" s="40">
        <f ca="1" xml:space="preserve"> ProjectCashflows!AN$181</f>
        <v>26</v>
      </c>
      <c r="AO510" s="40">
        <f ca="1" xml:space="preserve"> ProjectCashflows!AO$181</f>
        <v>27</v>
      </c>
      <c r="AP510" s="40">
        <f ca="1" xml:space="preserve"> ProjectCashflows!AP$181</f>
        <v>0</v>
      </c>
      <c r="AQ510" s="40">
        <f ca="1" xml:space="preserve"> ProjectCashflows!AQ$181</f>
        <v>0</v>
      </c>
      <c r="AR510" s="40">
        <f ca="1" xml:space="preserve"> ProjectCashflows!AR$181</f>
        <v>0</v>
      </c>
      <c r="AS510" s="40">
        <f ca="1" xml:space="preserve"> ProjectCashflows!AS$181</f>
        <v>0</v>
      </c>
      <c r="AT510" s="40">
        <f ca="1" xml:space="preserve"> ProjectCashflows!AT$181</f>
        <v>0</v>
      </c>
      <c r="AU510" s="40">
        <f ca="1" xml:space="preserve"> ProjectCashflows!AU$181</f>
        <v>0</v>
      </c>
      <c r="AV510" s="40">
        <f ca="1" xml:space="preserve"> ProjectCashflows!AV$181</f>
        <v>0</v>
      </c>
      <c r="AW510" s="40">
        <f ca="1" xml:space="preserve"> ProjectCashflows!AW$181</f>
        <v>0</v>
      </c>
      <c r="AX510" s="40">
        <f ca="1" xml:space="preserve"> ProjectCashflows!AX$181</f>
        <v>0</v>
      </c>
    </row>
    <row r="511" spans="1:50" ht="15" customHeight="1" x14ac:dyDescent="0.25">
      <c r="A511" s="211"/>
      <c r="B511" s="174"/>
      <c r="C511" s="642"/>
      <c r="D511" s="250"/>
      <c r="E511" s="257" t="str">
        <f xml:space="preserve"> Translate!E$293</f>
        <v>Uplift applicable</v>
      </c>
      <c r="F511" s="576"/>
      <c r="G511" s="257" t="s">
        <v>24</v>
      </c>
      <c r="H511" s="257"/>
      <c r="I511" s="257"/>
      <c r="J511" s="257"/>
      <c r="K511" s="258">
        <f ca="1" xml:space="preserve"> $F507 * ( K510 &lt;= $F508) * (SUM(K509:$AX509) &gt; 0)</f>
        <v>0</v>
      </c>
      <c r="L511" s="258">
        <f ca="1" xml:space="preserve"> $F507 * ( L510 &lt;= $F508) * (SUM(L509:$AX509) &gt; 0)</f>
        <v>0</v>
      </c>
      <c r="M511" s="258">
        <f ca="1" xml:space="preserve"> $F507 * ( M510 &lt;= $F508) * (SUM(M509:$AX509) &gt; 0)</f>
        <v>0</v>
      </c>
      <c r="N511" s="258">
        <f ca="1" xml:space="preserve"> $F507 * ( N510 &lt;= $F508) * (SUM(N509:$AX509) &gt; 0)</f>
        <v>0</v>
      </c>
      <c r="O511" s="258">
        <f ca="1" xml:space="preserve"> $F507 * ( O510 &lt;= $F508) * (SUM(O509:$AX509) &gt; 0)</f>
        <v>0</v>
      </c>
      <c r="P511" s="258">
        <f ca="1" xml:space="preserve"> $F507 * ( P510 &lt;= $F508) * (SUM(P509:$AX509) &gt; 0)</f>
        <v>0</v>
      </c>
      <c r="Q511" s="258">
        <f ca="1" xml:space="preserve"> $F507 * ( Q510 &lt;= $F508) * (SUM(Q509:$AX509) &gt; 0)</f>
        <v>0</v>
      </c>
      <c r="R511" s="258">
        <f ca="1" xml:space="preserve"> $F507 * ( R510 &lt;= $F508) * (SUM(R509:$AX509) &gt; 0)</f>
        <v>0</v>
      </c>
      <c r="S511" s="258">
        <f ca="1" xml:space="preserve"> $F507 * ( S510 &lt;= $F508) * (SUM(S509:$AX509) &gt; 0)</f>
        <v>0</v>
      </c>
      <c r="T511" s="258">
        <f ca="1" xml:space="preserve"> $F507 * ( T510 &lt;= $F508) * (SUM(T509:$AX509) &gt; 0)</f>
        <v>0</v>
      </c>
      <c r="U511" s="258">
        <f ca="1" xml:space="preserve"> $F507 * ( U510 &lt;= $F508) * (SUM(U509:$AX509) &gt; 0)</f>
        <v>0</v>
      </c>
      <c r="V511" s="258">
        <f ca="1" xml:space="preserve"> $F507 * ( V510 &lt;= $F508) * (SUM(V509:$AX509) &gt; 0)</f>
        <v>0</v>
      </c>
      <c r="W511" s="258">
        <f ca="1" xml:space="preserve"> $F507 * ( W510 &lt;= $F508) * (SUM(W509:$AX509) &gt; 0)</f>
        <v>0</v>
      </c>
      <c r="X511" s="258">
        <f ca="1" xml:space="preserve"> $F507 * ( X510 &lt;= $F508) * (SUM(X509:$AX509) &gt; 0)</f>
        <v>0</v>
      </c>
      <c r="Y511" s="258">
        <f ca="1" xml:space="preserve"> $F507 * ( Y510 &lt;= $F508) * (SUM(Y509:$AX509) &gt; 0)</f>
        <v>0</v>
      </c>
      <c r="Z511" s="258">
        <f ca="1" xml:space="preserve"> $F507 * ( Z510 &lt;= $F508) * (SUM(Z509:$AX509) &gt; 0)</f>
        <v>0</v>
      </c>
      <c r="AA511" s="258">
        <f ca="1" xml:space="preserve"> $F507 * ( AA510 &lt;= $F508) * (SUM(AA509:$AX509) &gt; 0)</f>
        <v>0</v>
      </c>
      <c r="AB511" s="258">
        <f ca="1" xml:space="preserve"> $F507 * ( AB510 &lt;= $F508) * (SUM(AB509:$AX509) &gt; 0)</f>
        <v>0</v>
      </c>
      <c r="AC511" s="258">
        <f ca="1" xml:space="preserve"> $F507 * ( AC510 &lt;= $F508) * (SUM(AC509:$AX509) &gt; 0)</f>
        <v>0</v>
      </c>
      <c r="AD511" s="258">
        <f ca="1" xml:space="preserve"> $F507 * ( AD510 &lt;= $F508) * (SUM(AD509:$AX509) &gt; 0)</f>
        <v>0</v>
      </c>
      <c r="AE511" s="258">
        <f ca="1" xml:space="preserve"> $F507 * ( AE510 &lt;= $F508) * (SUM(AE509:$AX509) &gt; 0)</f>
        <v>0</v>
      </c>
      <c r="AF511" s="258">
        <f ca="1" xml:space="preserve"> $F507 * ( AF510 &lt;= $F508) * (SUM(AF509:$AX509) &gt; 0)</f>
        <v>0</v>
      </c>
      <c r="AG511" s="258">
        <f ca="1" xml:space="preserve"> $F507 * ( AG510 &lt;= $F508) * (SUM(AG509:$AX509) &gt; 0)</f>
        <v>0</v>
      </c>
      <c r="AH511" s="258">
        <f ca="1" xml:space="preserve"> $F507 * ( AH510 &lt;= $F508) * (SUM(AH509:$AX509) &gt; 0)</f>
        <v>0</v>
      </c>
      <c r="AI511" s="258">
        <f ca="1" xml:space="preserve"> $F507 * ( AI510 &lt;= $F508) * (SUM(AI509:$AX509) &gt; 0)</f>
        <v>0</v>
      </c>
      <c r="AJ511" s="258">
        <f ca="1" xml:space="preserve"> $F507 * ( AJ510 &lt;= $F508) * (SUM(AJ509:$AX509) &gt; 0)</f>
        <v>0</v>
      </c>
      <c r="AK511" s="258">
        <f ca="1" xml:space="preserve"> $F507 * ( AK510 &lt;= $F508) * (SUM(AK509:$AX509) &gt; 0)</f>
        <v>0</v>
      </c>
      <c r="AL511" s="258">
        <f ca="1" xml:space="preserve"> $F507 * ( AL510 &lt;= $F508) * (SUM(AL509:$AX509) &gt; 0)</f>
        <v>0</v>
      </c>
      <c r="AM511" s="258">
        <f ca="1" xml:space="preserve"> $F507 * ( AM510 &lt;= $F508) * (SUM(AM509:$AX509) &gt; 0)</f>
        <v>0</v>
      </c>
      <c r="AN511" s="258">
        <f ca="1" xml:space="preserve"> $F507 * ( AN510 &lt;= $F508) * (SUM(AN509:$AX509) &gt; 0)</f>
        <v>0</v>
      </c>
      <c r="AO511" s="258">
        <f ca="1" xml:space="preserve"> $F507 * ( AO510 &lt;= $F508) * (SUM(AO509:$AX509) &gt; 0)</f>
        <v>0</v>
      </c>
      <c r="AP511" s="258">
        <f ca="1" xml:space="preserve"> $F507 * ( AP510 &lt;= $F508) * (SUM(AP509:$AX509) &gt; 0)</f>
        <v>0</v>
      </c>
      <c r="AQ511" s="258">
        <f ca="1" xml:space="preserve"> $F507 * ( AQ510 &lt;= $F508) * (SUM(AQ509:$AX509) &gt; 0)</f>
        <v>0</v>
      </c>
      <c r="AR511" s="258">
        <f ca="1" xml:space="preserve"> $F507 * ( AR510 &lt;= $F508) * (SUM(AR509:$AX509) &gt; 0)</f>
        <v>0</v>
      </c>
      <c r="AS511" s="258">
        <f ca="1" xml:space="preserve"> $F507 * ( AS510 &lt;= $F508) * (SUM(AS509:$AX509) &gt; 0)</f>
        <v>0</v>
      </c>
      <c r="AT511" s="258">
        <f ca="1" xml:space="preserve"> $F507 * ( AT510 &lt;= $F508) * (SUM(AT509:$AX509) &gt; 0)</f>
        <v>0</v>
      </c>
      <c r="AU511" s="258">
        <f ca="1" xml:space="preserve"> $F507 * ( AU510 &lt;= $F508) * (SUM(AU509:$AX509) &gt; 0)</f>
        <v>0</v>
      </c>
      <c r="AV511" s="258">
        <f ca="1" xml:space="preserve"> $F507 * ( AV510 &lt;= $F508) * (SUM(AV509:$AX509) &gt; 0)</f>
        <v>0</v>
      </c>
      <c r="AW511" s="258">
        <f ca="1" xml:space="preserve"> $F507 * ( AW510 &lt;= $F508) * (SUM(AW509:$AX509) &gt; 0)</f>
        <v>0</v>
      </c>
      <c r="AX511" s="258">
        <f ca="1" xml:space="preserve"> $F507 * ( AX510 &lt;= $F508) * (SUM(AX509:$AX509) &gt; 0)</f>
        <v>0</v>
      </c>
    </row>
    <row r="512" spans="1:50" ht="15" customHeight="1" x14ac:dyDescent="0.25">
      <c r="A512" s="106"/>
      <c r="B512" s="174"/>
      <c r="C512" s="601"/>
      <c r="D512" s="117"/>
      <c r="E512" s="40"/>
      <c r="F512" s="283"/>
      <c r="G512" s="40"/>
      <c r="H512" s="116"/>
      <c r="I512" s="116"/>
      <c r="J512" s="116"/>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row>
    <row r="513" spans="1:50" ht="15" customHeight="1" x14ac:dyDescent="0.25">
      <c r="A513" s="106"/>
      <c r="B513" s="174"/>
      <c r="C513" s="601" t="str">
        <f>Translate!$E$494</f>
        <v>Determine if PSC regime active</v>
      </c>
      <c r="D513" s="117"/>
      <c r="E513" s="40"/>
      <c r="F513" s="283"/>
      <c r="G513" s="40"/>
      <c r="H513" s="116"/>
      <c r="I513" s="116"/>
      <c r="J513" s="116"/>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row>
    <row r="514" spans="1:50" s="412" customFormat="1" ht="15" customHeight="1" x14ac:dyDescent="0.25">
      <c r="A514" s="413"/>
      <c r="B514" s="174"/>
      <c r="C514" s="655"/>
      <c r="D514" s="694"/>
      <c r="E514" s="257" t="str">
        <f xml:space="preserve"> E$425</f>
        <v>PSC regime active = 1</v>
      </c>
      <c r="F514" s="576">
        <f xml:space="preserve"> F$425</f>
        <v>0</v>
      </c>
      <c r="G514" s="257" t="str">
        <f xml:space="preserve"> G$425</f>
        <v>option applicable</v>
      </c>
      <c r="H514" s="695"/>
      <c r="I514" s="695"/>
      <c r="J514" s="695"/>
      <c r="K514" s="413"/>
      <c r="L514" s="413"/>
      <c r="M514" s="413"/>
      <c r="N514" s="413"/>
      <c r="O514" s="413"/>
      <c r="P514" s="413"/>
      <c r="Q514" s="413"/>
      <c r="R514" s="413"/>
      <c r="S514" s="413"/>
      <c r="T514" s="413"/>
      <c r="U514" s="413"/>
      <c r="V514" s="413"/>
      <c r="W514" s="413"/>
      <c r="X514" s="413"/>
      <c r="Y514" s="413"/>
      <c r="Z514" s="413"/>
      <c r="AA514" s="413"/>
      <c r="AB514" s="413"/>
      <c r="AC514" s="413"/>
      <c r="AD514" s="413"/>
      <c r="AE514" s="413"/>
      <c r="AF514" s="413"/>
      <c r="AG514" s="413"/>
      <c r="AH514" s="413"/>
      <c r="AI514" s="413"/>
      <c r="AJ514" s="413"/>
      <c r="AK514" s="413"/>
      <c r="AL514" s="413"/>
      <c r="AM514" s="413"/>
      <c r="AN514" s="413"/>
      <c r="AO514" s="413"/>
      <c r="AP514" s="413"/>
      <c r="AQ514" s="413"/>
      <c r="AR514" s="413"/>
      <c r="AS514" s="413"/>
      <c r="AT514" s="413"/>
      <c r="AU514" s="413"/>
      <c r="AV514" s="413"/>
      <c r="AW514" s="413"/>
      <c r="AX514" s="413"/>
    </row>
    <row r="515" spans="1:50" ht="15" customHeight="1" x14ac:dyDescent="0.25">
      <c r="A515" s="106"/>
      <c r="B515" s="174"/>
      <c r="C515" s="601"/>
      <c r="D515" s="117"/>
      <c r="E515" s="40"/>
      <c r="F515" s="283"/>
      <c r="G515" s="40"/>
      <c r="H515" s="116"/>
      <c r="I515" s="116"/>
      <c r="J515" s="116"/>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row>
    <row r="516" spans="1:50" ht="15" customHeight="1" x14ac:dyDescent="0.25">
      <c r="A516" s="106"/>
      <c r="B516" s="174" t="str">
        <f>Translate!$E$433</f>
        <v>Recoverable cost account</v>
      </c>
      <c r="C516" s="601"/>
      <c r="D516" s="117"/>
      <c r="E516" s="116"/>
      <c r="F516" s="117"/>
      <c r="G516" s="116"/>
      <c r="H516" s="116"/>
      <c r="I516" s="116"/>
      <c r="J516" s="116"/>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row>
    <row r="517" spans="1:50" ht="15" customHeight="1" x14ac:dyDescent="0.25">
      <c r="A517" s="259"/>
      <c r="B517" s="681"/>
      <c r="C517" s="643"/>
      <c r="D517" s="260" t="str">
        <f>Translate!E529</f>
        <v>add</v>
      </c>
      <c r="E517" s="262" t="str">
        <f xml:space="preserve"> Translate!E$294</f>
        <v>Recoverable costs opening balance: BEG</v>
      </c>
      <c r="F517" s="260"/>
      <c r="G517" s="262" t="str">
        <f xml:space="preserve"> Translate!E$603</f>
        <v>US$ mn</v>
      </c>
      <c r="H517" s="262"/>
      <c r="I517" s="262"/>
      <c r="J517" s="262"/>
      <c r="K517" s="261">
        <f t="shared" ref="K517:AX517" si="136" xml:space="preserve"> J522</f>
        <v>0</v>
      </c>
      <c r="L517" s="261">
        <f t="shared" ca="1" si="136"/>
        <v>420</v>
      </c>
      <c r="M517" s="261">
        <f t="shared" ca="1" si="136"/>
        <v>471</v>
      </c>
      <c r="N517" s="261">
        <f t="shared" ca="1" si="136"/>
        <v>783.12</v>
      </c>
      <c r="O517" s="261">
        <f t="shared" ca="1" si="136"/>
        <v>2056.5695999999998</v>
      </c>
      <c r="P517" s="261">
        <f t="shared" ca="1" si="136"/>
        <v>3414.003027732816</v>
      </c>
      <c r="Q517" s="261">
        <f t="shared" ca="1" si="136"/>
        <v>5965.8194690288165</v>
      </c>
      <c r="R517" s="261">
        <f t="shared" ca="1" si="136"/>
        <v>7566.4247792278566</v>
      </c>
      <c r="S517" s="261">
        <f t="shared" ca="1" si="136"/>
        <v>8451.016023258846</v>
      </c>
      <c r="T517" s="261">
        <f t="shared" ca="1" si="136"/>
        <v>9117.586727570002</v>
      </c>
      <c r="U517" s="261">
        <f t="shared" ca="1" si="136"/>
        <v>9796.1083575673802</v>
      </c>
      <c r="V517" s="261">
        <f t="shared" ca="1" si="136"/>
        <v>10486.819931764707</v>
      </c>
      <c r="W517" s="261">
        <f t="shared" ca="1" si="136"/>
        <v>11189.965249045979</v>
      </c>
      <c r="X517" s="261">
        <f t="shared" ca="1" si="136"/>
        <v>11969.536457238264</v>
      </c>
      <c r="Y517" s="261">
        <f t="shared" ca="1" si="136"/>
        <v>12762.043731735086</v>
      </c>
      <c r="Z517" s="261">
        <f t="shared" ca="1" si="136"/>
        <v>13567.745793862538</v>
      </c>
      <c r="AA517" s="261">
        <f t="shared" ca="1" si="136"/>
        <v>14386.906539373229</v>
      </c>
      <c r="AB517" s="261">
        <f t="shared" ca="1" si="136"/>
        <v>15206.680502134826</v>
      </c>
      <c r="AC517" s="261">
        <f t="shared" ca="1" si="136"/>
        <v>15679.773666052242</v>
      </c>
      <c r="AD517" s="261">
        <f t="shared" ca="1" si="136"/>
        <v>15994.436482943289</v>
      </c>
      <c r="AE517" s="261">
        <f t="shared" ca="1" si="136"/>
        <v>16583.208504067396</v>
      </c>
      <c r="AF517" s="261">
        <f t="shared" ca="1" si="136"/>
        <v>17146.522470840264</v>
      </c>
      <c r="AG517" s="261">
        <f t="shared" ca="1" si="136"/>
        <v>17397.999442924789</v>
      </c>
      <c r="AH517" s="261">
        <f t="shared" ca="1" si="136"/>
        <v>17632.131456274405</v>
      </c>
      <c r="AI517" s="261">
        <f t="shared" ca="1" si="136"/>
        <v>17858.470723716353</v>
      </c>
      <c r="AJ517" s="261">
        <f t="shared" ca="1" si="136"/>
        <v>18077.333744280997</v>
      </c>
      <c r="AK517" s="261">
        <f t="shared" ca="1" si="136"/>
        <v>18288.920484844541</v>
      </c>
      <c r="AL517" s="261">
        <f t="shared" ca="1" si="136"/>
        <v>18493.334730993858</v>
      </c>
      <c r="AM517" s="261">
        <f t="shared" ca="1" si="136"/>
        <v>18690.60052217617</v>
      </c>
      <c r="AN517" s="261">
        <f t="shared" ca="1" si="136"/>
        <v>18857.781745294837</v>
      </c>
      <c r="AO517" s="261">
        <f t="shared" ca="1" si="136"/>
        <v>19026.553054685191</v>
      </c>
      <c r="AP517" s="261">
        <f t="shared" ca="1" si="136"/>
        <v>19188.067387151714</v>
      </c>
      <c r="AQ517" s="261">
        <f t="shared" ca="1" si="136"/>
        <v>19188.067387151714</v>
      </c>
      <c r="AR517" s="261">
        <f t="shared" ca="1" si="136"/>
        <v>19188.067387151714</v>
      </c>
      <c r="AS517" s="261">
        <f t="shared" ca="1" si="136"/>
        <v>19188.067387151714</v>
      </c>
      <c r="AT517" s="261">
        <f t="shared" ca="1" si="136"/>
        <v>19188.067387151714</v>
      </c>
      <c r="AU517" s="261">
        <f t="shared" ca="1" si="136"/>
        <v>19188.067387151714</v>
      </c>
      <c r="AV517" s="261">
        <f t="shared" ca="1" si="136"/>
        <v>19188.067387151714</v>
      </c>
      <c r="AW517" s="261">
        <f t="shared" ca="1" si="136"/>
        <v>19188.067387151714</v>
      </c>
      <c r="AX517" s="261">
        <f t="shared" ca="1" si="136"/>
        <v>19188.067387151714</v>
      </c>
    </row>
    <row r="518" spans="1:50" ht="15" customHeight="1" x14ac:dyDescent="0.25">
      <c r="A518" s="263"/>
      <c r="B518" s="667"/>
      <c r="C518" s="607"/>
      <c r="D518" s="264" t="str">
        <f>Translate!E529</f>
        <v>add</v>
      </c>
      <c r="E518" s="7" t="str">
        <f xml:space="preserve"> Translate!E$295</f>
        <v>Uplift on unrecovered costs</v>
      </c>
      <c r="F518" s="264"/>
      <c r="G518" s="7" t="str">
        <f xml:space="preserve"> Translate!E$603</f>
        <v>US$ mn</v>
      </c>
      <c r="H518" s="7"/>
      <c r="I518" s="7">
        <f ca="1" xml:space="preserve"> SUM(K518:AX518)</f>
        <v>0</v>
      </c>
      <c r="J518" s="7"/>
      <c r="K518" s="7">
        <f t="shared" ref="K518:AX518" ca="1" si="137" xml:space="preserve"> K517 * K511</f>
        <v>0</v>
      </c>
      <c r="L518" s="7">
        <f t="shared" ca="1" si="137"/>
        <v>0</v>
      </c>
      <c r="M518" s="7">
        <f t="shared" ca="1" si="137"/>
        <v>0</v>
      </c>
      <c r="N518" s="7">
        <f t="shared" ca="1" si="137"/>
        <v>0</v>
      </c>
      <c r="O518" s="7">
        <f t="shared" ca="1" si="137"/>
        <v>0</v>
      </c>
      <c r="P518" s="7">
        <f t="shared" ca="1" si="137"/>
        <v>0</v>
      </c>
      <c r="Q518" s="7">
        <f t="shared" ca="1" si="137"/>
        <v>0</v>
      </c>
      <c r="R518" s="7">
        <f t="shared" ca="1" si="137"/>
        <v>0</v>
      </c>
      <c r="S518" s="7">
        <f t="shared" ca="1" si="137"/>
        <v>0</v>
      </c>
      <c r="T518" s="7">
        <f t="shared" ca="1" si="137"/>
        <v>0</v>
      </c>
      <c r="U518" s="7">
        <f t="shared" ca="1" si="137"/>
        <v>0</v>
      </c>
      <c r="V518" s="7">
        <f t="shared" ca="1" si="137"/>
        <v>0</v>
      </c>
      <c r="W518" s="7">
        <f t="shared" ca="1" si="137"/>
        <v>0</v>
      </c>
      <c r="X518" s="7">
        <f t="shared" ca="1" si="137"/>
        <v>0</v>
      </c>
      <c r="Y518" s="7">
        <f t="shared" ca="1" si="137"/>
        <v>0</v>
      </c>
      <c r="Z518" s="7">
        <f t="shared" ca="1" si="137"/>
        <v>0</v>
      </c>
      <c r="AA518" s="7">
        <f t="shared" ca="1" si="137"/>
        <v>0</v>
      </c>
      <c r="AB518" s="7">
        <f t="shared" ca="1" si="137"/>
        <v>0</v>
      </c>
      <c r="AC518" s="7">
        <f t="shared" ca="1" si="137"/>
        <v>0</v>
      </c>
      <c r="AD518" s="7">
        <f t="shared" ca="1" si="137"/>
        <v>0</v>
      </c>
      <c r="AE518" s="7">
        <f t="shared" ca="1" si="137"/>
        <v>0</v>
      </c>
      <c r="AF518" s="7">
        <f t="shared" ca="1" si="137"/>
        <v>0</v>
      </c>
      <c r="AG518" s="7">
        <f t="shared" ca="1" si="137"/>
        <v>0</v>
      </c>
      <c r="AH518" s="7">
        <f t="shared" ca="1" si="137"/>
        <v>0</v>
      </c>
      <c r="AI518" s="7">
        <f t="shared" ca="1" si="137"/>
        <v>0</v>
      </c>
      <c r="AJ518" s="7">
        <f t="shared" ca="1" si="137"/>
        <v>0</v>
      </c>
      <c r="AK518" s="7">
        <f t="shared" ca="1" si="137"/>
        <v>0</v>
      </c>
      <c r="AL518" s="7">
        <f t="shared" ca="1" si="137"/>
        <v>0</v>
      </c>
      <c r="AM518" s="7">
        <f t="shared" ca="1" si="137"/>
        <v>0</v>
      </c>
      <c r="AN518" s="7">
        <f t="shared" ca="1" si="137"/>
        <v>0</v>
      </c>
      <c r="AO518" s="7">
        <f t="shared" ca="1" si="137"/>
        <v>0</v>
      </c>
      <c r="AP518" s="7">
        <f t="shared" ca="1" si="137"/>
        <v>0</v>
      </c>
      <c r="AQ518" s="7">
        <f t="shared" ca="1" si="137"/>
        <v>0</v>
      </c>
      <c r="AR518" s="7">
        <f t="shared" ca="1" si="137"/>
        <v>0</v>
      </c>
      <c r="AS518" s="7">
        <f t="shared" ca="1" si="137"/>
        <v>0</v>
      </c>
      <c r="AT518" s="7">
        <f t="shared" ca="1" si="137"/>
        <v>0</v>
      </c>
      <c r="AU518" s="7">
        <f t="shared" ca="1" si="137"/>
        <v>0</v>
      </c>
      <c r="AV518" s="7">
        <f t="shared" ca="1" si="137"/>
        <v>0</v>
      </c>
      <c r="AW518" s="7">
        <f t="shared" ca="1" si="137"/>
        <v>0</v>
      </c>
      <c r="AX518" s="7">
        <f t="shared" ca="1" si="137"/>
        <v>0</v>
      </c>
    </row>
    <row r="519" spans="1:50" ht="15" customHeight="1" x14ac:dyDescent="0.25">
      <c r="A519" s="129"/>
      <c r="B519" s="118"/>
      <c r="C519" s="128"/>
      <c r="D519" s="264" t="str">
        <f>Translate!E529</f>
        <v>add</v>
      </c>
      <c r="E519" s="7" t="str">
        <f t="shared" ref="E519:AX519" si="138" xml:space="preserve"> E$499</f>
        <v>Costs into cost recovery</v>
      </c>
      <c r="F519" s="264">
        <f t="shared" si="138"/>
        <v>0</v>
      </c>
      <c r="G519" s="7" t="str">
        <f t="shared" si="138"/>
        <v>US$ mn</v>
      </c>
      <c r="H519" s="7">
        <f t="shared" si="138"/>
        <v>0</v>
      </c>
      <c r="I519" s="7">
        <f t="shared" ca="1" si="138"/>
        <v>19188.067387151714</v>
      </c>
      <c r="J519" s="7">
        <f t="shared" si="138"/>
        <v>0</v>
      </c>
      <c r="K519" s="7">
        <f t="shared" ca="1" si="138"/>
        <v>420</v>
      </c>
      <c r="L519" s="7">
        <f t="shared" ca="1" si="138"/>
        <v>51</v>
      </c>
      <c r="M519" s="7">
        <f t="shared" ca="1" si="138"/>
        <v>312.12</v>
      </c>
      <c r="N519" s="7">
        <f t="shared" ca="1" si="138"/>
        <v>1273.4495999999999</v>
      </c>
      <c r="O519" s="7">
        <f t="shared" ca="1" si="138"/>
        <v>1357.4334277328164</v>
      </c>
      <c r="P519" s="7">
        <f t="shared" ca="1" si="138"/>
        <v>2551.816441296</v>
      </c>
      <c r="Q519" s="7">
        <f t="shared" ca="1" si="138"/>
        <v>1600.6053101990401</v>
      </c>
      <c r="R519" s="7">
        <f t="shared" ca="1" si="138"/>
        <v>884.59124403098872</v>
      </c>
      <c r="S519" s="7">
        <f t="shared" ca="1" si="138"/>
        <v>666.57070431115562</v>
      </c>
      <c r="T519" s="7">
        <f t="shared" ca="1" si="138"/>
        <v>678.52162999737868</v>
      </c>
      <c r="U519" s="7">
        <f t="shared" ca="1" si="138"/>
        <v>690.71157419732629</v>
      </c>
      <c r="V519" s="7">
        <f t="shared" ca="1" si="138"/>
        <v>703.14531728127281</v>
      </c>
      <c r="W519" s="7">
        <f t="shared" ca="1" si="138"/>
        <v>779.57120819228419</v>
      </c>
      <c r="X519" s="7">
        <f t="shared" ca="1" si="138"/>
        <v>792.50727449682199</v>
      </c>
      <c r="Y519" s="7">
        <f t="shared" ca="1" si="138"/>
        <v>805.70206212745086</v>
      </c>
      <c r="Z519" s="7">
        <f t="shared" ca="1" si="138"/>
        <v>819.16074551069221</v>
      </c>
      <c r="AA519" s="7">
        <f t="shared" ca="1" si="138"/>
        <v>819.77396276159834</v>
      </c>
      <c r="AB519" s="7">
        <f t="shared" ca="1" si="138"/>
        <v>473.09316391741646</v>
      </c>
      <c r="AC519" s="7">
        <f t="shared" ca="1" si="138"/>
        <v>314.66281689104699</v>
      </c>
      <c r="AD519" s="7">
        <f t="shared" ca="1" si="138"/>
        <v>588.77202112410578</v>
      </c>
      <c r="AE519" s="7">
        <f t="shared" ca="1" si="138"/>
        <v>563.31396677286671</v>
      </c>
      <c r="AF519" s="7">
        <f t="shared" ca="1" si="138"/>
        <v>251.47697208452519</v>
      </c>
      <c r="AG519" s="7">
        <f t="shared" ca="1" si="138"/>
        <v>234.13201334961462</v>
      </c>
      <c r="AH519" s="7">
        <f t="shared" ca="1" si="138"/>
        <v>226.33926744194767</v>
      </c>
      <c r="AI519" s="7">
        <f t="shared" ca="1" si="138"/>
        <v>218.86302056464319</v>
      </c>
      <c r="AJ519" s="7">
        <f t="shared" ca="1" si="138"/>
        <v>211.58674056354246</v>
      </c>
      <c r="AK519" s="7">
        <f t="shared" ca="1" si="138"/>
        <v>204.41424614931802</v>
      </c>
      <c r="AL519" s="7">
        <f t="shared" ca="1" si="138"/>
        <v>197.26579118231302</v>
      </c>
      <c r="AM519" s="7">
        <f t="shared" ca="1" si="138"/>
        <v>167.18122311866748</v>
      </c>
      <c r="AN519" s="7">
        <f t="shared" ca="1" si="138"/>
        <v>168.77130939035584</v>
      </c>
      <c r="AO519" s="7">
        <f t="shared" ca="1" si="138"/>
        <v>161.51433246652181</v>
      </c>
      <c r="AP519" s="7">
        <f t="shared" ca="1" si="138"/>
        <v>0</v>
      </c>
      <c r="AQ519" s="7">
        <f t="shared" ca="1" si="138"/>
        <v>0</v>
      </c>
      <c r="AR519" s="7">
        <f t="shared" ca="1" si="138"/>
        <v>0</v>
      </c>
      <c r="AS519" s="7">
        <f t="shared" ca="1" si="138"/>
        <v>0</v>
      </c>
      <c r="AT519" s="7">
        <f t="shared" ca="1" si="138"/>
        <v>0</v>
      </c>
      <c r="AU519" s="7">
        <f t="shared" ca="1" si="138"/>
        <v>0</v>
      </c>
      <c r="AV519" s="7">
        <f t="shared" ca="1" si="138"/>
        <v>0</v>
      </c>
      <c r="AW519" s="7">
        <f t="shared" ca="1" si="138"/>
        <v>0</v>
      </c>
      <c r="AX519" s="7">
        <f t="shared" ca="1" si="138"/>
        <v>0</v>
      </c>
    </row>
    <row r="520" spans="1:50" ht="15" customHeight="1" x14ac:dyDescent="0.25">
      <c r="A520" s="129"/>
      <c r="B520" s="118"/>
      <c r="C520" s="128"/>
      <c r="D520" s="124"/>
      <c r="E520" s="54" t="str">
        <f xml:space="preserve"> Translate!E$296</f>
        <v>Balance of costs to be recovered</v>
      </c>
      <c r="F520" s="124"/>
      <c r="G520" s="54" t="str">
        <f xml:space="preserve"> Translate!E$603</f>
        <v>US$ mn</v>
      </c>
      <c r="H520" s="54"/>
      <c r="I520" s="54"/>
      <c r="J520" s="54"/>
      <c r="K520" s="54">
        <f ca="1">SUM(K517:K519)</f>
        <v>420</v>
      </c>
      <c r="L520" s="54">
        <f t="shared" ref="L520:AX520" ca="1" si="139">SUM(L517:L519)</f>
        <v>471</v>
      </c>
      <c r="M520" s="54">
        <f t="shared" ca="1" si="139"/>
        <v>783.12</v>
      </c>
      <c r="N520" s="54">
        <f t="shared" ca="1" si="139"/>
        <v>2056.5695999999998</v>
      </c>
      <c r="O520" s="54">
        <f t="shared" ca="1" si="139"/>
        <v>3414.003027732816</v>
      </c>
      <c r="P520" s="54">
        <f t="shared" ca="1" si="139"/>
        <v>5965.8194690288165</v>
      </c>
      <c r="Q520" s="54">
        <f t="shared" ca="1" si="139"/>
        <v>7566.4247792278566</v>
      </c>
      <c r="R520" s="54">
        <f t="shared" ca="1" si="139"/>
        <v>8451.016023258846</v>
      </c>
      <c r="S520" s="54">
        <f t="shared" ca="1" si="139"/>
        <v>9117.586727570002</v>
      </c>
      <c r="T520" s="54">
        <f t="shared" ca="1" si="139"/>
        <v>9796.1083575673802</v>
      </c>
      <c r="U520" s="54">
        <f t="shared" ca="1" si="139"/>
        <v>10486.819931764707</v>
      </c>
      <c r="V520" s="54">
        <f t="shared" ca="1" si="139"/>
        <v>11189.965249045979</v>
      </c>
      <c r="W520" s="54">
        <f t="shared" ca="1" si="139"/>
        <v>11969.536457238264</v>
      </c>
      <c r="X520" s="54">
        <f t="shared" ca="1" si="139"/>
        <v>12762.043731735086</v>
      </c>
      <c r="Y520" s="54">
        <f t="shared" ca="1" si="139"/>
        <v>13567.745793862538</v>
      </c>
      <c r="Z520" s="54">
        <f t="shared" ca="1" si="139"/>
        <v>14386.906539373229</v>
      </c>
      <c r="AA520" s="54">
        <f t="shared" ca="1" si="139"/>
        <v>15206.680502134826</v>
      </c>
      <c r="AB520" s="54">
        <f t="shared" ca="1" si="139"/>
        <v>15679.773666052242</v>
      </c>
      <c r="AC520" s="54">
        <f t="shared" ca="1" si="139"/>
        <v>15994.436482943289</v>
      </c>
      <c r="AD520" s="54">
        <f t="shared" ca="1" si="139"/>
        <v>16583.208504067396</v>
      </c>
      <c r="AE520" s="54">
        <f t="shared" ca="1" si="139"/>
        <v>17146.522470840264</v>
      </c>
      <c r="AF520" s="54">
        <f t="shared" ca="1" si="139"/>
        <v>17397.999442924789</v>
      </c>
      <c r="AG520" s="54">
        <f t="shared" ca="1" si="139"/>
        <v>17632.131456274405</v>
      </c>
      <c r="AH520" s="54">
        <f t="shared" ca="1" si="139"/>
        <v>17858.470723716353</v>
      </c>
      <c r="AI520" s="54">
        <f t="shared" ca="1" si="139"/>
        <v>18077.333744280997</v>
      </c>
      <c r="AJ520" s="54">
        <f t="shared" ca="1" si="139"/>
        <v>18288.920484844541</v>
      </c>
      <c r="AK520" s="54">
        <f t="shared" ca="1" si="139"/>
        <v>18493.334730993858</v>
      </c>
      <c r="AL520" s="54">
        <f t="shared" ca="1" si="139"/>
        <v>18690.60052217617</v>
      </c>
      <c r="AM520" s="54">
        <f t="shared" ca="1" si="139"/>
        <v>18857.781745294837</v>
      </c>
      <c r="AN520" s="54">
        <f t="shared" ca="1" si="139"/>
        <v>19026.553054685191</v>
      </c>
      <c r="AO520" s="54">
        <f t="shared" ca="1" si="139"/>
        <v>19188.067387151714</v>
      </c>
      <c r="AP520" s="54">
        <f t="shared" ca="1" si="139"/>
        <v>19188.067387151714</v>
      </c>
      <c r="AQ520" s="54">
        <f t="shared" ca="1" si="139"/>
        <v>19188.067387151714</v>
      </c>
      <c r="AR520" s="54">
        <f t="shared" ca="1" si="139"/>
        <v>19188.067387151714</v>
      </c>
      <c r="AS520" s="54">
        <f t="shared" ca="1" si="139"/>
        <v>19188.067387151714</v>
      </c>
      <c r="AT520" s="54">
        <f t="shared" ca="1" si="139"/>
        <v>19188.067387151714</v>
      </c>
      <c r="AU520" s="54">
        <f t="shared" ca="1" si="139"/>
        <v>19188.067387151714</v>
      </c>
      <c r="AV520" s="54">
        <f t="shared" ca="1" si="139"/>
        <v>19188.067387151714</v>
      </c>
      <c r="AW520" s="54">
        <f t="shared" ca="1" si="139"/>
        <v>19188.067387151714</v>
      </c>
      <c r="AX520" s="54">
        <f t="shared" ca="1" si="139"/>
        <v>19188.067387151714</v>
      </c>
    </row>
    <row r="521" spans="1:50" s="48" customFormat="1" ht="15" customHeight="1" x14ac:dyDescent="0.25">
      <c r="A521" s="178"/>
      <c r="B521" s="102"/>
      <c r="C521" s="127"/>
      <c r="D521" s="151" t="str">
        <f>Translate!E530</f>
        <v>less</v>
      </c>
      <c r="E521" s="56" t="str">
        <f xml:space="preserve"> Translate!E$297</f>
        <v>PSC: Costs recovered (cost oil)</v>
      </c>
      <c r="F521" s="151"/>
      <c r="G521" s="56" t="str">
        <f xml:space="preserve"> Translate!E$603</f>
        <v>US$ mn</v>
      </c>
      <c r="H521" s="56"/>
      <c r="I521" s="56">
        <f ca="1" xml:space="preserve"> SUM(K521:AX521)</f>
        <v>0</v>
      </c>
      <c r="J521" s="56"/>
      <c r="K521" s="56">
        <f t="shared" ref="K521:AX521" ca="1" si="140" xml:space="preserve"> MIN( K520, K504) * $F514</f>
        <v>0</v>
      </c>
      <c r="L521" s="56">
        <f t="shared" ca="1" si="140"/>
        <v>0</v>
      </c>
      <c r="M521" s="56">
        <f t="shared" ca="1" si="140"/>
        <v>0</v>
      </c>
      <c r="N521" s="56">
        <f t="shared" ca="1" si="140"/>
        <v>0</v>
      </c>
      <c r="O521" s="56">
        <f t="shared" ca="1" si="140"/>
        <v>0</v>
      </c>
      <c r="P521" s="56">
        <f t="shared" ca="1" si="140"/>
        <v>0</v>
      </c>
      <c r="Q521" s="56">
        <f t="shared" ca="1" si="140"/>
        <v>0</v>
      </c>
      <c r="R521" s="56">
        <f t="shared" ca="1" si="140"/>
        <v>0</v>
      </c>
      <c r="S521" s="56">
        <f t="shared" ca="1" si="140"/>
        <v>0</v>
      </c>
      <c r="T521" s="56">
        <f ca="1" xml:space="preserve"> MIN( T520, T504) * $F514</f>
        <v>0</v>
      </c>
      <c r="U521" s="56">
        <f t="shared" ca="1" si="140"/>
        <v>0</v>
      </c>
      <c r="V521" s="56">
        <f t="shared" ca="1" si="140"/>
        <v>0</v>
      </c>
      <c r="W521" s="56">
        <f t="shared" ca="1" si="140"/>
        <v>0</v>
      </c>
      <c r="X521" s="56">
        <f t="shared" ca="1" si="140"/>
        <v>0</v>
      </c>
      <c r="Y521" s="56">
        <f t="shared" ca="1" si="140"/>
        <v>0</v>
      </c>
      <c r="Z521" s="56">
        <f t="shared" ca="1" si="140"/>
        <v>0</v>
      </c>
      <c r="AA521" s="56">
        <f t="shared" ca="1" si="140"/>
        <v>0</v>
      </c>
      <c r="AB521" s="56">
        <f t="shared" ca="1" si="140"/>
        <v>0</v>
      </c>
      <c r="AC521" s="56">
        <f t="shared" ca="1" si="140"/>
        <v>0</v>
      </c>
      <c r="AD521" s="56">
        <f t="shared" ca="1" si="140"/>
        <v>0</v>
      </c>
      <c r="AE521" s="56">
        <f t="shared" ca="1" si="140"/>
        <v>0</v>
      </c>
      <c r="AF521" s="56">
        <f t="shared" ca="1" si="140"/>
        <v>0</v>
      </c>
      <c r="AG521" s="56">
        <f t="shared" ca="1" si="140"/>
        <v>0</v>
      </c>
      <c r="AH521" s="56">
        <f t="shared" ca="1" si="140"/>
        <v>0</v>
      </c>
      <c r="AI521" s="56">
        <f t="shared" ca="1" si="140"/>
        <v>0</v>
      </c>
      <c r="AJ521" s="56">
        <f t="shared" ca="1" si="140"/>
        <v>0</v>
      </c>
      <c r="AK521" s="56">
        <f t="shared" ca="1" si="140"/>
        <v>0</v>
      </c>
      <c r="AL521" s="56">
        <f t="shared" ca="1" si="140"/>
        <v>0</v>
      </c>
      <c r="AM521" s="56">
        <f t="shared" ca="1" si="140"/>
        <v>0</v>
      </c>
      <c r="AN521" s="56">
        <f t="shared" ca="1" si="140"/>
        <v>0</v>
      </c>
      <c r="AO521" s="56">
        <f t="shared" ca="1" si="140"/>
        <v>0</v>
      </c>
      <c r="AP521" s="56">
        <f t="shared" ca="1" si="140"/>
        <v>0</v>
      </c>
      <c r="AQ521" s="56">
        <f t="shared" ca="1" si="140"/>
        <v>0</v>
      </c>
      <c r="AR521" s="56">
        <f t="shared" ca="1" si="140"/>
        <v>0</v>
      </c>
      <c r="AS521" s="56">
        <f t="shared" ca="1" si="140"/>
        <v>0</v>
      </c>
      <c r="AT521" s="56">
        <f t="shared" ca="1" si="140"/>
        <v>0</v>
      </c>
      <c r="AU521" s="56">
        <f t="shared" ca="1" si="140"/>
        <v>0</v>
      </c>
      <c r="AV521" s="56">
        <f t="shared" ca="1" si="140"/>
        <v>0</v>
      </c>
      <c r="AW521" s="56">
        <f t="shared" ca="1" si="140"/>
        <v>0</v>
      </c>
      <c r="AX521" s="56">
        <f t="shared" ca="1" si="140"/>
        <v>0</v>
      </c>
    </row>
    <row r="522" spans="1:50" ht="15" customHeight="1" x14ac:dyDescent="0.25">
      <c r="A522" s="265"/>
      <c r="B522" s="682"/>
      <c r="C522" s="644"/>
      <c r="D522" s="266"/>
      <c r="E522" s="267" t="str">
        <f xml:space="preserve"> Translate!E$298</f>
        <v>Recoverable costs closing balance: END</v>
      </c>
      <c r="F522" s="266"/>
      <c r="G522" s="267" t="str">
        <f xml:space="preserve"> Translate!E$603</f>
        <v>US$ mn</v>
      </c>
      <c r="H522" s="267"/>
      <c r="I522" s="267"/>
      <c r="J522" s="268"/>
      <c r="K522" s="267">
        <f ca="1" xml:space="preserve"> K520 - K521</f>
        <v>420</v>
      </c>
      <c r="L522" s="267">
        <f t="shared" ref="L522:AX522" ca="1" si="141" xml:space="preserve"> L520 - L521</f>
        <v>471</v>
      </c>
      <c r="M522" s="267">
        <f t="shared" ca="1" si="141"/>
        <v>783.12</v>
      </c>
      <c r="N522" s="267">
        <f t="shared" ca="1" si="141"/>
        <v>2056.5695999999998</v>
      </c>
      <c r="O522" s="267">
        <f t="shared" ca="1" si="141"/>
        <v>3414.003027732816</v>
      </c>
      <c r="P522" s="267">
        <f t="shared" ca="1" si="141"/>
        <v>5965.8194690288165</v>
      </c>
      <c r="Q522" s="267">
        <f t="shared" ca="1" si="141"/>
        <v>7566.4247792278566</v>
      </c>
      <c r="R522" s="267">
        <f t="shared" ca="1" si="141"/>
        <v>8451.016023258846</v>
      </c>
      <c r="S522" s="267">
        <f t="shared" ca="1" si="141"/>
        <v>9117.586727570002</v>
      </c>
      <c r="T522" s="267">
        <f t="shared" ca="1" si="141"/>
        <v>9796.1083575673802</v>
      </c>
      <c r="U522" s="267">
        <f t="shared" ca="1" si="141"/>
        <v>10486.819931764707</v>
      </c>
      <c r="V522" s="267">
        <f t="shared" ca="1" si="141"/>
        <v>11189.965249045979</v>
      </c>
      <c r="W522" s="267">
        <f t="shared" ca="1" si="141"/>
        <v>11969.536457238264</v>
      </c>
      <c r="X522" s="267">
        <f t="shared" ca="1" si="141"/>
        <v>12762.043731735086</v>
      </c>
      <c r="Y522" s="267">
        <f t="shared" ca="1" si="141"/>
        <v>13567.745793862538</v>
      </c>
      <c r="Z522" s="267">
        <f t="shared" ca="1" si="141"/>
        <v>14386.906539373229</v>
      </c>
      <c r="AA522" s="267">
        <f t="shared" ca="1" si="141"/>
        <v>15206.680502134826</v>
      </c>
      <c r="AB522" s="267">
        <f t="shared" ca="1" si="141"/>
        <v>15679.773666052242</v>
      </c>
      <c r="AC522" s="267">
        <f t="shared" ca="1" si="141"/>
        <v>15994.436482943289</v>
      </c>
      <c r="AD522" s="267">
        <f t="shared" ca="1" si="141"/>
        <v>16583.208504067396</v>
      </c>
      <c r="AE522" s="267">
        <f t="shared" ca="1" si="141"/>
        <v>17146.522470840264</v>
      </c>
      <c r="AF522" s="267">
        <f t="shared" ca="1" si="141"/>
        <v>17397.999442924789</v>
      </c>
      <c r="AG522" s="267">
        <f t="shared" ca="1" si="141"/>
        <v>17632.131456274405</v>
      </c>
      <c r="AH522" s="267">
        <f t="shared" ca="1" si="141"/>
        <v>17858.470723716353</v>
      </c>
      <c r="AI522" s="267">
        <f t="shared" ca="1" si="141"/>
        <v>18077.333744280997</v>
      </c>
      <c r="AJ522" s="267">
        <f t="shared" ca="1" si="141"/>
        <v>18288.920484844541</v>
      </c>
      <c r="AK522" s="267">
        <f t="shared" ca="1" si="141"/>
        <v>18493.334730993858</v>
      </c>
      <c r="AL522" s="267">
        <f t="shared" ca="1" si="141"/>
        <v>18690.60052217617</v>
      </c>
      <c r="AM522" s="267">
        <f t="shared" ca="1" si="141"/>
        <v>18857.781745294837</v>
      </c>
      <c r="AN522" s="267">
        <f t="shared" ca="1" si="141"/>
        <v>19026.553054685191</v>
      </c>
      <c r="AO522" s="267">
        <f t="shared" ca="1" si="141"/>
        <v>19188.067387151714</v>
      </c>
      <c r="AP522" s="267">
        <f t="shared" ca="1" si="141"/>
        <v>19188.067387151714</v>
      </c>
      <c r="AQ522" s="267">
        <f t="shared" ca="1" si="141"/>
        <v>19188.067387151714</v>
      </c>
      <c r="AR522" s="267">
        <f t="shared" ca="1" si="141"/>
        <v>19188.067387151714</v>
      </c>
      <c r="AS522" s="267">
        <f t="shared" ca="1" si="141"/>
        <v>19188.067387151714</v>
      </c>
      <c r="AT522" s="267">
        <f t="shared" ca="1" si="141"/>
        <v>19188.067387151714</v>
      </c>
      <c r="AU522" s="267">
        <f t="shared" ca="1" si="141"/>
        <v>19188.067387151714</v>
      </c>
      <c r="AV522" s="267">
        <f t="shared" ca="1" si="141"/>
        <v>19188.067387151714</v>
      </c>
      <c r="AW522" s="267">
        <f t="shared" ca="1" si="141"/>
        <v>19188.067387151714</v>
      </c>
      <c r="AX522" s="267">
        <f t="shared" ca="1" si="141"/>
        <v>19188.067387151714</v>
      </c>
    </row>
    <row r="523" spans="1:50" ht="15" customHeight="1" x14ac:dyDescent="0.25">
      <c r="A523" s="106"/>
      <c r="B523" s="174"/>
      <c r="C523" s="601"/>
      <c r="D523" s="117"/>
      <c r="E523" s="109"/>
      <c r="F523" s="117"/>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row>
    <row r="524" spans="1:50" ht="15" customHeight="1" x14ac:dyDescent="0.25">
      <c r="A524" s="106"/>
      <c r="B524" s="174"/>
      <c r="C524" s="601"/>
      <c r="D524" s="117"/>
      <c r="E524" s="109" t="str">
        <f xml:space="preserve"> Translate!E$601 &amp; ": "  &amp; E518</f>
        <v>Total: Uplift on unrecovered costs</v>
      </c>
      <c r="F524" s="162">
        <f ca="1" xml:space="preserve"> SUM(K518:AX518)</f>
        <v>0</v>
      </c>
      <c r="G524" s="109" t="str">
        <f xml:space="preserve"> G518</f>
        <v>US$ mn</v>
      </c>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row>
    <row r="525" spans="1:50" ht="15" customHeight="1" x14ac:dyDescent="0.25">
      <c r="A525" s="106"/>
      <c r="B525" s="174"/>
      <c r="C525" s="601"/>
      <c r="D525" s="117"/>
      <c r="E525" s="109" t="str">
        <f xml:space="preserve"> Translate!E$601 &amp; ": "  &amp; E519</f>
        <v>Total: Costs into cost recovery</v>
      </c>
      <c r="F525" s="117">
        <f ca="1" xml:space="preserve"> SUM(K519:AX519)</f>
        <v>19188.067387151714</v>
      </c>
      <c r="G525" s="109" t="str">
        <f xml:space="preserve"> G518</f>
        <v>US$ mn</v>
      </c>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row>
    <row r="526" spans="1:50" ht="15" customHeight="1" x14ac:dyDescent="0.25">
      <c r="A526" s="106"/>
      <c r="B526" s="174"/>
      <c r="C526" s="601"/>
      <c r="D526" s="117"/>
      <c r="E526" s="109" t="str">
        <f xml:space="preserve"> Translate!E$601 &amp; ": "  &amp; E521</f>
        <v>Total: PSC: Costs recovered (cost oil)</v>
      </c>
      <c r="F526" s="117">
        <f ca="1" xml:space="preserve"> SUM(K521:AX521)</f>
        <v>0</v>
      </c>
      <c r="G526" s="109" t="str">
        <f xml:space="preserve"> G521</f>
        <v>US$ mn</v>
      </c>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row>
    <row r="527" spans="1:50" ht="15" customHeight="1" x14ac:dyDescent="0.25">
      <c r="A527" s="170"/>
      <c r="D527" s="3"/>
      <c r="E527" s="3" t="str">
        <f xml:space="preserve"> Translate!E$299</f>
        <v>Unrecovered costs at end of project</v>
      </c>
      <c r="F527" s="44">
        <f ca="1" xml:space="preserve"> AX522</f>
        <v>19188.067387151714</v>
      </c>
      <c r="G527" s="3" t="str">
        <f xml:space="preserve"> G522</f>
        <v>US$ mn</v>
      </c>
    </row>
    <row r="528" spans="1:50" ht="15" customHeight="1" x14ac:dyDescent="0.25">
      <c r="A528" s="241"/>
      <c r="B528" s="675"/>
      <c r="C528" s="615"/>
      <c r="D528" s="64"/>
      <c r="E528" s="190" t="str">
        <f xml:space="preserve"> Translate!E$755 &amp; " " &amp; Translate!E$300</f>
        <v>Check:  Cost recovery</v>
      </c>
      <c r="F528" s="157">
        <f ca="1" xml:space="preserve"> IF( ABS(F524 + F525 - F526 - F527 ) &gt; CHK_TOL, 1, 0)</f>
        <v>0</v>
      </c>
      <c r="G528" s="190" t="str">
        <f xml:space="preserve"> Translate!E$604</f>
        <v>Check</v>
      </c>
      <c r="H528" s="190"/>
      <c r="I528" s="55"/>
      <c r="J528" s="48"/>
      <c r="K528" s="55"/>
      <c r="L528" s="55"/>
      <c r="M528" s="55"/>
      <c r="N528" s="55"/>
      <c r="O528" s="55"/>
      <c r="P528" s="55"/>
      <c r="Q528" s="55"/>
      <c r="R528" s="55"/>
      <c r="S528" s="55"/>
      <c r="T528" s="55"/>
      <c r="U528" s="55"/>
      <c r="V528" s="55"/>
      <c r="W528" s="55"/>
      <c r="X528" s="55"/>
      <c r="Y528" s="55"/>
      <c r="Z528" s="55"/>
      <c r="AA528" s="55"/>
      <c r="AB528" s="55"/>
      <c r="AC528" s="55"/>
      <c r="AD528" s="55"/>
      <c r="AE528" s="55"/>
      <c r="AF528" s="55"/>
      <c r="AG528" s="55"/>
      <c r="AH528" s="55"/>
      <c r="AI528" s="55"/>
      <c r="AJ528" s="55"/>
      <c r="AK528" s="55"/>
      <c r="AL528" s="55"/>
      <c r="AM528" s="55"/>
      <c r="AN528" s="55"/>
      <c r="AO528" s="55"/>
      <c r="AP528" s="55"/>
      <c r="AQ528" s="55"/>
      <c r="AR528" s="55"/>
      <c r="AS528" s="55"/>
      <c r="AT528" s="55"/>
      <c r="AU528" s="55"/>
      <c r="AV528" s="55"/>
      <c r="AW528" s="55"/>
      <c r="AX528" s="55"/>
    </row>
    <row r="529" spans="1:50" ht="15" customHeight="1" x14ac:dyDescent="0.25">
      <c r="A529" s="241"/>
      <c r="B529" s="675"/>
      <c r="C529" s="615"/>
      <c r="D529" s="64"/>
      <c r="E529" s="190"/>
      <c r="F529" s="147"/>
      <c r="G529" s="190"/>
      <c r="H529" s="190"/>
      <c r="I529" s="55"/>
      <c r="J529" s="48"/>
      <c r="K529" s="55"/>
      <c r="L529" s="55"/>
      <c r="M529" s="55"/>
      <c r="N529" s="55"/>
      <c r="O529" s="55"/>
      <c r="P529" s="55"/>
      <c r="Q529" s="55"/>
      <c r="R529" s="55"/>
      <c r="S529" s="55"/>
      <c r="T529" s="55"/>
      <c r="U529" s="55"/>
      <c r="V529" s="55"/>
      <c r="W529" s="55"/>
      <c r="X529" s="55"/>
      <c r="Y529" s="55"/>
      <c r="Z529" s="55"/>
      <c r="AA529" s="55"/>
      <c r="AB529" s="55"/>
      <c r="AC529" s="55"/>
      <c r="AD529" s="55"/>
      <c r="AE529" s="55"/>
      <c r="AF529" s="55"/>
      <c r="AG529" s="55"/>
      <c r="AH529" s="55"/>
      <c r="AI529" s="55"/>
      <c r="AJ529" s="55"/>
      <c r="AK529" s="55"/>
      <c r="AL529" s="55"/>
      <c r="AM529" s="55"/>
      <c r="AN529" s="55"/>
      <c r="AO529" s="55"/>
      <c r="AP529" s="55"/>
      <c r="AQ529" s="55"/>
      <c r="AR529" s="55"/>
      <c r="AS529" s="55"/>
      <c r="AT529" s="55"/>
      <c r="AU529" s="55"/>
      <c r="AV529" s="55"/>
      <c r="AW529" s="55"/>
      <c r="AX529" s="55"/>
    </row>
    <row r="530" spans="1:50" ht="15" customHeight="1" x14ac:dyDescent="0.25">
      <c r="A530" s="241"/>
      <c r="B530" s="235" t="str">
        <f>Translate!$E$434</f>
        <v>Profit oil</v>
      </c>
      <c r="C530" s="615"/>
      <c r="D530" s="64"/>
      <c r="E530" s="190"/>
      <c r="F530" s="147"/>
      <c r="G530" s="190"/>
      <c r="H530" s="190"/>
      <c r="I530" s="55"/>
      <c r="J530" s="48"/>
      <c r="K530" s="55"/>
      <c r="L530" s="55"/>
      <c r="M530" s="55"/>
      <c r="N530" s="55"/>
      <c r="O530" s="55"/>
      <c r="P530" s="55"/>
      <c r="Q530" s="55"/>
      <c r="R530" s="55"/>
      <c r="S530" s="55"/>
      <c r="T530" s="55"/>
      <c r="U530" s="55"/>
      <c r="V530" s="55"/>
      <c r="W530" s="55"/>
      <c r="X530" s="55"/>
      <c r="Y530" s="55"/>
      <c r="Z530" s="55"/>
      <c r="AA530" s="55"/>
      <c r="AB530" s="55"/>
      <c r="AC530" s="55"/>
      <c r="AD530" s="55"/>
      <c r="AE530" s="55"/>
      <c r="AF530" s="55"/>
      <c r="AG530" s="55"/>
      <c r="AH530" s="55"/>
      <c r="AI530" s="55"/>
      <c r="AJ530" s="55"/>
      <c r="AK530" s="55"/>
      <c r="AL530" s="55"/>
      <c r="AM530" s="55"/>
      <c r="AN530" s="55"/>
      <c r="AO530" s="55"/>
      <c r="AP530" s="55"/>
      <c r="AQ530" s="55"/>
      <c r="AR530" s="55"/>
      <c r="AS530" s="55"/>
      <c r="AT530" s="55"/>
      <c r="AU530" s="55"/>
      <c r="AV530" s="55"/>
      <c r="AW530" s="55"/>
      <c r="AX530" s="55"/>
    </row>
    <row r="531" spans="1:50" ht="15" customHeight="1" x14ac:dyDescent="0.25">
      <c r="A531" s="241"/>
      <c r="B531" s="235"/>
      <c r="C531" s="615"/>
      <c r="D531" s="64"/>
      <c r="E531" s="257" t="str">
        <f xml:space="preserve"> E$425</f>
        <v>PSC regime active = 1</v>
      </c>
      <c r="F531" s="576">
        <f xml:space="preserve"> F$425</f>
        <v>0</v>
      </c>
      <c r="G531" s="257" t="str">
        <f xml:space="preserve"> G$425</f>
        <v>option applicable</v>
      </c>
      <c r="H531" s="190"/>
      <c r="I531" s="55"/>
      <c r="J531" s="48"/>
      <c r="K531" s="55"/>
      <c r="L531" s="55"/>
      <c r="M531" s="55"/>
      <c r="N531" s="55"/>
      <c r="O531" s="55"/>
      <c r="P531" s="55"/>
      <c r="Q531" s="55"/>
      <c r="R531" s="55"/>
      <c r="S531" s="55"/>
      <c r="T531" s="55"/>
      <c r="U531" s="55"/>
      <c r="V531" s="55"/>
      <c r="W531" s="55"/>
      <c r="X531" s="55"/>
      <c r="Y531" s="55"/>
      <c r="Z531" s="55"/>
      <c r="AA531" s="55"/>
      <c r="AB531" s="55"/>
      <c r="AC531" s="55"/>
      <c r="AD531" s="55"/>
      <c r="AE531" s="55"/>
      <c r="AF531" s="55"/>
      <c r="AG531" s="55"/>
      <c r="AH531" s="55"/>
      <c r="AI531" s="55"/>
      <c r="AJ531" s="55"/>
      <c r="AK531" s="55"/>
      <c r="AL531" s="55"/>
      <c r="AM531" s="55"/>
      <c r="AN531" s="55"/>
      <c r="AO531" s="55"/>
      <c r="AP531" s="55"/>
      <c r="AQ531" s="55"/>
      <c r="AR531" s="55"/>
      <c r="AS531" s="55"/>
      <c r="AT531" s="55"/>
      <c r="AU531" s="55"/>
      <c r="AV531" s="55"/>
      <c r="AW531" s="55"/>
      <c r="AX531" s="55"/>
    </row>
    <row r="532" spans="1:50" s="48" customFormat="1" ht="15" customHeight="1" x14ac:dyDescent="0.25">
      <c r="A532" s="241"/>
      <c r="B532" s="235"/>
      <c r="C532" s="615"/>
      <c r="D532" s="64" t="str">
        <f>Translate!E529</f>
        <v>add</v>
      </c>
      <c r="E532" s="48" t="str">
        <f>E$219</f>
        <v>Oil revenues after royalty</v>
      </c>
      <c r="F532" s="48">
        <f t="shared" ref="F532:AX532" si="142">F$219</f>
        <v>0</v>
      </c>
      <c r="G532" s="48">
        <f t="shared" si="142"/>
        <v>0</v>
      </c>
      <c r="H532" s="48">
        <f t="shared" si="142"/>
        <v>0</v>
      </c>
      <c r="I532" s="48">
        <f t="shared" ca="1" si="142"/>
        <v>45734.83481473002</v>
      </c>
      <c r="J532" s="48">
        <f t="shared" si="142"/>
        <v>0</v>
      </c>
      <c r="K532" s="48">
        <f t="shared" ca="1" si="142"/>
        <v>0</v>
      </c>
      <c r="L532" s="48">
        <f t="shared" ca="1" si="142"/>
        <v>0</v>
      </c>
      <c r="M532" s="48">
        <f t="shared" ca="1" si="142"/>
        <v>0</v>
      </c>
      <c r="N532" s="48">
        <f t="shared" ca="1" si="142"/>
        <v>0</v>
      </c>
      <c r="O532" s="48">
        <f t="shared" ca="1" si="142"/>
        <v>165.96573648787856</v>
      </c>
      <c r="P532" s="48">
        <f t="shared" ca="1" si="142"/>
        <v>1329.8653274543999</v>
      </c>
      <c r="Q532" s="48">
        <f t="shared" ca="1" si="142"/>
        <v>2712.9252680069762</v>
      </c>
      <c r="R532" s="48">
        <f t="shared" ca="1" si="142"/>
        <v>2767.1837733671155</v>
      </c>
      <c r="S532" s="48">
        <f t="shared" ca="1" si="142"/>
        <v>2822.527448834458</v>
      </c>
      <c r="T532" s="48">
        <f t="shared" ca="1" si="142"/>
        <v>2878.9779978111474</v>
      </c>
      <c r="U532" s="48">
        <f t="shared" ca="1" si="142"/>
        <v>2936.5575577673703</v>
      </c>
      <c r="V532" s="48">
        <f t="shared" ca="1" si="142"/>
        <v>2995.2887089227179</v>
      </c>
      <c r="W532" s="48">
        <f t="shared" ca="1" si="142"/>
        <v>3055.1944831011724</v>
      </c>
      <c r="X532" s="48">
        <f t="shared" ca="1" si="142"/>
        <v>3116.2983727631954</v>
      </c>
      <c r="Y532" s="48">
        <f t="shared" ca="1" si="142"/>
        <v>3178.6243402184596</v>
      </c>
      <c r="Z532" s="48">
        <f t="shared" ca="1" si="142"/>
        <v>3242.196827022829</v>
      </c>
      <c r="AA532" s="48">
        <f t="shared" ca="1" si="142"/>
        <v>2678.703018486262</v>
      </c>
      <c r="AB532" s="48">
        <f t="shared" ca="1" si="142"/>
        <v>2213.14443387335</v>
      </c>
      <c r="AC532" s="48">
        <f t="shared" ca="1" si="142"/>
        <v>1828.4999312661616</v>
      </c>
      <c r="AD532" s="48">
        <f t="shared" ca="1" si="142"/>
        <v>1510.7066432121032</v>
      </c>
      <c r="AE532" s="48">
        <f t="shared" ca="1" si="142"/>
        <v>1248.1458286218397</v>
      </c>
      <c r="AF532" s="48">
        <f t="shared" ca="1" si="142"/>
        <v>1031.2180836073642</v>
      </c>
      <c r="AG532" s="48">
        <f t="shared" ca="1" si="142"/>
        <v>851.99238067640431</v>
      </c>
      <c r="AH532" s="48">
        <f t="shared" ca="1" si="142"/>
        <v>703.91610491484528</v>
      </c>
      <c r="AI532" s="48">
        <f t="shared" ca="1" si="142"/>
        <v>581.57548588064526</v>
      </c>
      <c r="AJ532" s="48">
        <f t="shared" ca="1" si="142"/>
        <v>480.49766643458906</v>
      </c>
      <c r="AK532" s="48">
        <f t="shared" ca="1" si="142"/>
        <v>396.98717200825752</v>
      </c>
      <c r="AL532" s="48">
        <f t="shared" ca="1" si="142"/>
        <v>327.99080151322232</v>
      </c>
      <c r="AM532" s="48">
        <f t="shared" ca="1" si="142"/>
        <v>270.98600021022435</v>
      </c>
      <c r="AN532" s="48">
        <f t="shared" ca="1" si="142"/>
        <v>223.88863337368736</v>
      </c>
      <c r="AO532" s="48">
        <f t="shared" ca="1" si="142"/>
        <v>184.97678889334054</v>
      </c>
      <c r="AP532" s="48">
        <f t="shared" ca="1" si="142"/>
        <v>0</v>
      </c>
      <c r="AQ532" s="48">
        <f t="shared" ca="1" si="142"/>
        <v>0</v>
      </c>
      <c r="AR532" s="48">
        <f t="shared" ca="1" si="142"/>
        <v>0</v>
      </c>
      <c r="AS532" s="48">
        <f t="shared" ca="1" si="142"/>
        <v>0</v>
      </c>
      <c r="AT532" s="48">
        <f t="shared" ca="1" si="142"/>
        <v>0</v>
      </c>
      <c r="AU532" s="48">
        <f t="shared" ca="1" si="142"/>
        <v>0</v>
      </c>
      <c r="AV532" s="48">
        <f t="shared" ca="1" si="142"/>
        <v>0</v>
      </c>
      <c r="AW532" s="48">
        <f t="shared" ca="1" si="142"/>
        <v>0</v>
      </c>
      <c r="AX532" s="48">
        <f t="shared" ca="1" si="142"/>
        <v>0</v>
      </c>
    </row>
    <row r="533" spans="1:50" ht="15" customHeight="1" x14ac:dyDescent="0.25">
      <c r="A533" s="241"/>
      <c r="B533" s="235"/>
      <c r="C533" s="615"/>
      <c r="D533" s="64" t="str">
        <f>Translate!E530</f>
        <v>less</v>
      </c>
      <c r="E533" s="48" t="str">
        <f t="shared" ref="E533:AX533" si="143" xml:space="preserve"> E$521</f>
        <v>PSC: Costs recovered (cost oil)</v>
      </c>
      <c r="F533" s="147">
        <f t="shared" si="143"/>
        <v>0</v>
      </c>
      <c r="G533" s="48" t="str">
        <f t="shared" si="143"/>
        <v>US$ mn</v>
      </c>
      <c r="H533" s="48">
        <f t="shared" si="143"/>
        <v>0</v>
      </c>
      <c r="I533" s="48">
        <f t="shared" ca="1" si="143"/>
        <v>0</v>
      </c>
      <c r="J533" s="48">
        <f t="shared" si="143"/>
        <v>0</v>
      </c>
      <c r="K533" s="48">
        <f t="shared" ca="1" si="143"/>
        <v>0</v>
      </c>
      <c r="L533" s="48">
        <f t="shared" ca="1" si="143"/>
        <v>0</v>
      </c>
      <c r="M533" s="48">
        <f t="shared" ca="1" si="143"/>
        <v>0</v>
      </c>
      <c r="N533" s="48">
        <f t="shared" ca="1" si="143"/>
        <v>0</v>
      </c>
      <c r="O533" s="48">
        <f t="shared" ca="1" si="143"/>
        <v>0</v>
      </c>
      <c r="P533" s="48">
        <f t="shared" ca="1" si="143"/>
        <v>0</v>
      </c>
      <c r="Q533" s="48">
        <f t="shared" ca="1" si="143"/>
        <v>0</v>
      </c>
      <c r="R533" s="48">
        <f t="shared" ca="1" si="143"/>
        <v>0</v>
      </c>
      <c r="S533" s="48">
        <f t="shared" ca="1" si="143"/>
        <v>0</v>
      </c>
      <c r="T533" s="48">
        <f t="shared" ca="1" si="143"/>
        <v>0</v>
      </c>
      <c r="U533" s="48">
        <f t="shared" ca="1" si="143"/>
        <v>0</v>
      </c>
      <c r="V533" s="48">
        <f t="shared" ca="1" si="143"/>
        <v>0</v>
      </c>
      <c r="W533" s="48">
        <f t="shared" ca="1" si="143"/>
        <v>0</v>
      </c>
      <c r="X533" s="48">
        <f t="shared" ca="1" si="143"/>
        <v>0</v>
      </c>
      <c r="Y533" s="48">
        <f t="shared" ca="1" si="143"/>
        <v>0</v>
      </c>
      <c r="Z533" s="48">
        <f t="shared" ca="1" si="143"/>
        <v>0</v>
      </c>
      <c r="AA533" s="48">
        <f t="shared" ca="1" si="143"/>
        <v>0</v>
      </c>
      <c r="AB533" s="48">
        <f t="shared" ca="1" si="143"/>
        <v>0</v>
      </c>
      <c r="AC533" s="48">
        <f t="shared" ca="1" si="143"/>
        <v>0</v>
      </c>
      <c r="AD533" s="48">
        <f t="shared" ca="1" si="143"/>
        <v>0</v>
      </c>
      <c r="AE533" s="48">
        <f t="shared" ca="1" si="143"/>
        <v>0</v>
      </c>
      <c r="AF533" s="48">
        <f t="shared" ca="1" si="143"/>
        <v>0</v>
      </c>
      <c r="AG533" s="48">
        <f t="shared" ca="1" si="143"/>
        <v>0</v>
      </c>
      <c r="AH533" s="48">
        <f t="shared" ca="1" si="143"/>
        <v>0</v>
      </c>
      <c r="AI533" s="48">
        <f t="shared" ca="1" si="143"/>
        <v>0</v>
      </c>
      <c r="AJ533" s="48">
        <f t="shared" ca="1" si="143"/>
        <v>0</v>
      </c>
      <c r="AK533" s="48">
        <f t="shared" ca="1" si="143"/>
        <v>0</v>
      </c>
      <c r="AL533" s="48">
        <f t="shared" ca="1" si="143"/>
        <v>0</v>
      </c>
      <c r="AM533" s="48">
        <f t="shared" ca="1" si="143"/>
        <v>0</v>
      </c>
      <c r="AN533" s="48">
        <f t="shared" ca="1" si="143"/>
        <v>0</v>
      </c>
      <c r="AO533" s="48">
        <f t="shared" ca="1" si="143"/>
        <v>0</v>
      </c>
      <c r="AP533" s="48">
        <f t="shared" ca="1" si="143"/>
        <v>0</v>
      </c>
      <c r="AQ533" s="48">
        <f t="shared" ca="1" si="143"/>
        <v>0</v>
      </c>
      <c r="AR533" s="48">
        <f t="shared" ca="1" si="143"/>
        <v>0</v>
      </c>
      <c r="AS533" s="48">
        <f t="shared" ca="1" si="143"/>
        <v>0</v>
      </c>
      <c r="AT533" s="48">
        <f t="shared" ca="1" si="143"/>
        <v>0</v>
      </c>
      <c r="AU533" s="48">
        <f t="shared" ca="1" si="143"/>
        <v>0</v>
      </c>
      <c r="AV533" s="48">
        <f t="shared" ca="1" si="143"/>
        <v>0</v>
      </c>
      <c r="AW533" s="48">
        <f t="shared" ca="1" si="143"/>
        <v>0</v>
      </c>
      <c r="AX533" s="48">
        <f t="shared" ca="1" si="143"/>
        <v>0</v>
      </c>
    </row>
    <row r="534" spans="1:50" s="485" customFormat="1" ht="15" customHeight="1" x14ac:dyDescent="0.25">
      <c r="A534" s="502"/>
      <c r="B534" s="684"/>
      <c r="C534" s="645"/>
      <c r="D534" s="482"/>
      <c r="E534" s="511" t="str">
        <f xml:space="preserve"> Translate!E$301</f>
        <v>PSC: Profit oil</v>
      </c>
      <c r="F534" s="504"/>
      <c r="G534" s="511" t="str">
        <f xml:space="preserve"> Translate!E$603</f>
        <v>US$ mn</v>
      </c>
      <c r="H534" s="511"/>
      <c r="I534" s="482">
        <f ca="1" xml:space="preserve"> SUM(K534:AX534)</f>
        <v>0</v>
      </c>
      <c r="J534" s="482"/>
      <c r="K534" s="482">
        <f t="shared" ref="K534:AX534" ca="1" si="144" xml:space="preserve"> (K532 - K533) * $F531</f>
        <v>0</v>
      </c>
      <c r="L534" s="482">
        <f t="shared" ca="1" si="144"/>
        <v>0</v>
      </c>
      <c r="M534" s="482">
        <f t="shared" ca="1" si="144"/>
        <v>0</v>
      </c>
      <c r="N534" s="482">
        <f t="shared" ca="1" si="144"/>
        <v>0</v>
      </c>
      <c r="O534" s="482">
        <f t="shared" ca="1" si="144"/>
        <v>0</v>
      </c>
      <c r="P534" s="482">
        <f t="shared" ca="1" si="144"/>
        <v>0</v>
      </c>
      <c r="Q534" s="482">
        <f t="shared" ca="1" si="144"/>
        <v>0</v>
      </c>
      <c r="R534" s="482">
        <f t="shared" ca="1" si="144"/>
        <v>0</v>
      </c>
      <c r="S534" s="482">
        <f t="shared" ca="1" si="144"/>
        <v>0</v>
      </c>
      <c r="T534" s="482">
        <f t="shared" ca="1" si="144"/>
        <v>0</v>
      </c>
      <c r="U534" s="482">
        <f t="shared" ca="1" si="144"/>
        <v>0</v>
      </c>
      <c r="V534" s="482">
        <f t="shared" ca="1" si="144"/>
        <v>0</v>
      </c>
      <c r="W534" s="482">
        <f t="shared" ca="1" si="144"/>
        <v>0</v>
      </c>
      <c r="X534" s="482">
        <f t="shared" ca="1" si="144"/>
        <v>0</v>
      </c>
      <c r="Y534" s="482">
        <f t="shared" ca="1" si="144"/>
        <v>0</v>
      </c>
      <c r="Z534" s="482">
        <f t="shared" ca="1" si="144"/>
        <v>0</v>
      </c>
      <c r="AA534" s="482">
        <f t="shared" ca="1" si="144"/>
        <v>0</v>
      </c>
      <c r="AB534" s="482">
        <f t="shared" ca="1" si="144"/>
        <v>0</v>
      </c>
      <c r="AC534" s="482">
        <f t="shared" ca="1" si="144"/>
        <v>0</v>
      </c>
      <c r="AD534" s="482">
        <f t="shared" ca="1" si="144"/>
        <v>0</v>
      </c>
      <c r="AE534" s="482">
        <f t="shared" ca="1" si="144"/>
        <v>0</v>
      </c>
      <c r="AF534" s="482">
        <f t="shared" ca="1" si="144"/>
        <v>0</v>
      </c>
      <c r="AG534" s="482">
        <f t="shared" ca="1" si="144"/>
        <v>0</v>
      </c>
      <c r="AH534" s="482">
        <f t="shared" ca="1" si="144"/>
        <v>0</v>
      </c>
      <c r="AI534" s="482">
        <f t="shared" ca="1" si="144"/>
        <v>0</v>
      </c>
      <c r="AJ534" s="482">
        <f t="shared" ca="1" si="144"/>
        <v>0</v>
      </c>
      <c r="AK534" s="482">
        <f t="shared" ca="1" si="144"/>
        <v>0</v>
      </c>
      <c r="AL534" s="482">
        <f t="shared" ca="1" si="144"/>
        <v>0</v>
      </c>
      <c r="AM534" s="482">
        <f t="shared" ca="1" si="144"/>
        <v>0</v>
      </c>
      <c r="AN534" s="482">
        <f t="shared" ca="1" si="144"/>
        <v>0</v>
      </c>
      <c r="AO534" s="482">
        <f t="shared" ca="1" si="144"/>
        <v>0</v>
      </c>
      <c r="AP534" s="482">
        <f t="shared" ca="1" si="144"/>
        <v>0</v>
      </c>
      <c r="AQ534" s="482">
        <f t="shared" ca="1" si="144"/>
        <v>0</v>
      </c>
      <c r="AR534" s="482">
        <f t="shared" ca="1" si="144"/>
        <v>0</v>
      </c>
      <c r="AS534" s="482">
        <f t="shared" ca="1" si="144"/>
        <v>0</v>
      </c>
      <c r="AT534" s="482">
        <f t="shared" ca="1" si="144"/>
        <v>0</v>
      </c>
      <c r="AU534" s="482">
        <f t="shared" ca="1" si="144"/>
        <v>0</v>
      </c>
      <c r="AV534" s="482">
        <f t="shared" ca="1" si="144"/>
        <v>0</v>
      </c>
      <c r="AW534" s="482">
        <f t="shared" ca="1" si="144"/>
        <v>0</v>
      </c>
      <c r="AX534" s="482">
        <f t="shared" ca="1" si="144"/>
        <v>0</v>
      </c>
    </row>
    <row r="535" spans="1:50" ht="15" customHeight="1" x14ac:dyDescent="0.25">
      <c r="A535" s="241"/>
      <c r="B535" s="235"/>
      <c r="C535" s="615"/>
      <c r="D535" s="64"/>
      <c r="E535" s="190"/>
      <c r="F535" s="147"/>
      <c r="G535" s="190"/>
      <c r="H535" s="190"/>
      <c r="I535" s="55"/>
      <c r="J535" s="48"/>
      <c r="K535" s="55"/>
      <c r="L535" s="55"/>
      <c r="M535" s="55"/>
      <c r="N535" s="55"/>
      <c r="O535" s="55"/>
      <c r="P535" s="55"/>
      <c r="Q535" s="55"/>
      <c r="R535" s="55"/>
      <c r="S535" s="55"/>
      <c r="T535" s="55"/>
      <c r="U535" s="55"/>
      <c r="V535" s="55"/>
      <c r="W535" s="55"/>
      <c r="X535" s="55"/>
      <c r="Y535" s="55"/>
      <c r="Z535" s="55"/>
      <c r="AA535" s="55"/>
      <c r="AB535" s="55"/>
      <c r="AC535" s="55"/>
      <c r="AD535" s="55"/>
      <c r="AE535" s="55"/>
      <c r="AF535" s="55"/>
      <c r="AG535" s="55"/>
      <c r="AH535" s="55"/>
      <c r="AI535" s="55"/>
      <c r="AJ535" s="55"/>
      <c r="AK535" s="55"/>
      <c r="AL535" s="55"/>
      <c r="AM535" s="55"/>
      <c r="AN535" s="55"/>
      <c r="AO535" s="55"/>
      <c r="AP535" s="55"/>
      <c r="AQ535" s="55"/>
      <c r="AR535" s="55"/>
      <c r="AS535" s="55"/>
      <c r="AT535" s="55"/>
      <c r="AU535" s="55"/>
      <c r="AV535" s="55"/>
      <c r="AW535" s="55"/>
      <c r="AX535" s="55"/>
    </row>
    <row r="536" spans="1:50" ht="15" customHeight="1" x14ac:dyDescent="0.25">
      <c r="A536" s="86"/>
      <c r="B536" s="235" t="str">
        <f>Translate!$E$435</f>
        <v>Attribute cost oil to SOC and IOC</v>
      </c>
      <c r="C536" s="604"/>
      <c r="D536" s="162"/>
      <c r="E536" s="90"/>
      <c r="F536" s="162"/>
      <c r="G536" s="90"/>
      <c r="H536" s="420" t="str">
        <f>Translate!E518</f>
        <v>reflects assumption of aggregated cost recovery; in practice explore + development costs maybe recovered first by IOC</v>
      </c>
      <c r="I536" s="89"/>
      <c r="J536" s="89"/>
      <c r="L536" s="201"/>
      <c r="M536" s="201"/>
      <c r="N536" s="201"/>
      <c r="O536" s="201"/>
      <c r="P536" s="201"/>
      <c r="Q536" s="201"/>
      <c r="R536" s="201"/>
      <c r="S536" s="201"/>
      <c r="T536" s="201"/>
      <c r="U536" s="201"/>
      <c r="V536" s="201"/>
      <c r="W536" s="201"/>
      <c r="X536" s="201"/>
      <c r="Y536" s="201"/>
      <c r="Z536" s="201"/>
      <c r="AA536" s="201"/>
      <c r="AB536" s="201"/>
      <c r="AC536" s="201"/>
      <c r="AD536" s="201"/>
      <c r="AE536" s="201"/>
      <c r="AF536" s="201"/>
      <c r="AG536" s="201"/>
      <c r="AH536" s="201"/>
      <c r="AI536" s="201"/>
      <c r="AJ536" s="201"/>
      <c r="AK536" s="201"/>
      <c r="AL536" s="201"/>
      <c r="AM536" s="201"/>
      <c r="AN536" s="201"/>
      <c r="AO536" s="201"/>
      <c r="AP536" s="201"/>
      <c r="AQ536" s="201"/>
      <c r="AR536" s="201"/>
      <c r="AS536" s="201"/>
      <c r="AT536" s="201"/>
      <c r="AU536" s="201"/>
      <c r="AV536" s="201"/>
      <c r="AW536" s="201"/>
      <c r="AX536" s="201"/>
    </row>
    <row r="537" spans="1:50" ht="15" customHeight="1" x14ac:dyDescent="0.25">
      <c r="A537" s="86"/>
      <c r="B537" s="235"/>
      <c r="C537" s="604"/>
      <c r="D537" s="162"/>
      <c r="E537" s="89" t="str">
        <f t="shared" ref="E537:AX537" si="145" xml:space="preserve"> E$521</f>
        <v>PSC: Costs recovered (cost oil)</v>
      </c>
      <c r="F537" s="162">
        <f t="shared" si="145"/>
        <v>0</v>
      </c>
      <c r="G537" s="89" t="str">
        <f t="shared" si="145"/>
        <v>US$ mn</v>
      </c>
      <c r="H537" s="89">
        <f t="shared" si="145"/>
        <v>0</v>
      </c>
      <c r="I537" s="89">
        <f t="shared" ca="1" si="145"/>
        <v>0</v>
      </c>
      <c r="J537" s="89">
        <f t="shared" si="145"/>
        <v>0</v>
      </c>
      <c r="K537" s="89">
        <f t="shared" ca="1" si="145"/>
        <v>0</v>
      </c>
      <c r="L537" s="89">
        <f t="shared" ca="1" si="145"/>
        <v>0</v>
      </c>
      <c r="M537" s="89">
        <f t="shared" ca="1" si="145"/>
        <v>0</v>
      </c>
      <c r="N537" s="89">
        <f t="shared" ca="1" si="145"/>
        <v>0</v>
      </c>
      <c r="O537" s="89">
        <f t="shared" ca="1" si="145"/>
        <v>0</v>
      </c>
      <c r="P537" s="89">
        <f t="shared" ca="1" si="145"/>
        <v>0</v>
      </c>
      <c r="Q537" s="89">
        <f t="shared" ca="1" si="145"/>
        <v>0</v>
      </c>
      <c r="R537" s="89">
        <f t="shared" ca="1" si="145"/>
        <v>0</v>
      </c>
      <c r="S537" s="89">
        <f t="shared" ca="1" si="145"/>
        <v>0</v>
      </c>
      <c r="T537" s="89">
        <f t="shared" ca="1" si="145"/>
        <v>0</v>
      </c>
      <c r="U537" s="89">
        <f t="shared" ca="1" si="145"/>
        <v>0</v>
      </c>
      <c r="V537" s="89">
        <f t="shared" ca="1" si="145"/>
        <v>0</v>
      </c>
      <c r="W537" s="89">
        <f t="shared" ca="1" si="145"/>
        <v>0</v>
      </c>
      <c r="X537" s="89">
        <f t="shared" ca="1" si="145"/>
        <v>0</v>
      </c>
      <c r="Y537" s="89">
        <f t="shared" ca="1" si="145"/>
        <v>0</v>
      </c>
      <c r="Z537" s="89">
        <f t="shared" ca="1" si="145"/>
        <v>0</v>
      </c>
      <c r="AA537" s="89">
        <f t="shared" ca="1" si="145"/>
        <v>0</v>
      </c>
      <c r="AB537" s="89">
        <f t="shared" ca="1" si="145"/>
        <v>0</v>
      </c>
      <c r="AC537" s="89">
        <f t="shared" ca="1" si="145"/>
        <v>0</v>
      </c>
      <c r="AD537" s="89">
        <f t="shared" ca="1" si="145"/>
        <v>0</v>
      </c>
      <c r="AE537" s="89">
        <f t="shared" ca="1" si="145"/>
        <v>0</v>
      </c>
      <c r="AF537" s="89">
        <f t="shared" ca="1" si="145"/>
        <v>0</v>
      </c>
      <c r="AG537" s="89">
        <f t="shared" ca="1" si="145"/>
        <v>0</v>
      </c>
      <c r="AH537" s="89">
        <f t="shared" ca="1" si="145"/>
        <v>0</v>
      </c>
      <c r="AI537" s="89">
        <f t="shared" ca="1" si="145"/>
        <v>0</v>
      </c>
      <c r="AJ537" s="89">
        <f t="shared" ca="1" si="145"/>
        <v>0</v>
      </c>
      <c r="AK537" s="89">
        <f t="shared" ca="1" si="145"/>
        <v>0</v>
      </c>
      <c r="AL537" s="89">
        <f t="shared" ca="1" si="145"/>
        <v>0</v>
      </c>
      <c r="AM537" s="89">
        <f t="shared" ca="1" si="145"/>
        <v>0</v>
      </c>
      <c r="AN537" s="89">
        <f t="shared" ca="1" si="145"/>
        <v>0</v>
      </c>
      <c r="AO537" s="89">
        <f t="shared" ca="1" si="145"/>
        <v>0</v>
      </c>
      <c r="AP537" s="89">
        <f t="shared" ca="1" si="145"/>
        <v>0</v>
      </c>
      <c r="AQ537" s="89">
        <f t="shared" ca="1" si="145"/>
        <v>0</v>
      </c>
      <c r="AR537" s="89">
        <f t="shared" ca="1" si="145"/>
        <v>0</v>
      </c>
      <c r="AS537" s="89">
        <f t="shared" ca="1" si="145"/>
        <v>0</v>
      </c>
      <c r="AT537" s="89">
        <f t="shared" ca="1" si="145"/>
        <v>0</v>
      </c>
      <c r="AU537" s="89">
        <f t="shared" ca="1" si="145"/>
        <v>0</v>
      </c>
      <c r="AV537" s="89">
        <f t="shared" ca="1" si="145"/>
        <v>0</v>
      </c>
      <c r="AW537" s="89">
        <f t="shared" ca="1" si="145"/>
        <v>0</v>
      </c>
      <c r="AX537" s="89">
        <f t="shared" ca="1" si="145"/>
        <v>0</v>
      </c>
    </row>
    <row r="538" spans="1:50" ht="15" customHeight="1" x14ac:dyDescent="0.25">
      <c r="A538" s="86"/>
      <c r="B538" s="235"/>
      <c r="C538" s="604"/>
      <c r="D538" s="162"/>
      <c r="E538" s="532" t="str">
        <f xml:space="preserve"> E$77</f>
        <v>State participation</v>
      </c>
      <c r="F538" s="564">
        <f xml:space="preserve"> F$77</f>
        <v>0.2</v>
      </c>
      <c r="G538" s="532" t="str">
        <f xml:space="preserve"> G$77</f>
        <v>%</v>
      </c>
      <c r="H538" s="89"/>
      <c r="I538" s="89"/>
      <c r="J538" s="89"/>
      <c r="K538" s="89"/>
      <c r="L538" s="89"/>
      <c r="M538" s="89"/>
      <c r="N538" s="89"/>
      <c r="O538" s="89"/>
      <c r="P538" s="89"/>
      <c r="Q538" s="89"/>
      <c r="R538" s="89"/>
      <c r="S538" s="89"/>
      <c r="T538" s="89"/>
      <c r="U538" s="89"/>
      <c r="V538" s="89"/>
      <c r="W538" s="89"/>
      <c r="X538" s="89"/>
      <c r="Y538" s="89"/>
      <c r="Z538" s="89"/>
      <c r="AA538" s="89"/>
      <c r="AB538" s="89"/>
      <c r="AC538" s="89"/>
      <c r="AD538" s="89"/>
      <c r="AE538" s="89"/>
      <c r="AF538" s="89"/>
      <c r="AG538" s="89"/>
      <c r="AH538" s="89"/>
      <c r="AI538" s="89"/>
      <c r="AJ538" s="89"/>
      <c r="AK538" s="89"/>
      <c r="AL538" s="89"/>
      <c r="AM538" s="89"/>
      <c r="AN538" s="89"/>
      <c r="AO538" s="89"/>
      <c r="AP538" s="89"/>
      <c r="AQ538" s="89"/>
      <c r="AR538" s="89"/>
      <c r="AS538" s="89"/>
      <c r="AT538" s="89"/>
      <c r="AU538" s="89"/>
      <c r="AV538" s="89"/>
      <c r="AW538" s="89"/>
      <c r="AX538" s="89"/>
    </row>
    <row r="539" spans="1:50" ht="15" customHeight="1" x14ac:dyDescent="0.25">
      <c r="A539" s="86"/>
      <c r="B539" s="235"/>
      <c r="C539" s="604"/>
      <c r="D539" s="162"/>
      <c r="E539" s="532" t="str">
        <f xml:space="preserve"> E$78</f>
        <v>SOC in PSC shares profit oil only</v>
      </c>
      <c r="F539" s="404">
        <f xml:space="preserve"> F$78</f>
        <v>0</v>
      </c>
      <c r="G539" s="532" t="str">
        <f xml:space="preserve"> G$78</f>
        <v>Option</v>
      </c>
      <c r="H539" s="89"/>
      <c r="I539" s="89"/>
      <c r="J539" s="89"/>
      <c r="K539" s="89"/>
      <c r="L539" s="89"/>
      <c r="M539" s="89"/>
      <c r="N539" s="89"/>
      <c r="O539" s="89"/>
      <c r="P539" s="89"/>
      <c r="Q539" s="89"/>
      <c r="R539" s="89"/>
      <c r="S539" s="89"/>
      <c r="T539" s="89"/>
      <c r="U539" s="89"/>
      <c r="V539" s="89"/>
      <c r="W539" s="89"/>
      <c r="X539" s="89"/>
      <c r="Y539" s="89"/>
      <c r="Z539" s="89"/>
      <c r="AA539" s="89"/>
      <c r="AB539" s="89"/>
      <c r="AC539" s="89"/>
      <c r="AD539" s="89"/>
      <c r="AE539" s="89"/>
      <c r="AF539" s="89"/>
      <c r="AG539" s="89"/>
      <c r="AH539" s="89"/>
      <c r="AI539" s="89"/>
      <c r="AJ539" s="89"/>
      <c r="AK539" s="89"/>
      <c r="AL539" s="89"/>
      <c r="AM539" s="89"/>
      <c r="AN539" s="89"/>
      <c r="AO539" s="89"/>
      <c r="AP539" s="89"/>
      <c r="AQ539" s="89"/>
      <c r="AR539" s="89"/>
      <c r="AS539" s="89"/>
      <c r="AT539" s="89"/>
      <c r="AU539" s="89"/>
      <c r="AV539" s="89"/>
      <c r="AW539" s="89"/>
      <c r="AX539" s="89"/>
    </row>
    <row r="540" spans="1:50" ht="15" customHeight="1" x14ac:dyDescent="0.25">
      <c r="A540" s="86"/>
      <c r="B540" s="235"/>
      <c r="C540" s="604"/>
      <c r="D540" s="162"/>
      <c r="E540" s="222" t="str">
        <f xml:space="preserve"> Inputs!E$87</f>
        <v>Label: yes</v>
      </c>
      <c r="F540" s="533" t="str">
        <f xml:space="preserve"> Inputs!F$87</f>
        <v>yes</v>
      </c>
      <c r="G540" s="222" t="str">
        <f xml:space="preserve"> Inputs!G$87</f>
        <v>Label</v>
      </c>
      <c r="H540" s="89"/>
      <c r="I540" s="89"/>
      <c r="J540" s="89"/>
      <c r="K540" s="89"/>
      <c r="L540" s="89"/>
      <c r="M540" s="89"/>
      <c r="N540" s="89"/>
      <c r="O540" s="89"/>
      <c r="P540" s="89"/>
      <c r="Q540" s="89"/>
      <c r="R540" s="89"/>
      <c r="S540" s="89"/>
      <c r="T540" s="89"/>
      <c r="U540" s="89"/>
      <c r="V540" s="89"/>
      <c r="W540" s="89"/>
      <c r="X540" s="89"/>
      <c r="Y540" s="89"/>
      <c r="Z540" s="89"/>
      <c r="AA540" s="89"/>
      <c r="AB540" s="89"/>
      <c r="AC540" s="89"/>
      <c r="AD540" s="89"/>
      <c r="AE540" s="89"/>
      <c r="AF540" s="89"/>
      <c r="AG540" s="89"/>
      <c r="AH540" s="89"/>
      <c r="AI540" s="89"/>
      <c r="AJ540" s="89"/>
      <c r="AK540" s="89"/>
      <c r="AL540" s="89"/>
      <c r="AM540" s="89"/>
      <c r="AN540" s="89"/>
      <c r="AO540" s="89"/>
      <c r="AP540" s="89"/>
      <c r="AQ540" s="89"/>
      <c r="AR540" s="89"/>
      <c r="AS540" s="89"/>
      <c r="AT540" s="89"/>
      <c r="AU540" s="89"/>
      <c r="AV540" s="89"/>
      <c r="AW540" s="89"/>
      <c r="AX540" s="89"/>
    </row>
    <row r="541" spans="1:50" ht="15" customHeight="1" x14ac:dyDescent="0.25">
      <c r="B541" s="675"/>
      <c r="C541" s="615"/>
      <c r="D541" s="48"/>
      <c r="E541" s="222" t="str">
        <f>Inputs!E$88</f>
        <v>Label: no</v>
      </c>
      <c r="F541" s="533" t="str">
        <f>Inputs!F$88</f>
        <v>no</v>
      </c>
      <c r="G541" s="222" t="str">
        <f>Inputs!G$88</f>
        <v>Label</v>
      </c>
      <c r="H541" s="48"/>
      <c r="I541" s="48"/>
    </row>
    <row r="542" spans="1:50" ht="15" customHeight="1" x14ac:dyDescent="0.25">
      <c r="A542" s="86"/>
      <c r="B542" s="235"/>
      <c r="C542" s="604"/>
      <c r="D542" s="162"/>
      <c r="E542" s="532"/>
      <c r="F542" s="564"/>
      <c r="G542" s="532"/>
      <c r="H542" s="89"/>
      <c r="I542" s="89"/>
      <c r="J542" s="89"/>
      <c r="K542" s="89"/>
      <c r="L542" s="89"/>
      <c r="M542" s="89"/>
      <c r="N542" s="89"/>
      <c r="O542" s="89"/>
      <c r="P542" s="89"/>
      <c r="Q542" s="89"/>
      <c r="R542" s="89"/>
      <c r="S542" s="89"/>
      <c r="T542" s="89"/>
      <c r="U542" s="89"/>
      <c r="V542" s="89"/>
      <c r="W542" s="89"/>
      <c r="X542" s="89"/>
      <c r="Y542" s="89"/>
      <c r="Z542" s="89"/>
      <c r="AA542" s="89"/>
      <c r="AB542" s="89"/>
      <c r="AC542" s="89"/>
      <c r="AD542" s="89"/>
      <c r="AE542" s="89"/>
      <c r="AF542" s="89"/>
      <c r="AG542" s="89"/>
      <c r="AH542" s="89"/>
      <c r="AI542" s="89"/>
      <c r="AJ542" s="89"/>
      <c r="AK542" s="89"/>
      <c r="AL542" s="89"/>
      <c r="AM542" s="89"/>
      <c r="AN542" s="89"/>
      <c r="AO542" s="89"/>
      <c r="AP542" s="89"/>
      <c r="AQ542" s="89"/>
      <c r="AR542" s="89"/>
      <c r="AS542" s="89"/>
      <c r="AT542" s="89"/>
      <c r="AU542" s="89"/>
      <c r="AV542" s="89"/>
      <c r="AW542" s="89"/>
      <c r="AX542" s="89"/>
    </row>
    <row r="543" spans="1:50" ht="15" customHeight="1" x14ac:dyDescent="0.25">
      <c r="A543" s="86"/>
      <c r="B543" s="235"/>
      <c r="C543" s="604"/>
      <c r="D543" s="217"/>
      <c r="E543" s="13" t="str">
        <f xml:space="preserve"> Translate!E$302</f>
        <v>PSC: Cost oil to SOC</v>
      </c>
      <c r="F543" s="577"/>
      <c r="G543" s="13" t="str">
        <f xml:space="preserve"> Translate!E$603</f>
        <v>US$ mn</v>
      </c>
      <c r="H543" s="13"/>
      <c r="I543" s="217">
        <f ca="1" xml:space="preserve"> SUM(K543:AX543)</f>
        <v>0</v>
      </c>
      <c r="J543" s="89"/>
      <c r="K543" s="162">
        <f ca="1" xml:space="preserve"> K537 * $F538 * ($F539 &lt;&gt; $F540)</f>
        <v>0</v>
      </c>
      <c r="L543" s="162">
        <f t="shared" ref="L543:AX543" ca="1" si="146" xml:space="preserve"> L537 * $F538 * ($F539 &lt;&gt; $F540)</f>
        <v>0</v>
      </c>
      <c r="M543" s="162">
        <f t="shared" ca="1" si="146"/>
        <v>0</v>
      </c>
      <c r="N543" s="162">
        <f t="shared" ca="1" si="146"/>
        <v>0</v>
      </c>
      <c r="O543" s="162">
        <f t="shared" ca="1" si="146"/>
        <v>0</v>
      </c>
      <c r="P543" s="162">
        <f t="shared" ca="1" si="146"/>
        <v>0</v>
      </c>
      <c r="Q543" s="162">
        <f t="shared" ca="1" si="146"/>
        <v>0</v>
      </c>
      <c r="R543" s="162">
        <f t="shared" ca="1" si="146"/>
        <v>0</v>
      </c>
      <c r="S543" s="162">
        <f t="shared" ca="1" si="146"/>
        <v>0</v>
      </c>
      <c r="T543" s="162">
        <f t="shared" ca="1" si="146"/>
        <v>0</v>
      </c>
      <c r="U543" s="162">
        <f t="shared" ca="1" si="146"/>
        <v>0</v>
      </c>
      <c r="V543" s="162">
        <f t="shared" ca="1" si="146"/>
        <v>0</v>
      </c>
      <c r="W543" s="162">
        <f t="shared" ca="1" si="146"/>
        <v>0</v>
      </c>
      <c r="X543" s="162">
        <f t="shared" ca="1" si="146"/>
        <v>0</v>
      </c>
      <c r="Y543" s="162">
        <f t="shared" ca="1" si="146"/>
        <v>0</v>
      </c>
      <c r="Z543" s="162">
        <f t="shared" ca="1" si="146"/>
        <v>0</v>
      </c>
      <c r="AA543" s="162">
        <f t="shared" ca="1" si="146"/>
        <v>0</v>
      </c>
      <c r="AB543" s="162">
        <f t="shared" ca="1" si="146"/>
        <v>0</v>
      </c>
      <c r="AC543" s="162">
        <f t="shared" ca="1" si="146"/>
        <v>0</v>
      </c>
      <c r="AD543" s="162">
        <f t="shared" ca="1" si="146"/>
        <v>0</v>
      </c>
      <c r="AE543" s="162">
        <f t="shared" ca="1" si="146"/>
        <v>0</v>
      </c>
      <c r="AF543" s="162">
        <f t="shared" ca="1" si="146"/>
        <v>0</v>
      </c>
      <c r="AG543" s="162">
        <f t="shared" ca="1" si="146"/>
        <v>0</v>
      </c>
      <c r="AH543" s="162">
        <f t="shared" ca="1" si="146"/>
        <v>0</v>
      </c>
      <c r="AI543" s="162">
        <f t="shared" ca="1" si="146"/>
        <v>0</v>
      </c>
      <c r="AJ543" s="162">
        <f t="shared" ca="1" si="146"/>
        <v>0</v>
      </c>
      <c r="AK543" s="162">
        <f t="shared" ca="1" si="146"/>
        <v>0</v>
      </c>
      <c r="AL543" s="162">
        <f t="shared" ca="1" si="146"/>
        <v>0</v>
      </c>
      <c r="AM543" s="162">
        <f t="shared" ca="1" si="146"/>
        <v>0</v>
      </c>
      <c r="AN543" s="162">
        <f t="shared" ca="1" si="146"/>
        <v>0</v>
      </c>
      <c r="AO543" s="162">
        <f t="shared" ca="1" si="146"/>
        <v>0</v>
      </c>
      <c r="AP543" s="162">
        <f t="shared" ca="1" si="146"/>
        <v>0</v>
      </c>
      <c r="AQ543" s="162">
        <f t="shared" ca="1" si="146"/>
        <v>0</v>
      </c>
      <c r="AR543" s="162">
        <f t="shared" ca="1" si="146"/>
        <v>0</v>
      </c>
      <c r="AS543" s="162">
        <f t="shared" ca="1" si="146"/>
        <v>0</v>
      </c>
      <c r="AT543" s="162">
        <f t="shared" ca="1" si="146"/>
        <v>0</v>
      </c>
      <c r="AU543" s="162">
        <f t="shared" ca="1" si="146"/>
        <v>0</v>
      </c>
      <c r="AV543" s="162">
        <f t="shared" ca="1" si="146"/>
        <v>0</v>
      </c>
      <c r="AW543" s="162">
        <f t="shared" ca="1" si="146"/>
        <v>0</v>
      </c>
      <c r="AX543" s="162">
        <f t="shared" ca="1" si="146"/>
        <v>0</v>
      </c>
    </row>
    <row r="544" spans="1:50" ht="15" customHeight="1" x14ac:dyDescent="0.25">
      <c r="A544" s="86"/>
      <c r="B544" s="235"/>
      <c r="C544" s="604"/>
      <c r="D544" s="217"/>
      <c r="E544" s="13" t="str">
        <f xml:space="preserve"> Translate!E$303</f>
        <v>PSC: Cost oil to IOC</v>
      </c>
      <c r="F544" s="577"/>
      <c r="G544" s="13" t="str">
        <f xml:space="preserve"> Translate!E$603</f>
        <v>US$ mn</v>
      </c>
      <c r="H544" s="13"/>
      <c r="I544" s="217">
        <f ca="1" xml:space="preserve"> SUM(K544:AX544)</f>
        <v>0</v>
      </c>
      <c r="J544" s="89"/>
      <c r="K544" s="162">
        <f t="shared" ref="K544:AX544" ca="1" si="147" xml:space="preserve"> K537 - K543</f>
        <v>0</v>
      </c>
      <c r="L544" s="162">
        <f t="shared" ca="1" si="147"/>
        <v>0</v>
      </c>
      <c r="M544" s="162">
        <f t="shared" ca="1" si="147"/>
        <v>0</v>
      </c>
      <c r="N544" s="162">
        <f t="shared" ca="1" si="147"/>
        <v>0</v>
      </c>
      <c r="O544" s="162">
        <f t="shared" ca="1" si="147"/>
        <v>0</v>
      </c>
      <c r="P544" s="162">
        <f t="shared" ca="1" si="147"/>
        <v>0</v>
      </c>
      <c r="Q544" s="162">
        <f t="shared" ca="1" si="147"/>
        <v>0</v>
      </c>
      <c r="R544" s="162">
        <f t="shared" ca="1" si="147"/>
        <v>0</v>
      </c>
      <c r="S544" s="162">
        <f t="shared" ca="1" si="147"/>
        <v>0</v>
      </c>
      <c r="T544" s="162">
        <f t="shared" ca="1" si="147"/>
        <v>0</v>
      </c>
      <c r="U544" s="162">
        <f t="shared" ca="1" si="147"/>
        <v>0</v>
      </c>
      <c r="V544" s="162">
        <f t="shared" ca="1" si="147"/>
        <v>0</v>
      </c>
      <c r="W544" s="162">
        <f t="shared" ca="1" si="147"/>
        <v>0</v>
      </c>
      <c r="X544" s="162">
        <f t="shared" ca="1" si="147"/>
        <v>0</v>
      </c>
      <c r="Y544" s="162">
        <f t="shared" ca="1" si="147"/>
        <v>0</v>
      </c>
      <c r="Z544" s="162">
        <f t="shared" ca="1" si="147"/>
        <v>0</v>
      </c>
      <c r="AA544" s="162">
        <f t="shared" ca="1" si="147"/>
        <v>0</v>
      </c>
      <c r="AB544" s="162">
        <f t="shared" ca="1" si="147"/>
        <v>0</v>
      </c>
      <c r="AC544" s="162">
        <f t="shared" ca="1" si="147"/>
        <v>0</v>
      </c>
      <c r="AD544" s="162">
        <f t="shared" ca="1" si="147"/>
        <v>0</v>
      </c>
      <c r="AE544" s="162">
        <f t="shared" ca="1" si="147"/>
        <v>0</v>
      </c>
      <c r="AF544" s="162">
        <f t="shared" ca="1" si="147"/>
        <v>0</v>
      </c>
      <c r="AG544" s="162">
        <f t="shared" ca="1" si="147"/>
        <v>0</v>
      </c>
      <c r="AH544" s="162">
        <f t="shared" ca="1" si="147"/>
        <v>0</v>
      </c>
      <c r="AI544" s="162">
        <f t="shared" ca="1" si="147"/>
        <v>0</v>
      </c>
      <c r="AJ544" s="162">
        <f t="shared" ca="1" si="147"/>
        <v>0</v>
      </c>
      <c r="AK544" s="162">
        <f t="shared" ca="1" si="147"/>
        <v>0</v>
      </c>
      <c r="AL544" s="162">
        <f t="shared" ca="1" si="147"/>
        <v>0</v>
      </c>
      <c r="AM544" s="162">
        <f t="shared" ca="1" si="147"/>
        <v>0</v>
      </c>
      <c r="AN544" s="162">
        <f t="shared" ca="1" si="147"/>
        <v>0</v>
      </c>
      <c r="AO544" s="162">
        <f t="shared" ca="1" si="147"/>
        <v>0</v>
      </c>
      <c r="AP544" s="162">
        <f t="shared" ca="1" si="147"/>
        <v>0</v>
      </c>
      <c r="AQ544" s="162">
        <f t="shared" ca="1" si="147"/>
        <v>0</v>
      </c>
      <c r="AR544" s="162">
        <f t="shared" ca="1" si="147"/>
        <v>0</v>
      </c>
      <c r="AS544" s="162">
        <f t="shared" ca="1" si="147"/>
        <v>0</v>
      </c>
      <c r="AT544" s="162">
        <f t="shared" ca="1" si="147"/>
        <v>0</v>
      </c>
      <c r="AU544" s="162">
        <f t="shared" ca="1" si="147"/>
        <v>0</v>
      </c>
      <c r="AV544" s="162">
        <f t="shared" ca="1" si="147"/>
        <v>0</v>
      </c>
      <c r="AW544" s="162">
        <f t="shared" ca="1" si="147"/>
        <v>0</v>
      </c>
      <c r="AX544" s="162">
        <f t="shared" ca="1" si="147"/>
        <v>0</v>
      </c>
    </row>
    <row r="545" spans="1:50" ht="15" customHeight="1" x14ac:dyDescent="0.25">
      <c r="A545" s="86"/>
      <c r="B545" s="235"/>
      <c r="C545" s="604"/>
      <c r="D545" s="162"/>
      <c r="E545" s="90"/>
      <c r="F545" s="162"/>
      <c r="G545" s="90"/>
      <c r="H545" s="90"/>
      <c r="I545" s="90"/>
      <c r="J545" s="90"/>
      <c r="K545" s="89"/>
      <c r="L545" s="89"/>
      <c r="M545" s="89"/>
      <c r="N545" s="89"/>
      <c r="O545" s="89"/>
      <c r="P545" s="89"/>
      <c r="Q545" s="89"/>
      <c r="R545" s="89"/>
      <c r="S545" s="89"/>
      <c r="T545" s="89"/>
      <c r="U545" s="89"/>
      <c r="V545" s="89"/>
      <c r="W545" s="89"/>
      <c r="X545" s="89"/>
      <c r="Y545" s="89"/>
      <c r="Z545" s="89"/>
      <c r="AA545" s="89"/>
      <c r="AB545" s="89"/>
      <c r="AC545" s="89"/>
      <c r="AD545" s="89"/>
      <c r="AE545" s="89"/>
      <c r="AF545" s="89"/>
      <c r="AG545" s="89"/>
      <c r="AH545" s="89"/>
      <c r="AI545" s="89"/>
      <c r="AJ545" s="89"/>
      <c r="AK545" s="89"/>
      <c r="AL545" s="89"/>
      <c r="AM545" s="89"/>
      <c r="AN545" s="89"/>
      <c r="AO545" s="89"/>
      <c r="AP545" s="89"/>
      <c r="AQ545" s="89"/>
      <c r="AR545" s="89"/>
      <c r="AS545" s="89"/>
      <c r="AT545" s="89"/>
      <c r="AU545" s="89"/>
      <c r="AV545" s="89"/>
      <c r="AW545" s="89"/>
      <c r="AX545" s="89"/>
    </row>
    <row r="546" spans="1:50" ht="15" customHeight="1" x14ac:dyDescent="0.25">
      <c r="A546" s="86"/>
      <c r="B546" s="235"/>
      <c r="C546" s="604"/>
      <c r="D546" s="162"/>
      <c r="E546" s="13"/>
      <c r="F546" s="162"/>
      <c r="G546" s="13"/>
      <c r="H546" s="13"/>
      <c r="I546" s="89"/>
      <c r="J546" s="89"/>
      <c r="K546" s="89"/>
      <c r="L546" s="89"/>
      <c r="M546" s="89"/>
      <c r="N546" s="89"/>
      <c r="O546" s="89"/>
      <c r="P546" s="89"/>
      <c r="Q546" s="89"/>
      <c r="R546" s="89"/>
      <c r="S546" s="89"/>
      <c r="T546" s="89"/>
      <c r="U546" s="89"/>
      <c r="V546" s="89"/>
      <c r="W546" s="89"/>
      <c r="X546" s="89"/>
      <c r="Y546" s="89"/>
      <c r="Z546" s="89"/>
      <c r="AA546" s="89"/>
      <c r="AB546" s="89"/>
      <c r="AC546" s="89"/>
      <c r="AD546" s="89"/>
      <c r="AE546" s="89"/>
      <c r="AF546" s="89"/>
      <c r="AG546" s="89"/>
      <c r="AH546" s="89"/>
      <c r="AI546" s="89"/>
      <c r="AJ546" s="89"/>
      <c r="AK546" s="89"/>
      <c r="AL546" s="89"/>
      <c r="AM546" s="89"/>
      <c r="AN546" s="89"/>
      <c r="AO546" s="89"/>
      <c r="AP546" s="89"/>
      <c r="AQ546" s="89"/>
      <c r="AR546" s="89"/>
      <c r="AS546" s="89"/>
      <c r="AT546" s="89"/>
      <c r="AU546" s="89"/>
      <c r="AV546" s="89"/>
      <c r="AW546" s="89"/>
      <c r="AX546" s="89"/>
    </row>
    <row r="547" spans="1:50" ht="15" customHeight="1" x14ac:dyDescent="0.25">
      <c r="A547" s="202" t="str">
        <f>Translate!$E$470</f>
        <v>Production sharing: Daily rate of production profit oil sharing</v>
      </c>
      <c r="B547" s="781"/>
      <c r="C547" s="610"/>
      <c r="D547" s="204"/>
      <c r="E547" s="202"/>
      <c r="F547" s="204"/>
      <c r="G547" s="202"/>
      <c r="H547" s="202"/>
      <c r="I547" s="202"/>
      <c r="J547" s="202"/>
      <c r="K547" s="202"/>
      <c r="L547" s="202"/>
      <c r="M547" s="202"/>
      <c r="N547" s="202"/>
      <c r="O547" s="202"/>
      <c r="P547" s="202"/>
      <c r="Q547" s="202"/>
      <c r="R547" s="202"/>
      <c r="S547" s="202"/>
      <c r="T547" s="202"/>
      <c r="U547" s="202"/>
      <c r="V547" s="202"/>
      <c r="W547" s="202"/>
      <c r="X547" s="202"/>
      <c r="Y547" s="202"/>
      <c r="Z547" s="202"/>
      <c r="AA547" s="202"/>
      <c r="AB547" s="202"/>
      <c r="AC547" s="202"/>
      <c r="AD547" s="202"/>
      <c r="AE547" s="202"/>
      <c r="AF547" s="202"/>
      <c r="AG547" s="202"/>
      <c r="AH547" s="202"/>
      <c r="AI547" s="202"/>
      <c r="AJ547" s="202"/>
      <c r="AK547" s="202"/>
      <c r="AL547" s="202"/>
      <c r="AM547" s="202"/>
      <c r="AN547" s="202"/>
      <c r="AO547" s="202"/>
      <c r="AP547" s="202"/>
      <c r="AQ547" s="202"/>
      <c r="AR547" s="202"/>
      <c r="AS547" s="202"/>
      <c r="AT547" s="202"/>
      <c r="AU547" s="202"/>
      <c r="AV547" s="202"/>
      <c r="AW547" s="202"/>
      <c r="AX547" s="202"/>
    </row>
    <row r="548" spans="1:50" ht="15" customHeight="1" x14ac:dyDescent="0.25">
      <c r="A548" s="86"/>
      <c r="B548" s="677"/>
      <c r="C548" s="604"/>
      <c r="D548" s="162"/>
      <c r="E548" s="13"/>
      <c r="F548" s="151"/>
      <c r="G548" s="13"/>
      <c r="H548" s="13"/>
      <c r="I548" s="89"/>
      <c r="J548" s="56"/>
      <c r="K548" s="56"/>
      <c r="L548" s="56"/>
      <c r="M548" s="56"/>
      <c r="N548" s="56"/>
      <c r="O548" s="56"/>
      <c r="P548" s="56"/>
      <c r="Q548" s="56"/>
      <c r="R548" s="56"/>
      <c r="S548" s="56"/>
      <c r="T548" s="56"/>
      <c r="U548" s="56"/>
      <c r="V548" s="56"/>
      <c r="W548" s="56"/>
      <c r="X548" s="56"/>
      <c r="Y548" s="56"/>
      <c r="Z548" s="56"/>
      <c r="AA548" s="56"/>
      <c r="AB548" s="56"/>
      <c r="AC548" s="56"/>
      <c r="AD548" s="56"/>
      <c r="AE548" s="56"/>
      <c r="AF548" s="56"/>
      <c r="AG548" s="56"/>
      <c r="AH548" s="56"/>
      <c r="AI548" s="56"/>
      <c r="AJ548" s="56"/>
      <c r="AK548" s="56"/>
      <c r="AL548" s="56"/>
      <c r="AM548" s="56"/>
      <c r="AN548" s="56"/>
      <c r="AO548" s="56"/>
      <c r="AP548" s="56"/>
      <c r="AQ548" s="56"/>
      <c r="AR548" s="56"/>
      <c r="AS548" s="56"/>
      <c r="AT548" s="56"/>
      <c r="AU548" s="56"/>
      <c r="AV548" s="56"/>
      <c r="AW548" s="56"/>
      <c r="AX548" s="56"/>
    </row>
    <row r="549" spans="1:50" ht="15" customHeight="1" x14ac:dyDescent="0.25">
      <c r="A549" s="86"/>
      <c r="B549" s="677" t="str">
        <f>Translate!$E$436</f>
        <v>Attribute production to DROP tiers</v>
      </c>
      <c r="C549" s="604"/>
      <c r="D549" s="162"/>
      <c r="E549" s="13"/>
      <c r="F549" s="151"/>
      <c r="G549" s="13"/>
      <c r="H549" s="13"/>
      <c r="I549" s="89"/>
      <c r="J549" s="56"/>
      <c r="K549" s="56"/>
      <c r="L549" s="56"/>
      <c r="M549" s="56"/>
      <c r="N549" s="56"/>
      <c r="O549" s="56"/>
      <c r="P549" s="56"/>
      <c r="Q549" s="56"/>
      <c r="R549" s="56"/>
      <c r="S549" s="56"/>
      <c r="T549" s="56"/>
      <c r="U549" s="56"/>
      <c r="V549" s="56"/>
      <c r="W549" s="56"/>
      <c r="X549" s="56"/>
      <c r="Y549" s="56"/>
      <c r="Z549" s="56"/>
      <c r="AA549" s="56"/>
      <c r="AB549" s="56"/>
      <c r="AC549" s="56"/>
      <c r="AD549" s="56"/>
      <c r="AE549" s="56"/>
      <c r="AF549" s="56"/>
      <c r="AG549" s="56"/>
      <c r="AH549" s="56"/>
      <c r="AI549" s="56"/>
      <c r="AJ549" s="56"/>
      <c r="AK549" s="56"/>
      <c r="AL549" s="56"/>
      <c r="AM549" s="56"/>
      <c r="AN549" s="56"/>
      <c r="AO549" s="56"/>
      <c r="AP549" s="56"/>
      <c r="AQ549" s="56"/>
      <c r="AR549" s="56"/>
      <c r="AS549" s="56"/>
      <c r="AT549" s="56"/>
      <c r="AU549" s="56"/>
      <c r="AV549" s="56"/>
      <c r="AW549" s="56"/>
      <c r="AX549" s="56"/>
    </row>
    <row r="550" spans="1:50" ht="15" customHeight="1" x14ac:dyDescent="0.25">
      <c r="A550" s="86"/>
      <c r="B550" s="235"/>
      <c r="C550" s="604" t="str">
        <f>Translate!$E$495</f>
        <v>DROP parameters</v>
      </c>
      <c r="D550" s="117"/>
      <c r="E550" s="89"/>
      <c r="F550" s="563"/>
      <c r="G550" s="89"/>
      <c r="H550" s="89"/>
      <c r="I550" s="89"/>
      <c r="J550" s="89"/>
      <c r="K550" s="98"/>
      <c r="L550" s="98"/>
      <c r="M550" s="98"/>
      <c r="N550" s="98"/>
      <c r="O550" s="98"/>
      <c r="P550" s="98"/>
      <c r="Q550" s="98"/>
      <c r="R550" s="98"/>
      <c r="S550" s="98"/>
      <c r="T550" s="98"/>
      <c r="U550" s="98"/>
      <c r="V550" s="98"/>
      <c r="W550" s="98"/>
      <c r="X550" s="98"/>
      <c r="Y550" s="98"/>
      <c r="Z550" s="98"/>
      <c r="AA550" s="98"/>
      <c r="AB550" s="98"/>
      <c r="AC550" s="98"/>
      <c r="AD550" s="98"/>
      <c r="AE550" s="98"/>
      <c r="AF550" s="98"/>
      <c r="AG550" s="98"/>
      <c r="AH550" s="98"/>
      <c r="AI550" s="98"/>
      <c r="AJ550" s="98"/>
      <c r="AK550" s="98"/>
      <c r="AL550" s="98"/>
      <c r="AM550" s="98"/>
      <c r="AN550" s="98"/>
      <c r="AO550" s="98"/>
      <c r="AP550" s="98"/>
      <c r="AQ550" s="98"/>
      <c r="AR550" s="98"/>
      <c r="AS550" s="98"/>
      <c r="AT550" s="98"/>
      <c r="AU550" s="98"/>
      <c r="AV550" s="98"/>
      <c r="AW550" s="98"/>
      <c r="AX550" s="98"/>
    </row>
    <row r="551" spans="1:50" ht="15" customHeight="1" x14ac:dyDescent="0.25">
      <c r="A551" s="86"/>
      <c r="B551" s="235"/>
      <c r="C551" s="604"/>
      <c r="D551" s="162"/>
      <c r="E551" s="405" t="str">
        <f xml:space="preserve"> FiscalModel!E$49</f>
        <v>DROP tier 1</v>
      </c>
      <c r="F551" s="408">
        <f xml:space="preserve"> FiscalModel!F$49</f>
        <v>0</v>
      </c>
      <c r="G551" s="405" t="str">
        <f xml:space="preserve"> FiscalModel!G$49</f>
        <v>KBOPD</v>
      </c>
      <c r="H551" s="52"/>
      <c r="I551" s="109"/>
      <c r="J551" s="89"/>
      <c r="K551" s="98"/>
      <c r="L551" s="98"/>
      <c r="M551" s="98"/>
      <c r="N551" s="98"/>
      <c r="O551" s="98"/>
      <c r="P551" s="98"/>
      <c r="Q551" s="98"/>
      <c r="R551" s="98"/>
      <c r="S551" s="98"/>
      <c r="T551" s="98"/>
      <c r="U551" s="98"/>
      <c r="V551" s="98"/>
      <c r="W551" s="98"/>
      <c r="X551" s="98"/>
      <c r="Y551" s="98"/>
      <c r="Z551" s="98"/>
      <c r="AA551" s="98"/>
      <c r="AB551" s="98"/>
      <c r="AC551" s="98"/>
      <c r="AD551" s="98"/>
      <c r="AE551" s="98"/>
      <c r="AF551" s="98"/>
      <c r="AG551" s="98"/>
      <c r="AH551" s="98"/>
      <c r="AI551" s="98"/>
      <c r="AJ551" s="98"/>
      <c r="AK551" s="98"/>
      <c r="AL551" s="98"/>
      <c r="AM551" s="98"/>
      <c r="AN551" s="98"/>
      <c r="AO551" s="98"/>
      <c r="AP551" s="98"/>
      <c r="AQ551" s="98"/>
      <c r="AR551" s="98"/>
      <c r="AS551" s="98"/>
      <c r="AT551" s="98"/>
      <c r="AU551" s="98"/>
      <c r="AV551" s="98"/>
      <c r="AW551" s="98"/>
      <c r="AX551" s="98"/>
    </row>
    <row r="552" spans="1:50" ht="15" customHeight="1" x14ac:dyDescent="0.25">
      <c r="A552" s="86"/>
      <c r="B552" s="235"/>
      <c r="C552" s="604"/>
      <c r="D552" s="162"/>
      <c r="E552" s="405" t="str">
        <f xml:space="preserve"> FiscalModel!E$50</f>
        <v>DROP tier 2</v>
      </c>
      <c r="F552" s="408">
        <f xml:space="preserve"> FiscalModel!F$50</f>
        <v>0</v>
      </c>
      <c r="G552" s="405" t="str">
        <f xml:space="preserve"> FiscalModel!G$50</f>
        <v>KBOPD</v>
      </c>
      <c r="H552" s="52"/>
      <c r="I552" s="109"/>
      <c r="J552" s="89"/>
      <c r="K552" s="98"/>
      <c r="L552" s="98"/>
      <c r="M552" s="98"/>
      <c r="N552" s="98"/>
      <c r="O552" s="98"/>
      <c r="P552" s="98"/>
      <c r="Q552" s="98"/>
      <c r="R552" s="98"/>
      <c r="S552" s="98"/>
      <c r="T552" s="98"/>
      <c r="U552" s="98"/>
      <c r="V552" s="98"/>
      <c r="W552" s="98"/>
      <c r="X552" s="98"/>
      <c r="Y552" s="98"/>
      <c r="Z552" s="98"/>
      <c r="AA552" s="98"/>
      <c r="AB552" s="98"/>
      <c r="AC552" s="98"/>
      <c r="AD552" s="98"/>
      <c r="AE552" s="98"/>
      <c r="AF552" s="98"/>
      <c r="AG552" s="98"/>
      <c r="AH552" s="98"/>
      <c r="AI552" s="98"/>
      <c r="AJ552" s="98"/>
      <c r="AK552" s="98"/>
      <c r="AL552" s="98"/>
      <c r="AM552" s="98"/>
      <c r="AN552" s="98"/>
      <c r="AO552" s="98"/>
      <c r="AP552" s="98"/>
      <c r="AQ552" s="98"/>
      <c r="AR552" s="98"/>
      <c r="AS552" s="98"/>
      <c r="AT552" s="98"/>
      <c r="AU552" s="98"/>
      <c r="AV552" s="98"/>
      <c r="AW552" s="98"/>
      <c r="AX552" s="98"/>
    </row>
    <row r="553" spans="1:50" ht="15" customHeight="1" x14ac:dyDescent="0.25">
      <c r="A553" s="86"/>
      <c r="B553" s="235"/>
      <c r="C553" s="604"/>
      <c r="D553" s="162"/>
      <c r="E553" s="405" t="str">
        <f xml:space="preserve"> FiscalModel!E$51</f>
        <v>DROP tier 3</v>
      </c>
      <c r="F553" s="408">
        <f xml:space="preserve"> FiscalModel!F$51</f>
        <v>0</v>
      </c>
      <c r="G553" s="405" t="str">
        <f xml:space="preserve"> FiscalModel!G$51</f>
        <v>KBOPD</v>
      </c>
      <c r="H553" s="52"/>
      <c r="I553" s="109"/>
      <c r="J553" s="89"/>
      <c r="K553" s="98"/>
      <c r="L553" s="98"/>
      <c r="M553" s="98"/>
      <c r="N553" s="98"/>
      <c r="O553" s="98"/>
      <c r="P553" s="98"/>
      <c r="Q553" s="98"/>
      <c r="R553" s="98"/>
      <c r="S553" s="98"/>
      <c r="T553" s="98"/>
      <c r="U553" s="98"/>
      <c r="V553" s="98"/>
      <c r="W553" s="98"/>
      <c r="X553" s="98"/>
      <c r="Y553" s="98"/>
      <c r="Z553" s="98"/>
      <c r="AA553" s="98"/>
      <c r="AB553" s="98"/>
      <c r="AC553" s="98"/>
      <c r="AD553" s="98"/>
      <c r="AE553" s="98"/>
      <c r="AF553" s="98"/>
      <c r="AG553" s="98"/>
      <c r="AH553" s="98"/>
      <c r="AI553" s="98"/>
      <c r="AJ553" s="98"/>
      <c r="AK553" s="98"/>
      <c r="AL553" s="98"/>
      <c r="AM553" s="98"/>
      <c r="AN553" s="98"/>
      <c r="AO553" s="98"/>
      <c r="AP553" s="98"/>
      <c r="AQ553" s="98"/>
      <c r="AR553" s="98"/>
      <c r="AS553" s="98"/>
      <c r="AT553" s="98"/>
      <c r="AU553" s="98"/>
      <c r="AV553" s="98"/>
      <c r="AW553" s="98"/>
      <c r="AX553" s="98"/>
    </row>
    <row r="554" spans="1:50" ht="15" customHeight="1" x14ac:dyDescent="0.25">
      <c r="A554" s="86"/>
      <c r="B554" s="235"/>
      <c r="C554" s="604"/>
      <c r="D554" s="162"/>
      <c r="E554" s="405" t="str">
        <f xml:space="preserve"> FiscalModel!E$52</f>
        <v>DROP tier 4</v>
      </c>
      <c r="F554" s="408">
        <f xml:space="preserve"> FiscalModel!F$52</f>
        <v>0</v>
      </c>
      <c r="G554" s="405" t="str">
        <f xml:space="preserve"> FiscalModel!G$52</f>
        <v>KBOPD</v>
      </c>
      <c r="H554" s="52"/>
      <c r="I554" s="109"/>
      <c r="J554" s="89"/>
      <c r="K554" s="98"/>
      <c r="L554" s="98"/>
      <c r="M554" s="98"/>
      <c r="N554" s="98"/>
      <c r="O554" s="98"/>
      <c r="P554" s="98"/>
      <c r="Q554" s="98"/>
      <c r="R554" s="98"/>
      <c r="S554" s="98"/>
      <c r="T554" s="98"/>
      <c r="U554" s="98"/>
      <c r="V554" s="98"/>
      <c r="W554" s="98"/>
      <c r="X554" s="98"/>
      <c r="Y554" s="98"/>
      <c r="Z554" s="98"/>
      <c r="AA554" s="98"/>
      <c r="AB554" s="98"/>
      <c r="AC554" s="98"/>
      <c r="AD554" s="98"/>
      <c r="AE554" s="98"/>
      <c r="AF554" s="98"/>
      <c r="AG554" s="98"/>
      <c r="AH554" s="98"/>
      <c r="AI554" s="98"/>
      <c r="AJ554" s="98"/>
      <c r="AK554" s="98"/>
      <c r="AL554" s="98"/>
      <c r="AM554" s="98"/>
      <c r="AN554" s="98"/>
      <c r="AO554" s="98"/>
      <c r="AP554" s="98"/>
      <c r="AQ554" s="98"/>
      <c r="AR554" s="98"/>
      <c r="AS554" s="98"/>
      <c r="AT554" s="98"/>
      <c r="AU554" s="98"/>
      <c r="AV554" s="98"/>
      <c r="AW554" s="98"/>
      <c r="AX554" s="98"/>
    </row>
    <row r="555" spans="1:50" ht="15" customHeight="1" x14ac:dyDescent="0.25">
      <c r="A555" s="85"/>
      <c r="B555" s="235"/>
      <c r="C555" s="628"/>
      <c r="D555" s="213"/>
      <c r="E555" s="73" t="str">
        <f xml:space="preserve"> Translate!E$304</f>
        <v>DROP tier 5</v>
      </c>
      <c r="F555" s="269" t="str">
        <f>"&gt; "&amp;F554</f>
        <v>&gt; 0</v>
      </c>
      <c r="G555" s="73" t="str">
        <f xml:space="preserve"> G551</f>
        <v>KBOPD</v>
      </c>
      <c r="H555" s="73"/>
      <c r="I555" s="211"/>
      <c r="J555" s="85"/>
      <c r="K555" s="12"/>
      <c r="L555" s="12"/>
      <c r="M555" s="12"/>
      <c r="N555" s="12"/>
      <c r="O555" s="12"/>
      <c r="P555" s="12"/>
      <c r="Q555" s="12"/>
      <c r="R555" s="12"/>
      <c r="S555" s="12"/>
      <c r="T555" s="12"/>
      <c r="U555" s="12"/>
      <c r="V555" s="12"/>
      <c r="W555" s="12"/>
      <c r="X555" s="12"/>
      <c r="Y555" s="12"/>
      <c r="Z555" s="12"/>
      <c r="AA555" s="12"/>
      <c r="AB555" s="12"/>
      <c r="AC555" s="12"/>
      <c r="AD555" s="12"/>
      <c r="AE555" s="12"/>
      <c r="AF555" s="12"/>
      <c r="AG555" s="12"/>
      <c r="AH555" s="12"/>
      <c r="AI555" s="12"/>
      <c r="AJ555" s="12"/>
      <c r="AK555" s="12"/>
      <c r="AL555" s="12"/>
      <c r="AM555" s="12"/>
      <c r="AN555" s="12"/>
      <c r="AO555" s="12"/>
      <c r="AP555" s="12"/>
      <c r="AQ555" s="12"/>
      <c r="AR555" s="12"/>
      <c r="AS555" s="12"/>
      <c r="AT555" s="12"/>
      <c r="AU555" s="12"/>
      <c r="AV555" s="12"/>
      <c r="AW555" s="12"/>
      <c r="AX555" s="12"/>
    </row>
    <row r="556" spans="1:50" ht="15" customHeight="1" x14ac:dyDescent="0.25">
      <c r="A556" s="86"/>
      <c r="B556" s="235"/>
      <c r="C556" s="604"/>
      <c r="D556" s="162"/>
      <c r="E556" s="52"/>
      <c r="F556" s="578"/>
      <c r="G556" s="52"/>
      <c r="H556" s="52"/>
      <c r="I556" s="109"/>
      <c r="J556" s="89"/>
      <c r="K556" s="98"/>
      <c r="L556" s="98"/>
      <c r="M556" s="98"/>
      <c r="N556" s="98"/>
      <c r="O556" s="98"/>
      <c r="P556" s="98"/>
      <c r="Q556" s="98"/>
      <c r="R556" s="98"/>
      <c r="S556" s="98"/>
      <c r="T556" s="98"/>
      <c r="U556" s="98"/>
      <c r="V556" s="98"/>
      <c r="W556" s="98"/>
      <c r="X556" s="98"/>
      <c r="Y556" s="98"/>
      <c r="Z556" s="98"/>
      <c r="AA556" s="98"/>
      <c r="AB556" s="98"/>
      <c r="AC556" s="98"/>
      <c r="AD556" s="98"/>
      <c r="AE556" s="98"/>
      <c r="AF556" s="98"/>
      <c r="AG556" s="98"/>
      <c r="AH556" s="98"/>
      <c r="AI556" s="98"/>
      <c r="AJ556" s="98"/>
      <c r="AK556" s="98"/>
      <c r="AL556" s="98"/>
      <c r="AM556" s="98"/>
      <c r="AN556" s="98"/>
      <c r="AO556" s="98"/>
      <c r="AP556" s="98"/>
      <c r="AQ556" s="98"/>
      <c r="AR556" s="98"/>
      <c r="AS556" s="98"/>
      <c r="AT556" s="98"/>
      <c r="AU556" s="98"/>
      <c r="AV556" s="98"/>
      <c r="AW556" s="98"/>
      <c r="AX556" s="98"/>
    </row>
    <row r="557" spans="1:50" s="40" customFormat="1" ht="15" customHeight="1" x14ac:dyDescent="0.25">
      <c r="A557" s="139"/>
      <c r="B557" s="235"/>
      <c r="C557" s="613"/>
      <c r="D557" s="354"/>
      <c r="E557" s="140" t="str">
        <f xml:space="preserve"> ProjectCashflows!E$131</f>
        <v>Oil production RATE after ELT</v>
      </c>
      <c r="F557" s="140">
        <f xml:space="preserve"> ProjectCashflows!F$131</f>
        <v>0</v>
      </c>
      <c r="G557" s="140" t="str">
        <f xml:space="preserve"> ProjectCashflows!G$131</f>
        <v>KBOPD</v>
      </c>
      <c r="H557" s="140">
        <f xml:space="preserve"> ProjectCashflows!H$131</f>
        <v>0</v>
      </c>
      <c r="I557" s="140">
        <f xml:space="preserve"> ProjectCashflows!I$131</f>
        <v>0</v>
      </c>
      <c r="J557" s="140">
        <f xml:space="preserve"> ProjectCashflows!J$131</f>
        <v>0</v>
      </c>
      <c r="K557" s="140">
        <f ca="1" xml:space="preserve"> ProjectCashflows!K$131</f>
        <v>0</v>
      </c>
      <c r="L557" s="140">
        <f ca="1" xml:space="preserve"> ProjectCashflows!L$131</f>
        <v>0</v>
      </c>
      <c r="M557" s="140">
        <f ca="1" xml:space="preserve"> ProjectCashflows!M$131</f>
        <v>0</v>
      </c>
      <c r="N557" s="140">
        <f ca="1" xml:space="preserve"> ProjectCashflows!N$131</f>
        <v>0</v>
      </c>
      <c r="O557" s="140">
        <f ca="1" xml:space="preserve"> ProjectCashflows!O$131</f>
        <v>9.5471162223815913</v>
      </c>
      <c r="P557" s="140">
        <f ca="1" xml:space="preserve"> ProjectCashflows!P$131</f>
        <v>75</v>
      </c>
      <c r="Q557" s="140">
        <f ca="1" xml:space="preserve"> ProjectCashflows!Q$131</f>
        <v>150</v>
      </c>
      <c r="R557" s="140">
        <f ca="1" xml:space="preserve"> ProjectCashflows!R$131</f>
        <v>150</v>
      </c>
      <c r="S557" s="140">
        <f ca="1" xml:space="preserve"> ProjectCashflows!S$131</f>
        <v>150</v>
      </c>
      <c r="T557" s="140">
        <f ca="1" xml:space="preserve"> ProjectCashflows!T$131</f>
        <v>150</v>
      </c>
      <c r="U557" s="140">
        <f ca="1" xml:space="preserve"> ProjectCashflows!U$131</f>
        <v>150</v>
      </c>
      <c r="V557" s="140">
        <f ca="1" xml:space="preserve"> ProjectCashflows!V$131</f>
        <v>150</v>
      </c>
      <c r="W557" s="140">
        <f ca="1" xml:space="preserve"> ProjectCashflows!W$131</f>
        <v>150</v>
      </c>
      <c r="X557" s="140">
        <f ca="1" xml:space="preserve"> ProjectCashflows!X$131</f>
        <v>150</v>
      </c>
      <c r="Y557" s="140">
        <f ca="1" xml:space="preserve"> ProjectCashflows!Y$131</f>
        <v>150</v>
      </c>
      <c r="Z557" s="140">
        <f ca="1" xml:space="preserve"> ProjectCashflows!Z$131</f>
        <v>150</v>
      </c>
      <c r="AA557" s="140">
        <f ca="1" xml:space="preserve"> ProjectCashflows!AA$131</f>
        <v>121.50000000000001</v>
      </c>
      <c r="AB557" s="140">
        <f ca="1" xml:space="preserve"> ProjectCashflows!AB$131</f>
        <v>98.41500000000002</v>
      </c>
      <c r="AC557" s="140">
        <f ca="1" xml:space="preserve"> ProjectCashflows!AC$131</f>
        <v>79.716150000000027</v>
      </c>
      <c r="AD557" s="140">
        <f ca="1" xml:space="preserve"> ProjectCashflows!AD$131</f>
        <v>64.570081500000029</v>
      </c>
      <c r="AE557" s="140">
        <f ca="1" xml:space="preserve"> ProjectCashflows!AE$131</f>
        <v>52.301766015000027</v>
      </c>
      <c r="AF557" s="140">
        <f ca="1" xml:space="preserve"> ProjectCashflows!AF$131</f>
        <v>42.364430472150026</v>
      </c>
      <c r="AG557" s="140">
        <f ca="1" xml:space="preserve"> ProjectCashflows!AG$131</f>
        <v>34.315188682441523</v>
      </c>
      <c r="AH557" s="140">
        <f ca="1" xml:space="preserve"> ProjectCashflows!AH$131</f>
        <v>27.795302832777637</v>
      </c>
      <c r="AI557" s="140">
        <f ca="1" xml:space="preserve"> ProjectCashflows!AI$131</f>
        <v>22.514195294549886</v>
      </c>
      <c r="AJ557" s="140">
        <f ca="1" xml:space="preserve"> ProjectCashflows!AJ$131</f>
        <v>18.236498188585408</v>
      </c>
      <c r="AK557" s="140">
        <f ca="1" xml:space="preserve"> ProjectCashflows!AK$131</f>
        <v>14.771563532754181</v>
      </c>
      <c r="AL557" s="140">
        <f ca="1" xml:space="preserve"> ProjectCashflows!AL$131</f>
        <v>11.964966461530887</v>
      </c>
      <c r="AM557" s="140">
        <f ca="1" xml:space="preserve"> ProjectCashflows!AM$131</f>
        <v>9.6916228338400181</v>
      </c>
      <c r="AN557" s="140">
        <f ca="1" xml:space="preserve"> ProjectCashflows!AN$131</f>
        <v>7.8502144954104152</v>
      </c>
      <c r="AO557" s="140">
        <f ca="1" xml:space="preserve"> ProjectCashflows!AO$131</f>
        <v>6.3586737412824368</v>
      </c>
      <c r="AP557" s="140">
        <f ca="1" xml:space="preserve"> ProjectCashflows!AP$131</f>
        <v>0</v>
      </c>
      <c r="AQ557" s="140">
        <f ca="1" xml:space="preserve"> ProjectCashflows!AQ$131</f>
        <v>0</v>
      </c>
      <c r="AR557" s="140">
        <f ca="1" xml:space="preserve"> ProjectCashflows!AR$131</f>
        <v>0</v>
      </c>
      <c r="AS557" s="140">
        <f ca="1" xml:space="preserve"> ProjectCashflows!AS$131</f>
        <v>0</v>
      </c>
      <c r="AT557" s="140">
        <f ca="1" xml:space="preserve"> ProjectCashflows!AT$131</f>
        <v>0</v>
      </c>
      <c r="AU557" s="140">
        <f ca="1" xml:space="preserve"> ProjectCashflows!AU$131</f>
        <v>0</v>
      </c>
      <c r="AV557" s="140">
        <f ca="1" xml:space="preserve"> ProjectCashflows!AV$131</f>
        <v>0</v>
      </c>
      <c r="AW557" s="140">
        <f ca="1" xml:space="preserve"> ProjectCashflows!AW$131</f>
        <v>0</v>
      </c>
      <c r="AX557" s="140">
        <f ca="1" xml:space="preserve"> ProjectCashflows!AX$131</f>
        <v>0</v>
      </c>
    </row>
    <row r="558" spans="1:50" ht="15" customHeight="1" x14ac:dyDescent="0.25">
      <c r="A558" s="86"/>
      <c r="B558" s="235"/>
      <c r="C558" s="604"/>
      <c r="D558" s="162"/>
      <c r="E558" s="52"/>
      <c r="F558" s="578"/>
      <c r="G558" s="52"/>
      <c r="H558" s="52"/>
      <c r="I558" s="109"/>
      <c r="J558" s="89"/>
      <c r="K558" s="98"/>
      <c r="L558" s="98"/>
      <c r="M558" s="98"/>
      <c r="N558" s="98"/>
      <c r="O558" s="98"/>
      <c r="P558" s="98"/>
      <c r="Q558" s="98"/>
      <c r="R558" s="98"/>
      <c r="S558" s="98"/>
      <c r="T558" s="98"/>
      <c r="U558" s="98"/>
      <c r="V558" s="98"/>
      <c r="W558" s="98"/>
      <c r="X558" s="98"/>
      <c r="Y558" s="98"/>
      <c r="Z558" s="98"/>
      <c r="AA558" s="98"/>
      <c r="AB558" s="98"/>
      <c r="AC558" s="98"/>
      <c r="AD558" s="98"/>
      <c r="AE558" s="98"/>
      <c r="AF558" s="98"/>
      <c r="AG558" s="98"/>
      <c r="AH558" s="98"/>
      <c r="AI558" s="98"/>
      <c r="AJ558" s="98"/>
      <c r="AK558" s="98"/>
      <c r="AL558" s="98"/>
      <c r="AM558" s="98"/>
      <c r="AN558" s="98"/>
      <c r="AO558" s="98"/>
      <c r="AP558" s="98"/>
      <c r="AQ558" s="98"/>
      <c r="AR558" s="98"/>
      <c r="AS558" s="98"/>
      <c r="AT558" s="98"/>
      <c r="AU558" s="98"/>
      <c r="AV558" s="98"/>
      <c r="AW558" s="98"/>
      <c r="AX558" s="98"/>
    </row>
    <row r="559" spans="1:50" ht="15" customHeight="1" x14ac:dyDescent="0.25">
      <c r="A559" s="241"/>
      <c r="B559" s="675"/>
      <c r="C559" s="615"/>
      <c r="D559" s="48"/>
      <c r="E559" s="3" t="str">
        <f t="shared" ref="E559:G563" si="148" xml:space="preserve"> E551</f>
        <v>DROP tier 1</v>
      </c>
      <c r="F559" s="44">
        <f t="shared" si="148"/>
        <v>0</v>
      </c>
      <c r="G559" s="3" t="str">
        <f t="shared" si="148"/>
        <v>KBOPD</v>
      </c>
      <c r="J559" s="55"/>
      <c r="K559" s="55">
        <f t="shared" ref="K559:AX559" ca="1" si="149" xml:space="preserve"> MIN( K$557, $F551 )</f>
        <v>0</v>
      </c>
      <c r="L559" s="55">
        <f t="shared" ca="1" si="149"/>
        <v>0</v>
      </c>
      <c r="M559" s="55">
        <f t="shared" ca="1" si="149"/>
        <v>0</v>
      </c>
      <c r="N559" s="55">
        <f t="shared" ca="1" si="149"/>
        <v>0</v>
      </c>
      <c r="O559" s="55">
        <f t="shared" ca="1" si="149"/>
        <v>0</v>
      </c>
      <c r="P559" s="55">
        <f t="shared" ca="1" si="149"/>
        <v>0</v>
      </c>
      <c r="Q559" s="55">
        <f t="shared" ca="1" si="149"/>
        <v>0</v>
      </c>
      <c r="R559" s="55">
        <f t="shared" ca="1" si="149"/>
        <v>0</v>
      </c>
      <c r="S559" s="55">
        <f t="shared" ca="1" si="149"/>
        <v>0</v>
      </c>
      <c r="T559" s="55">
        <f t="shared" ca="1" si="149"/>
        <v>0</v>
      </c>
      <c r="U559" s="55">
        <f t="shared" ca="1" si="149"/>
        <v>0</v>
      </c>
      <c r="V559" s="55">
        <f t="shared" ca="1" si="149"/>
        <v>0</v>
      </c>
      <c r="W559" s="55">
        <f t="shared" ca="1" si="149"/>
        <v>0</v>
      </c>
      <c r="X559" s="55">
        <f t="shared" ca="1" si="149"/>
        <v>0</v>
      </c>
      <c r="Y559" s="55">
        <f t="shared" ca="1" si="149"/>
        <v>0</v>
      </c>
      <c r="Z559" s="55">
        <f t="shared" ca="1" si="149"/>
        <v>0</v>
      </c>
      <c r="AA559" s="55">
        <f t="shared" ca="1" si="149"/>
        <v>0</v>
      </c>
      <c r="AB559" s="55">
        <f t="shared" ca="1" si="149"/>
        <v>0</v>
      </c>
      <c r="AC559" s="55">
        <f t="shared" ca="1" si="149"/>
        <v>0</v>
      </c>
      <c r="AD559" s="55">
        <f t="shared" ca="1" si="149"/>
        <v>0</v>
      </c>
      <c r="AE559" s="55">
        <f t="shared" ca="1" si="149"/>
        <v>0</v>
      </c>
      <c r="AF559" s="55">
        <f t="shared" ca="1" si="149"/>
        <v>0</v>
      </c>
      <c r="AG559" s="55">
        <f t="shared" ca="1" si="149"/>
        <v>0</v>
      </c>
      <c r="AH559" s="55">
        <f t="shared" ca="1" si="149"/>
        <v>0</v>
      </c>
      <c r="AI559" s="55">
        <f t="shared" ca="1" si="149"/>
        <v>0</v>
      </c>
      <c r="AJ559" s="55">
        <f t="shared" ca="1" si="149"/>
        <v>0</v>
      </c>
      <c r="AK559" s="55">
        <f t="shared" ca="1" si="149"/>
        <v>0</v>
      </c>
      <c r="AL559" s="55">
        <f t="shared" ca="1" si="149"/>
        <v>0</v>
      </c>
      <c r="AM559" s="55">
        <f t="shared" ca="1" si="149"/>
        <v>0</v>
      </c>
      <c r="AN559" s="55">
        <f t="shared" ca="1" si="149"/>
        <v>0</v>
      </c>
      <c r="AO559" s="55">
        <f t="shared" ca="1" si="149"/>
        <v>0</v>
      </c>
      <c r="AP559" s="55">
        <f t="shared" ca="1" si="149"/>
        <v>0</v>
      </c>
      <c r="AQ559" s="55">
        <f t="shared" ca="1" si="149"/>
        <v>0</v>
      </c>
      <c r="AR559" s="55">
        <f t="shared" ca="1" si="149"/>
        <v>0</v>
      </c>
      <c r="AS559" s="55">
        <f t="shared" ca="1" si="149"/>
        <v>0</v>
      </c>
      <c r="AT559" s="55">
        <f t="shared" ca="1" si="149"/>
        <v>0</v>
      </c>
      <c r="AU559" s="55">
        <f t="shared" ca="1" si="149"/>
        <v>0</v>
      </c>
      <c r="AV559" s="55">
        <f t="shared" ca="1" si="149"/>
        <v>0</v>
      </c>
      <c r="AW559" s="55">
        <f t="shared" ca="1" si="149"/>
        <v>0</v>
      </c>
      <c r="AX559" s="55">
        <f t="shared" ca="1" si="149"/>
        <v>0</v>
      </c>
    </row>
    <row r="560" spans="1:50" ht="15" customHeight="1" x14ac:dyDescent="0.25">
      <c r="A560" s="241"/>
      <c r="B560" s="675"/>
      <c r="C560" s="615"/>
      <c r="D560" s="48"/>
      <c r="E560" s="3" t="str">
        <f t="shared" si="148"/>
        <v>DROP tier 2</v>
      </c>
      <c r="F560" s="44">
        <f t="shared" si="148"/>
        <v>0</v>
      </c>
      <c r="G560" s="3" t="str">
        <f t="shared" si="148"/>
        <v>KBOPD</v>
      </c>
      <c r="J560" s="55"/>
      <c r="K560" s="55">
        <f t="shared" ref="K560:AX560" ca="1" si="150" xml:space="preserve"> MIN( K$557, $F552 ) - K559</f>
        <v>0</v>
      </c>
      <c r="L560" s="55">
        <f t="shared" ca="1" si="150"/>
        <v>0</v>
      </c>
      <c r="M560" s="55">
        <f t="shared" ca="1" si="150"/>
        <v>0</v>
      </c>
      <c r="N560" s="55">
        <f t="shared" ca="1" si="150"/>
        <v>0</v>
      </c>
      <c r="O560" s="55">
        <f t="shared" ca="1" si="150"/>
        <v>0</v>
      </c>
      <c r="P560" s="55">
        <f t="shared" ca="1" si="150"/>
        <v>0</v>
      </c>
      <c r="Q560" s="55">
        <f t="shared" ca="1" si="150"/>
        <v>0</v>
      </c>
      <c r="R560" s="55">
        <f t="shared" ca="1" si="150"/>
        <v>0</v>
      </c>
      <c r="S560" s="55">
        <f t="shared" ca="1" si="150"/>
        <v>0</v>
      </c>
      <c r="T560" s="55">
        <f t="shared" ca="1" si="150"/>
        <v>0</v>
      </c>
      <c r="U560" s="55">
        <f t="shared" ca="1" si="150"/>
        <v>0</v>
      </c>
      <c r="V560" s="55">
        <f t="shared" ca="1" si="150"/>
        <v>0</v>
      </c>
      <c r="W560" s="55">
        <f t="shared" ca="1" si="150"/>
        <v>0</v>
      </c>
      <c r="X560" s="55">
        <f t="shared" ca="1" si="150"/>
        <v>0</v>
      </c>
      <c r="Y560" s="55">
        <f t="shared" ca="1" si="150"/>
        <v>0</v>
      </c>
      <c r="Z560" s="55">
        <f t="shared" ca="1" si="150"/>
        <v>0</v>
      </c>
      <c r="AA560" s="55">
        <f t="shared" ca="1" si="150"/>
        <v>0</v>
      </c>
      <c r="AB560" s="55">
        <f t="shared" ca="1" si="150"/>
        <v>0</v>
      </c>
      <c r="AC560" s="55">
        <f t="shared" ca="1" si="150"/>
        <v>0</v>
      </c>
      <c r="AD560" s="55">
        <f t="shared" ca="1" si="150"/>
        <v>0</v>
      </c>
      <c r="AE560" s="55">
        <f t="shared" ca="1" si="150"/>
        <v>0</v>
      </c>
      <c r="AF560" s="55">
        <f t="shared" ca="1" si="150"/>
        <v>0</v>
      </c>
      <c r="AG560" s="55">
        <f t="shared" ca="1" si="150"/>
        <v>0</v>
      </c>
      <c r="AH560" s="55">
        <f t="shared" ca="1" si="150"/>
        <v>0</v>
      </c>
      <c r="AI560" s="55">
        <f t="shared" ca="1" si="150"/>
        <v>0</v>
      </c>
      <c r="AJ560" s="55">
        <f t="shared" ca="1" si="150"/>
        <v>0</v>
      </c>
      <c r="AK560" s="55">
        <f t="shared" ca="1" si="150"/>
        <v>0</v>
      </c>
      <c r="AL560" s="55">
        <f t="shared" ca="1" si="150"/>
        <v>0</v>
      </c>
      <c r="AM560" s="55">
        <f t="shared" ca="1" si="150"/>
        <v>0</v>
      </c>
      <c r="AN560" s="55">
        <f t="shared" ca="1" si="150"/>
        <v>0</v>
      </c>
      <c r="AO560" s="55">
        <f t="shared" ca="1" si="150"/>
        <v>0</v>
      </c>
      <c r="AP560" s="55">
        <f t="shared" ca="1" si="150"/>
        <v>0</v>
      </c>
      <c r="AQ560" s="55">
        <f t="shared" ca="1" si="150"/>
        <v>0</v>
      </c>
      <c r="AR560" s="55">
        <f t="shared" ca="1" si="150"/>
        <v>0</v>
      </c>
      <c r="AS560" s="55">
        <f t="shared" ca="1" si="150"/>
        <v>0</v>
      </c>
      <c r="AT560" s="55">
        <f t="shared" ca="1" si="150"/>
        <v>0</v>
      </c>
      <c r="AU560" s="55">
        <f t="shared" ca="1" si="150"/>
        <v>0</v>
      </c>
      <c r="AV560" s="55">
        <f t="shared" ca="1" si="150"/>
        <v>0</v>
      </c>
      <c r="AW560" s="55">
        <f t="shared" ca="1" si="150"/>
        <v>0</v>
      </c>
      <c r="AX560" s="55">
        <f t="shared" ca="1" si="150"/>
        <v>0</v>
      </c>
    </row>
    <row r="561" spans="1:50" ht="15" customHeight="1" x14ac:dyDescent="0.25">
      <c r="A561" s="241"/>
      <c r="B561" s="675"/>
      <c r="C561" s="615"/>
      <c r="D561" s="48"/>
      <c r="E561" s="3" t="str">
        <f t="shared" si="148"/>
        <v>DROP tier 3</v>
      </c>
      <c r="F561" s="44">
        <f t="shared" si="148"/>
        <v>0</v>
      </c>
      <c r="G561" s="3" t="str">
        <f t="shared" si="148"/>
        <v>KBOPD</v>
      </c>
      <c r="J561" s="55"/>
      <c r="K561" s="55">
        <f t="shared" ref="K561:AX561" ca="1" si="151" xml:space="preserve"> MIN( K$557, $F553 ) - K560 - K559</f>
        <v>0</v>
      </c>
      <c r="L561" s="55">
        <f t="shared" ca="1" si="151"/>
        <v>0</v>
      </c>
      <c r="M561" s="55">
        <f t="shared" ca="1" si="151"/>
        <v>0</v>
      </c>
      <c r="N561" s="55">
        <f t="shared" ca="1" si="151"/>
        <v>0</v>
      </c>
      <c r="O561" s="55">
        <f t="shared" ca="1" si="151"/>
        <v>0</v>
      </c>
      <c r="P561" s="55">
        <f t="shared" ca="1" si="151"/>
        <v>0</v>
      </c>
      <c r="Q561" s="55">
        <f t="shared" ca="1" si="151"/>
        <v>0</v>
      </c>
      <c r="R561" s="55">
        <f t="shared" ca="1" si="151"/>
        <v>0</v>
      </c>
      <c r="S561" s="55">
        <f t="shared" ca="1" si="151"/>
        <v>0</v>
      </c>
      <c r="T561" s="55">
        <f t="shared" ca="1" si="151"/>
        <v>0</v>
      </c>
      <c r="U561" s="55">
        <f t="shared" ca="1" si="151"/>
        <v>0</v>
      </c>
      <c r="V561" s="55">
        <f t="shared" ca="1" si="151"/>
        <v>0</v>
      </c>
      <c r="W561" s="55">
        <f t="shared" ca="1" si="151"/>
        <v>0</v>
      </c>
      <c r="X561" s="55">
        <f t="shared" ca="1" si="151"/>
        <v>0</v>
      </c>
      <c r="Y561" s="55">
        <f t="shared" ca="1" si="151"/>
        <v>0</v>
      </c>
      <c r="Z561" s="55">
        <f t="shared" ca="1" si="151"/>
        <v>0</v>
      </c>
      <c r="AA561" s="55">
        <f t="shared" ca="1" si="151"/>
        <v>0</v>
      </c>
      <c r="AB561" s="55">
        <f t="shared" ca="1" si="151"/>
        <v>0</v>
      </c>
      <c r="AC561" s="55">
        <f t="shared" ca="1" si="151"/>
        <v>0</v>
      </c>
      <c r="AD561" s="55">
        <f t="shared" ca="1" si="151"/>
        <v>0</v>
      </c>
      <c r="AE561" s="55">
        <f t="shared" ca="1" si="151"/>
        <v>0</v>
      </c>
      <c r="AF561" s="55">
        <f t="shared" ca="1" si="151"/>
        <v>0</v>
      </c>
      <c r="AG561" s="55">
        <f t="shared" ca="1" si="151"/>
        <v>0</v>
      </c>
      <c r="AH561" s="55">
        <f t="shared" ca="1" si="151"/>
        <v>0</v>
      </c>
      <c r="AI561" s="55">
        <f t="shared" ca="1" si="151"/>
        <v>0</v>
      </c>
      <c r="AJ561" s="55">
        <f t="shared" ca="1" si="151"/>
        <v>0</v>
      </c>
      <c r="AK561" s="55">
        <f t="shared" ca="1" si="151"/>
        <v>0</v>
      </c>
      <c r="AL561" s="55">
        <f t="shared" ca="1" si="151"/>
        <v>0</v>
      </c>
      <c r="AM561" s="55">
        <f t="shared" ca="1" si="151"/>
        <v>0</v>
      </c>
      <c r="AN561" s="55">
        <f t="shared" ca="1" si="151"/>
        <v>0</v>
      </c>
      <c r="AO561" s="55">
        <f t="shared" ca="1" si="151"/>
        <v>0</v>
      </c>
      <c r="AP561" s="55">
        <f t="shared" ca="1" si="151"/>
        <v>0</v>
      </c>
      <c r="AQ561" s="55">
        <f t="shared" ca="1" si="151"/>
        <v>0</v>
      </c>
      <c r="AR561" s="55">
        <f t="shared" ca="1" si="151"/>
        <v>0</v>
      </c>
      <c r="AS561" s="55">
        <f t="shared" ca="1" si="151"/>
        <v>0</v>
      </c>
      <c r="AT561" s="55">
        <f t="shared" ca="1" si="151"/>
        <v>0</v>
      </c>
      <c r="AU561" s="55">
        <f t="shared" ca="1" si="151"/>
        <v>0</v>
      </c>
      <c r="AV561" s="55">
        <f t="shared" ca="1" si="151"/>
        <v>0</v>
      </c>
      <c r="AW561" s="55">
        <f t="shared" ca="1" si="151"/>
        <v>0</v>
      </c>
      <c r="AX561" s="55">
        <f t="shared" ca="1" si="151"/>
        <v>0</v>
      </c>
    </row>
    <row r="562" spans="1:50" ht="15" customHeight="1" x14ac:dyDescent="0.25">
      <c r="A562" s="241"/>
      <c r="B562" s="675"/>
      <c r="C562" s="615"/>
      <c r="D562" s="48"/>
      <c r="E562" s="3" t="str">
        <f t="shared" si="148"/>
        <v>DROP tier 4</v>
      </c>
      <c r="F562" s="44">
        <f t="shared" si="148"/>
        <v>0</v>
      </c>
      <c r="G562" s="3" t="str">
        <f t="shared" si="148"/>
        <v>KBOPD</v>
      </c>
      <c r="J562" s="55"/>
      <c r="K562" s="55">
        <f t="shared" ref="K562:AX562" ca="1" si="152" xml:space="preserve"> MIN( K$557, $F554 ) - K561 - K560 - K559</f>
        <v>0</v>
      </c>
      <c r="L562" s="55">
        <f t="shared" ca="1" si="152"/>
        <v>0</v>
      </c>
      <c r="M562" s="55">
        <f t="shared" ca="1" si="152"/>
        <v>0</v>
      </c>
      <c r="N562" s="55">
        <f t="shared" ca="1" si="152"/>
        <v>0</v>
      </c>
      <c r="O562" s="55">
        <f t="shared" ca="1" si="152"/>
        <v>0</v>
      </c>
      <c r="P562" s="55">
        <f t="shared" ca="1" si="152"/>
        <v>0</v>
      </c>
      <c r="Q562" s="55">
        <f t="shared" ca="1" si="152"/>
        <v>0</v>
      </c>
      <c r="R562" s="55">
        <f t="shared" ca="1" si="152"/>
        <v>0</v>
      </c>
      <c r="S562" s="55">
        <f t="shared" ca="1" si="152"/>
        <v>0</v>
      </c>
      <c r="T562" s="55">
        <f t="shared" ca="1" si="152"/>
        <v>0</v>
      </c>
      <c r="U562" s="55">
        <f t="shared" ca="1" si="152"/>
        <v>0</v>
      </c>
      <c r="V562" s="55">
        <f t="shared" ca="1" si="152"/>
        <v>0</v>
      </c>
      <c r="W562" s="55">
        <f t="shared" ca="1" si="152"/>
        <v>0</v>
      </c>
      <c r="X562" s="55">
        <f t="shared" ca="1" si="152"/>
        <v>0</v>
      </c>
      <c r="Y562" s="55">
        <f t="shared" ca="1" si="152"/>
        <v>0</v>
      </c>
      <c r="Z562" s="55">
        <f t="shared" ca="1" si="152"/>
        <v>0</v>
      </c>
      <c r="AA562" s="55">
        <f t="shared" ca="1" si="152"/>
        <v>0</v>
      </c>
      <c r="AB562" s="55">
        <f t="shared" ca="1" si="152"/>
        <v>0</v>
      </c>
      <c r="AC562" s="55">
        <f t="shared" ca="1" si="152"/>
        <v>0</v>
      </c>
      <c r="AD562" s="55">
        <f t="shared" ca="1" si="152"/>
        <v>0</v>
      </c>
      <c r="AE562" s="55">
        <f t="shared" ca="1" si="152"/>
        <v>0</v>
      </c>
      <c r="AF562" s="55">
        <f t="shared" ca="1" si="152"/>
        <v>0</v>
      </c>
      <c r="AG562" s="55">
        <f t="shared" ca="1" si="152"/>
        <v>0</v>
      </c>
      <c r="AH562" s="55">
        <f t="shared" ca="1" si="152"/>
        <v>0</v>
      </c>
      <c r="AI562" s="55">
        <f t="shared" ca="1" si="152"/>
        <v>0</v>
      </c>
      <c r="AJ562" s="55">
        <f t="shared" ca="1" si="152"/>
        <v>0</v>
      </c>
      <c r="AK562" s="55">
        <f t="shared" ca="1" si="152"/>
        <v>0</v>
      </c>
      <c r="AL562" s="55">
        <f t="shared" ca="1" si="152"/>
        <v>0</v>
      </c>
      <c r="AM562" s="55">
        <f t="shared" ca="1" si="152"/>
        <v>0</v>
      </c>
      <c r="AN562" s="55">
        <f t="shared" ca="1" si="152"/>
        <v>0</v>
      </c>
      <c r="AO562" s="55">
        <f t="shared" ca="1" si="152"/>
        <v>0</v>
      </c>
      <c r="AP562" s="55">
        <f t="shared" ca="1" si="152"/>
        <v>0</v>
      </c>
      <c r="AQ562" s="55">
        <f t="shared" ca="1" si="152"/>
        <v>0</v>
      </c>
      <c r="AR562" s="55">
        <f t="shared" ca="1" si="152"/>
        <v>0</v>
      </c>
      <c r="AS562" s="55">
        <f t="shared" ca="1" si="152"/>
        <v>0</v>
      </c>
      <c r="AT562" s="55">
        <f t="shared" ca="1" si="152"/>
        <v>0</v>
      </c>
      <c r="AU562" s="55">
        <f t="shared" ca="1" si="152"/>
        <v>0</v>
      </c>
      <c r="AV562" s="55">
        <f t="shared" ca="1" si="152"/>
        <v>0</v>
      </c>
      <c r="AW562" s="55">
        <f t="shared" ca="1" si="152"/>
        <v>0</v>
      </c>
      <c r="AX562" s="55">
        <f t="shared" ca="1" si="152"/>
        <v>0</v>
      </c>
    </row>
    <row r="563" spans="1:50" ht="15" customHeight="1" x14ac:dyDescent="0.25">
      <c r="A563" s="241"/>
      <c r="B563" s="675"/>
      <c r="C563" s="615"/>
      <c r="D563" s="48"/>
      <c r="E563" s="3" t="str">
        <f t="shared" si="148"/>
        <v>DROP tier 5</v>
      </c>
      <c r="F563" s="44" t="str">
        <f t="shared" si="148"/>
        <v>&gt; 0</v>
      </c>
      <c r="G563" s="3" t="str">
        <f t="shared" si="148"/>
        <v>KBOPD</v>
      </c>
      <c r="J563" s="55"/>
      <c r="K563" s="55">
        <f t="shared" ref="K563:AX563" ca="1" si="153" xml:space="preserve"> K557 - SUM(K559:K562)</f>
        <v>0</v>
      </c>
      <c r="L563" s="55">
        <f t="shared" ca="1" si="153"/>
        <v>0</v>
      </c>
      <c r="M563" s="55">
        <f t="shared" ca="1" si="153"/>
        <v>0</v>
      </c>
      <c r="N563" s="55">
        <f t="shared" ca="1" si="153"/>
        <v>0</v>
      </c>
      <c r="O563" s="55">
        <f t="shared" ca="1" si="153"/>
        <v>9.5471162223815913</v>
      </c>
      <c r="P563" s="55">
        <f t="shared" ca="1" si="153"/>
        <v>75</v>
      </c>
      <c r="Q563" s="55">
        <f t="shared" ca="1" si="153"/>
        <v>150</v>
      </c>
      <c r="R563" s="55">
        <f t="shared" ca="1" si="153"/>
        <v>150</v>
      </c>
      <c r="S563" s="55">
        <f t="shared" ca="1" si="153"/>
        <v>150</v>
      </c>
      <c r="T563" s="55">
        <f t="shared" ca="1" si="153"/>
        <v>150</v>
      </c>
      <c r="U563" s="55">
        <f t="shared" ca="1" si="153"/>
        <v>150</v>
      </c>
      <c r="V563" s="55">
        <f t="shared" ca="1" si="153"/>
        <v>150</v>
      </c>
      <c r="W563" s="55">
        <f t="shared" ca="1" si="153"/>
        <v>150</v>
      </c>
      <c r="X563" s="55">
        <f t="shared" ca="1" si="153"/>
        <v>150</v>
      </c>
      <c r="Y563" s="55">
        <f t="shared" ca="1" si="153"/>
        <v>150</v>
      </c>
      <c r="Z563" s="55">
        <f t="shared" ca="1" si="153"/>
        <v>150</v>
      </c>
      <c r="AA563" s="55">
        <f t="shared" ca="1" si="153"/>
        <v>121.50000000000001</v>
      </c>
      <c r="AB563" s="55">
        <f t="shared" ca="1" si="153"/>
        <v>98.41500000000002</v>
      </c>
      <c r="AC563" s="55">
        <f t="shared" ca="1" si="153"/>
        <v>79.716150000000027</v>
      </c>
      <c r="AD563" s="55">
        <f t="shared" ca="1" si="153"/>
        <v>64.570081500000029</v>
      </c>
      <c r="AE563" s="55">
        <f t="shared" ca="1" si="153"/>
        <v>52.301766015000027</v>
      </c>
      <c r="AF563" s="55">
        <f t="shared" ca="1" si="153"/>
        <v>42.364430472150026</v>
      </c>
      <c r="AG563" s="55">
        <f t="shared" ca="1" si="153"/>
        <v>34.315188682441523</v>
      </c>
      <c r="AH563" s="55">
        <f t="shared" ca="1" si="153"/>
        <v>27.795302832777637</v>
      </c>
      <c r="AI563" s="55">
        <f t="shared" ca="1" si="153"/>
        <v>22.514195294549886</v>
      </c>
      <c r="AJ563" s="55">
        <f t="shared" ca="1" si="153"/>
        <v>18.236498188585408</v>
      </c>
      <c r="AK563" s="55">
        <f t="shared" ca="1" si="153"/>
        <v>14.771563532754181</v>
      </c>
      <c r="AL563" s="55">
        <f t="shared" ca="1" si="153"/>
        <v>11.964966461530887</v>
      </c>
      <c r="AM563" s="55">
        <f t="shared" ca="1" si="153"/>
        <v>9.6916228338400181</v>
      </c>
      <c r="AN563" s="55">
        <f t="shared" ca="1" si="153"/>
        <v>7.8502144954104152</v>
      </c>
      <c r="AO563" s="55">
        <f t="shared" ca="1" si="153"/>
        <v>6.3586737412824368</v>
      </c>
      <c r="AP563" s="55">
        <f t="shared" ca="1" si="153"/>
        <v>0</v>
      </c>
      <c r="AQ563" s="55">
        <f t="shared" ca="1" si="153"/>
        <v>0</v>
      </c>
      <c r="AR563" s="55">
        <f t="shared" ca="1" si="153"/>
        <v>0</v>
      </c>
      <c r="AS563" s="55">
        <f t="shared" ca="1" si="153"/>
        <v>0</v>
      </c>
      <c r="AT563" s="55">
        <f t="shared" ca="1" si="153"/>
        <v>0</v>
      </c>
      <c r="AU563" s="55">
        <f t="shared" ca="1" si="153"/>
        <v>0</v>
      </c>
      <c r="AV563" s="55">
        <f t="shared" ca="1" si="153"/>
        <v>0</v>
      </c>
      <c r="AW563" s="55">
        <f t="shared" ca="1" si="153"/>
        <v>0</v>
      </c>
      <c r="AX563" s="55">
        <f t="shared" ca="1" si="153"/>
        <v>0</v>
      </c>
    </row>
    <row r="564" spans="1:50" ht="15" customHeight="1" x14ac:dyDescent="0.25">
      <c r="A564" s="86"/>
      <c r="B564" s="235"/>
      <c r="C564" s="604"/>
      <c r="D564" s="162"/>
      <c r="E564" s="52"/>
      <c r="F564" s="578"/>
      <c r="G564" s="52"/>
      <c r="H564" s="52"/>
      <c r="I564" s="109"/>
      <c r="J564" s="89"/>
      <c r="K564" s="98"/>
      <c r="L564" s="98"/>
      <c r="M564" s="98"/>
      <c r="N564" s="98"/>
      <c r="O564" s="98"/>
      <c r="P564" s="98"/>
      <c r="Q564" s="98"/>
      <c r="R564" s="98"/>
      <c r="S564" s="98"/>
      <c r="T564" s="98"/>
      <c r="U564" s="98"/>
      <c r="V564" s="98"/>
      <c r="W564" s="98"/>
      <c r="X564" s="98"/>
      <c r="Y564" s="98"/>
      <c r="Z564" s="98"/>
      <c r="AA564" s="98"/>
      <c r="AB564" s="98"/>
      <c r="AC564" s="98"/>
      <c r="AD564" s="98"/>
      <c r="AE564" s="98"/>
      <c r="AF564" s="98"/>
      <c r="AG564" s="98"/>
      <c r="AH564" s="98"/>
      <c r="AI564" s="98"/>
      <c r="AJ564" s="98"/>
      <c r="AK564" s="98"/>
      <c r="AL564" s="98"/>
      <c r="AM564" s="98"/>
      <c r="AN564" s="98"/>
      <c r="AO564" s="98"/>
      <c r="AP564" s="98"/>
      <c r="AQ564" s="98"/>
      <c r="AR564" s="98"/>
      <c r="AS564" s="98"/>
      <c r="AT564" s="98"/>
      <c r="AU564" s="98"/>
      <c r="AV564" s="98"/>
      <c r="AW564" s="98"/>
      <c r="AX564" s="98"/>
    </row>
    <row r="565" spans="1:50" ht="15" customHeight="1" x14ac:dyDescent="0.25">
      <c r="A565" s="544"/>
      <c r="B565" s="686"/>
      <c r="C565" s="646"/>
      <c r="D565" s="761"/>
      <c r="E565" s="3" t="str">
        <f xml:space="preserve"> E559 &amp;  ": " &amp; Translate!E540</f>
        <v>DROP tier 1: proportion of total</v>
      </c>
      <c r="F565" s="117"/>
      <c r="G565" s="3" t="s">
        <v>24</v>
      </c>
      <c r="H565" s="544"/>
      <c r="I565" s="544"/>
      <c r="J565" s="544"/>
      <c r="K565" s="1078">
        <f t="shared" ref="K565:AX565" ca="1" si="154" xml:space="preserve"> IFERROR(K559 / K$557, 0)</f>
        <v>0</v>
      </c>
      <c r="L565" s="1078">
        <f t="shared" ca="1" si="154"/>
        <v>0</v>
      </c>
      <c r="M565" s="1078">
        <f t="shared" ca="1" si="154"/>
        <v>0</v>
      </c>
      <c r="N565" s="1078">
        <f t="shared" ca="1" si="154"/>
        <v>0</v>
      </c>
      <c r="O565" s="1078">
        <f t="shared" ca="1" si="154"/>
        <v>0</v>
      </c>
      <c r="P565" s="1078">
        <f t="shared" ca="1" si="154"/>
        <v>0</v>
      </c>
      <c r="Q565" s="1078">
        <f t="shared" ca="1" si="154"/>
        <v>0</v>
      </c>
      <c r="R565" s="1078">
        <f t="shared" ca="1" si="154"/>
        <v>0</v>
      </c>
      <c r="S565" s="1078">
        <f t="shared" ca="1" si="154"/>
        <v>0</v>
      </c>
      <c r="T565" s="1078">
        <f t="shared" ca="1" si="154"/>
        <v>0</v>
      </c>
      <c r="U565" s="1078">
        <f t="shared" ca="1" si="154"/>
        <v>0</v>
      </c>
      <c r="V565" s="1078">
        <f t="shared" ca="1" si="154"/>
        <v>0</v>
      </c>
      <c r="W565" s="1078">
        <f t="shared" ca="1" si="154"/>
        <v>0</v>
      </c>
      <c r="X565" s="1078">
        <f t="shared" ca="1" si="154"/>
        <v>0</v>
      </c>
      <c r="Y565" s="1078">
        <f t="shared" ca="1" si="154"/>
        <v>0</v>
      </c>
      <c r="Z565" s="1078">
        <f t="shared" ca="1" si="154"/>
        <v>0</v>
      </c>
      <c r="AA565" s="1078">
        <f t="shared" ca="1" si="154"/>
        <v>0</v>
      </c>
      <c r="AB565" s="1078">
        <f t="shared" ca="1" si="154"/>
        <v>0</v>
      </c>
      <c r="AC565" s="1078">
        <f t="shared" ca="1" si="154"/>
        <v>0</v>
      </c>
      <c r="AD565" s="1078">
        <f t="shared" ca="1" si="154"/>
        <v>0</v>
      </c>
      <c r="AE565" s="1078">
        <f t="shared" ca="1" si="154"/>
        <v>0</v>
      </c>
      <c r="AF565" s="1078">
        <f t="shared" ca="1" si="154"/>
        <v>0</v>
      </c>
      <c r="AG565" s="1078">
        <f t="shared" ca="1" si="154"/>
        <v>0</v>
      </c>
      <c r="AH565" s="1078">
        <f t="shared" ca="1" si="154"/>
        <v>0</v>
      </c>
      <c r="AI565" s="1078">
        <f t="shared" ca="1" si="154"/>
        <v>0</v>
      </c>
      <c r="AJ565" s="1078">
        <f t="shared" ca="1" si="154"/>
        <v>0</v>
      </c>
      <c r="AK565" s="1078">
        <f t="shared" ca="1" si="154"/>
        <v>0</v>
      </c>
      <c r="AL565" s="1078">
        <f t="shared" ca="1" si="154"/>
        <v>0</v>
      </c>
      <c r="AM565" s="1078">
        <f t="shared" ca="1" si="154"/>
        <v>0</v>
      </c>
      <c r="AN565" s="1078">
        <f t="shared" ca="1" si="154"/>
        <v>0</v>
      </c>
      <c r="AO565" s="1078">
        <f t="shared" ca="1" si="154"/>
        <v>0</v>
      </c>
      <c r="AP565" s="1078">
        <f t="shared" ca="1" si="154"/>
        <v>0</v>
      </c>
      <c r="AQ565" s="1078">
        <f t="shared" ca="1" si="154"/>
        <v>0</v>
      </c>
      <c r="AR565" s="1078">
        <f t="shared" ca="1" si="154"/>
        <v>0</v>
      </c>
      <c r="AS565" s="1078">
        <f t="shared" ca="1" si="154"/>
        <v>0</v>
      </c>
      <c r="AT565" s="1078">
        <f t="shared" ca="1" si="154"/>
        <v>0</v>
      </c>
      <c r="AU565" s="1078">
        <f t="shared" ca="1" si="154"/>
        <v>0</v>
      </c>
      <c r="AV565" s="1078">
        <f t="shared" ca="1" si="154"/>
        <v>0</v>
      </c>
      <c r="AW565" s="1078">
        <f t="shared" ca="1" si="154"/>
        <v>0</v>
      </c>
      <c r="AX565" s="1078">
        <f t="shared" ca="1" si="154"/>
        <v>0</v>
      </c>
    </row>
    <row r="566" spans="1:50" ht="15" customHeight="1" x14ac:dyDescent="0.25">
      <c r="A566" s="544"/>
      <c r="B566" s="686"/>
      <c r="C566" s="646"/>
      <c r="D566" s="761"/>
      <c r="E566" s="3" t="str">
        <f xml:space="preserve"> E560 &amp;  ": " &amp; Translate!E540</f>
        <v>DROP tier 2: proportion of total</v>
      </c>
      <c r="F566" s="117"/>
      <c r="G566" s="3" t="s">
        <v>24</v>
      </c>
      <c r="H566" s="544"/>
      <c r="I566" s="544"/>
      <c r="J566" s="544"/>
      <c r="K566" s="1078">
        <f t="shared" ref="K566:AX566" ca="1" si="155" xml:space="preserve"> IFERROR(K560 / K$557, 0)</f>
        <v>0</v>
      </c>
      <c r="L566" s="1078">
        <f t="shared" ca="1" si="155"/>
        <v>0</v>
      </c>
      <c r="M566" s="1078">
        <f t="shared" ca="1" si="155"/>
        <v>0</v>
      </c>
      <c r="N566" s="1078">
        <f t="shared" ca="1" si="155"/>
        <v>0</v>
      </c>
      <c r="O566" s="1078">
        <f t="shared" ca="1" si="155"/>
        <v>0</v>
      </c>
      <c r="P566" s="1078">
        <f t="shared" ca="1" si="155"/>
        <v>0</v>
      </c>
      <c r="Q566" s="1078">
        <f t="shared" ca="1" si="155"/>
        <v>0</v>
      </c>
      <c r="R566" s="1078">
        <f t="shared" ca="1" si="155"/>
        <v>0</v>
      </c>
      <c r="S566" s="1078">
        <f t="shared" ca="1" si="155"/>
        <v>0</v>
      </c>
      <c r="T566" s="1078">
        <f t="shared" ca="1" si="155"/>
        <v>0</v>
      </c>
      <c r="U566" s="1078">
        <f t="shared" ca="1" si="155"/>
        <v>0</v>
      </c>
      <c r="V566" s="1078">
        <f t="shared" ca="1" si="155"/>
        <v>0</v>
      </c>
      <c r="W566" s="1078">
        <f t="shared" ca="1" si="155"/>
        <v>0</v>
      </c>
      <c r="X566" s="1078">
        <f t="shared" ca="1" si="155"/>
        <v>0</v>
      </c>
      <c r="Y566" s="1078">
        <f t="shared" ca="1" si="155"/>
        <v>0</v>
      </c>
      <c r="Z566" s="1078">
        <f t="shared" ca="1" si="155"/>
        <v>0</v>
      </c>
      <c r="AA566" s="1078">
        <f t="shared" ca="1" si="155"/>
        <v>0</v>
      </c>
      <c r="AB566" s="1078">
        <f t="shared" ca="1" si="155"/>
        <v>0</v>
      </c>
      <c r="AC566" s="1078">
        <f t="shared" ca="1" si="155"/>
        <v>0</v>
      </c>
      <c r="AD566" s="1078">
        <f t="shared" ca="1" si="155"/>
        <v>0</v>
      </c>
      <c r="AE566" s="1078">
        <f t="shared" ca="1" si="155"/>
        <v>0</v>
      </c>
      <c r="AF566" s="1078">
        <f t="shared" ca="1" si="155"/>
        <v>0</v>
      </c>
      <c r="AG566" s="1078">
        <f t="shared" ca="1" si="155"/>
        <v>0</v>
      </c>
      <c r="AH566" s="1078">
        <f t="shared" ca="1" si="155"/>
        <v>0</v>
      </c>
      <c r="AI566" s="1078">
        <f t="shared" ca="1" si="155"/>
        <v>0</v>
      </c>
      <c r="AJ566" s="1078">
        <f t="shared" ca="1" si="155"/>
        <v>0</v>
      </c>
      <c r="AK566" s="1078">
        <f t="shared" ca="1" si="155"/>
        <v>0</v>
      </c>
      <c r="AL566" s="1078">
        <f t="shared" ca="1" si="155"/>
        <v>0</v>
      </c>
      <c r="AM566" s="1078">
        <f t="shared" ca="1" si="155"/>
        <v>0</v>
      </c>
      <c r="AN566" s="1078">
        <f t="shared" ca="1" si="155"/>
        <v>0</v>
      </c>
      <c r="AO566" s="1078">
        <f t="shared" ca="1" si="155"/>
        <v>0</v>
      </c>
      <c r="AP566" s="1078">
        <f t="shared" ca="1" si="155"/>
        <v>0</v>
      </c>
      <c r="AQ566" s="1078">
        <f t="shared" ca="1" si="155"/>
        <v>0</v>
      </c>
      <c r="AR566" s="1078">
        <f t="shared" ca="1" si="155"/>
        <v>0</v>
      </c>
      <c r="AS566" s="1078">
        <f t="shared" ca="1" si="155"/>
        <v>0</v>
      </c>
      <c r="AT566" s="1078">
        <f t="shared" ca="1" si="155"/>
        <v>0</v>
      </c>
      <c r="AU566" s="1078">
        <f t="shared" ca="1" si="155"/>
        <v>0</v>
      </c>
      <c r="AV566" s="1078">
        <f t="shared" ca="1" si="155"/>
        <v>0</v>
      </c>
      <c r="AW566" s="1078">
        <f t="shared" ca="1" si="155"/>
        <v>0</v>
      </c>
      <c r="AX566" s="1078">
        <f t="shared" ca="1" si="155"/>
        <v>0</v>
      </c>
    </row>
    <row r="567" spans="1:50" ht="15" customHeight="1" x14ac:dyDescent="0.25">
      <c r="A567" s="544"/>
      <c r="B567" s="686"/>
      <c r="C567" s="646"/>
      <c r="D567" s="761"/>
      <c r="E567" s="3" t="str">
        <f xml:space="preserve"> E561 &amp;  ": " &amp; Translate!E540</f>
        <v>DROP tier 3: proportion of total</v>
      </c>
      <c r="F567" s="117"/>
      <c r="G567" s="3" t="s">
        <v>24</v>
      </c>
      <c r="H567" s="544"/>
      <c r="I567" s="544"/>
      <c r="J567" s="544"/>
      <c r="K567" s="1078">
        <f t="shared" ref="K567:AX567" ca="1" si="156" xml:space="preserve"> IFERROR(K561 / K$557, 0)</f>
        <v>0</v>
      </c>
      <c r="L567" s="1078">
        <f t="shared" ca="1" si="156"/>
        <v>0</v>
      </c>
      <c r="M567" s="1078">
        <f t="shared" ca="1" si="156"/>
        <v>0</v>
      </c>
      <c r="N567" s="1078">
        <f t="shared" ca="1" si="156"/>
        <v>0</v>
      </c>
      <c r="O567" s="1078">
        <f t="shared" ca="1" si="156"/>
        <v>0</v>
      </c>
      <c r="P567" s="1078">
        <f t="shared" ca="1" si="156"/>
        <v>0</v>
      </c>
      <c r="Q567" s="1078">
        <f t="shared" ca="1" si="156"/>
        <v>0</v>
      </c>
      <c r="R567" s="1078">
        <f t="shared" ca="1" si="156"/>
        <v>0</v>
      </c>
      <c r="S567" s="1078">
        <f t="shared" ca="1" si="156"/>
        <v>0</v>
      </c>
      <c r="T567" s="1078">
        <f t="shared" ca="1" si="156"/>
        <v>0</v>
      </c>
      <c r="U567" s="1078">
        <f t="shared" ca="1" si="156"/>
        <v>0</v>
      </c>
      <c r="V567" s="1078">
        <f t="shared" ca="1" si="156"/>
        <v>0</v>
      </c>
      <c r="W567" s="1078">
        <f t="shared" ca="1" si="156"/>
        <v>0</v>
      </c>
      <c r="X567" s="1078">
        <f t="shared" ca="1" si="156"/>
        <v>0</v>
      </c>
      <c r="Y567" s="1078">
        <f t="shared" ca="1" si="156"/>
        <v>0</v>
      </c>
      <c r="Z567" s="1078">
        <f t="shared" ca="1" si="156"/>
        <v>0</v>
      </c>
      <c r="AA567" s="1078">
        <f t="shared" ca="1" si="156"/>
        <v>0</v>
      </c>
      <c r="AB567" s="1078">
        <f t="shared" ca="1" si="156"/>
        <v>0</v>
      </c>
      <c r="AC567" s="1078">
        <f t="shared" ca="1" si="156"/>
        <v>0</v>
      </c>
      <c r="AD567" s="1078">
        <f t="shared" ca="1" si="156"/>
        <v>0</v>
      </c>
      <c r="AE567" s="1078">
        <f t="shared" ca="1" si="156"/>
        <v>0</v>
      </c>
      <c r="AF567" s="1078">
        <f t="shared" ca="1" si="156"/>
        <v>0</v>
      </c>
      <c r="AG567" s="1078">
        <f t="shared" ca="1" si="156"/>
        <v>0</v>
      </c>
      <c r="AH567" s="1078">
        <f t="shared" ca="1" si="156"/>
        <v>0</v>
      </c>
      <c r="AI567" s="1078">
        <f t="shared" ca="1" si="156"/>
        <v>0</v>
      </c>
      <c r="AJ567" s="1078">
        <f t="shared" ca="1" si="156"/>
        <v>0</v>
      </c>
      <c r="AK567" s="1078">
        <f t="shared" ca="1" si="156"/>
        <v>0</v>
      </c>
      <c r="AL567" s="1078">
        <f t="shared" ca="1" si="156"/>
        <v>0</v>
      </c>
      <c r="AM567" s="1078">
        <f t="shared" ca="1" si="156"/>
        <v>0</v>
      </c>
      <c r="AN567" s="1078">
        <f t="shared" ca="1" si="156"/>
        <v>0</v>
      </c>
      <c r="AO567" s="1078">
        <f t="shared" ca="1" si="156"/>
        <v>0</v>
      </c>
      <c r="AP567" s="1078">
        <f t="shared" ca="1" si="156"/>
        <v>0</v>
      </c>
      <c r="AQ567" s="1078">
        <f t="shared" ca="1" si="156"/>
        <v>0</v>
      </c>
      <c r="AR567" s="1078">
        <f t="shared" ca="1" si="156"/>
        <v>0</v>
      </c>
      <c r="AS567" s="1078">
        <f t="shared" ca="1" si="156"/>
        <v>0</v>
      </c>
      <c r="AT567" s="1078">
        <f t="shared" ca="1" si="156"/>
        <v>0</v>
      </c>
      <c r="AU567" s="1078">
        <f t="shared" ca="1" si="156"/>
        <v>0</v>
      </c>
      <c r="AV567" s="1078">
        <f t="shared" ca="1" si="156"/>
        <v>0</v>
      </c>
      <c r="AW567" s="1078">
        <f t="shared" ca="1" si="156"/>
        <v>0</v>
      </c>
      <c r="AX567" s="1078">
        <f t="shared" ca="1" si="156"/>
        <v>0</v>
      </c>
    </row>
    <row r="568" spans="1:50" ht="15" customHeight="1" x14ac:dyDescent="0.25">
      <c r="A568" s="544"/>
      <c r="B568" s="686"/>
      <c r="C568" s="646"/>
      <c r="D568" s="761"/>
      <c r="E568" s="3" t="str">
        <f xml:space="preserve"> E562 &amp;  ": " &amp; Translate!E540</f>
        <v>DROP tier 4: proportion of total</v>
      </c>
      <c r="F568" s="117"/>
      <c r="G568" s="3" t="s">
        <v>24</v>
      </c>
      <c r="H568" s="544"/>
      <c r="I568" s="544"/>
      <c r="J568" s="544"/>
      <c r="K568" s="1078">
        <f t="shared" ref="K568:AX568" ca="1" si="157" xml:space="preserve"> IFERROR(K562 / K$557, 0)</f>
        <v>0</v>
      </c>
      <c r="L568" s="1078">
        <f t="shared" ca="1" si="157"/>
        <v>0</v>
      </c>
      <c r="M568" s="1078">
        <f t="shared" ca="1" si="157"/>
        <v>0</v>
      </c>
      <c r="N568" s="1078">
        <f t="shared" ca="1" si="157"/>
        <v>0</v>
      </c>
      <c r="O568" s="1078">
        <f t="shared" ca="1" si="157"/>
        <v>0</v>
      </c>
      <c r="P568" s="1078">
        <f t="shared" ca="1" si="157"/>
        <v>0</v>
      </c>
      <c r="Q568" s="1078">
        <f t="shared" ca="1" si="157"/>
        <v>0</v>
      </c>
      <c r="R568" s="1078">
        <f t="shared" ca="1" si="157"/>
        <v>0</v>
      </c>
      <c r="S568" s="1078">
        <f t="shared" ca="1" si="157"/>
        <v>0</v>
      </c>
      <c r="T568" s="1078">
        <f t="shared" ca="1" si="157"/>
        <v>0</v>
      </c>
      <c r="U568" s="1078">
        <f t="shared" ca="1" si="157"/>
        <v>0</v>
      </c>
      <c r="V568" s="1078">
        <f t="shared" ca="1" si="157"/>
        <v>0</v>
      </c>
      <c r="W568" s="1078">
        <f t="shared" ca="1" si="157"/>
        <v>0</v>
      </c>
      <c r="X568" s="1078">
        <f t="shared" ca="1" si="157"/>
        <v>0</v>
      </c>
      <c r="Y568" s="1078">
        <f t="shared" ca="1" si="157"/>
        <v>0</v>
      </c>
      <c r="Z568" s="1078">
        <f t="shared" ca="1" si="157"/>
        <v>0</v>
      </c>
      <c r="AA568" s="1078">
        <f t="shared" ca="1" si="157"/>
        <v>0</v>
      </c>
      <c r="AB568" s="1078">
        <f t="shared" ca="1" si="157"/>
        <v>0</v>
      </c>
      <c r="AC568" s="1078">
        <f t="shared" ca="1" si="157"/>
        <v>0</v>
      </c>
      <c r="AD568" s="1078">
        <f t="shared" ca="1" si="157"/>
        <v>0</v>
      </c>
      <c r="AE568" s="1078">
        <f t="shared" ca="1" si="157"/>
        <v>0</v>
      </c>
      <c r="AF568" s="1078">
        <f t="shared" ca="1" si="157"/>
        <v>0</v>
      </c>
      <c r="AG568" s="1078">
        <f t="shared" ca="1" si="157"/>
        <v>0</v>
      </c>
      <c r="AH568" s="1078">
        <f t="shared" ca="1" si="157"/>
        <v>0</v>
      </c>
      <c r="AI568" s="1078">
        <f t="shared" ca="1" si="157"/>
        <v>0</v>
      </c>
      <c r="AJ568" s="1078">
        <f t="shared" ca="1" si="157"/>
        <v>0</v>
      </c>
      <c r="AK568" s="1078">
        <f t="shared" ca="1" si="157"/>
        <v>0</v>
      </c>
      <c r="AL568" s="1078">
        <f t="shared" ca="1" si="157"/>
        <v>0</v>
      </c>
      <c r="AM568" s="1078">
        <f t="shared" ca="1" si="157"/>
        <v>0</v>
      </c>
      <c r="AN568" s="1078">
        <f t="shared" ca="1" si="157"/>
        <v>0</v>
      </c>
      <c r="AO568" s="1078">
        <f t="shared" ca="1" si="157"/>
        <v>0</v>
      </c>
      <c r="AP568" s="1078">
        <f t="shared" ca="1" si="157"/>
        <v>0</v>
      </c>
      <c r="AQ568" s="1078">
        <f t="shared" ca="1" si="157"/>
        <v>0</v>
      </c>
      <c r="AR568" s="1078">
        <f t="shared" ca="1" si="157"/>
        <v>0</v>
      </c>
      <c r="AS568" s="1078">
        <f t="shared" ca="1" si="157"/>
        <v>0</v>
      </c>
      <c r="AT568" s="1078">
        <f t="shared" ca="1" si="157"/>
        <v>0</v>
      </c>
      <c r="AU568" s="1078">
        <f t="shared" ca="1" si="157"/>
        <v>0</v>
      </c>
      <c r="AV568" s="1078">
        <f t="shared" ca="1" si="157"/>
        <v>0</v>
      </c>
      <c r="AW568" s="1078">
        <f t="shared" ca="1" si="157"/>
        <v>0</v>
      </c>
      <c r="AX568" s="1078">
        <f t="shared" ca="1" si="157"/>
        <v>0</v>
      </c>
    </row>
    <row r="569" spans="1:50" ht="15" customHeight="1" x14ac:dyDescent="0.25">
      <c r="A569" s="544"/>
      <c r="B569" s="686"/>
      <c r="C569" s="646"/>
      <c r="D569" s="761"/>
      <c r="E569" s="3" t="str">
        <f xml:space="preserve"> E563 &amp;  ": " &amp; Translate!E540</f>
        <v>DROP tier 5: proportion of total</v>
      </c>
      <c r="F569" s="117"/>
      <c r="G569" s="3" t="s">
        <v>24</v>
      </c>
      <c r="H569" s="544"/>
      <c r="I569" s="544"/>
      <c r="J569" s="544"/>
      <c r="K569" s="1078">
        <f t="shared" ref="K569:AX569" ca="1" si="158" xml:space="preserve"> IFERROR(K563 / K$557, 0)</f>
        <v>0</v>
      </c>
      <c r="L569" s="1078">
        <f t="shared" ca="1" si="158"/>
        <v>0</v>
      </c>
      <c r="M569" s="1078">
        <f t="shared" ca="1" si="158"/>
        <v>0</v>
      </c>
      <c r="N569" s="1078">
        <f t="shared" ca="1" si="158"/>
        <v>0</v>
      </c>
      <c r="O569" s="1078">
        <f t="shared" ca="1" si="158"/>
        <v>1</v>
      </c>
      <c r="P569" s="1078">
        <f t="shared" ca="1" si="158"/>
        <v>1</v>
      </c>
      <c r="Q569" s="1078">
        <f t="shared" ca="1" si="158"/>
        <v>1</v>
      </c>
      <c r="R569" s="1078">
        <f t="shared" ca="1" si="158"/>
        <v>1</v>
      </c>
      <c r="S569" s="1078">
        <f t="shared" ca="1" si="158"/>
        <v>1</v>
      </c>
      <c r="T569" s="1078">
        <f t="shared" ca="1" si="158"/>
        <v>1</v>
      </c>
      <c r="U569" s="1078">
        <f t="shared" ca="1" si="158"/>
        <v>1</v>
      </c>
      <c r="V569" s="1078">
        <f t="shared" ca="1" si="158"/>
        <v>1</v>
      </c>
      <c r="W569" s="1078">
        <f t="shared" ca="1" si="158"/>
        <v>1</v>
      </c>
      <c r="X569" s="1078">
        <f t="shared" ca="1" si="158"/>
        <v>1</v>
      </c>
      <c r="Y569" s="1078">
        <f t="shared" ca="1" si="158"/>
        <v>1</v>
      </c>
      <c r="Z569" s="1078">
        <f t="shared" ca="1" si="158"/>
        <v>1</v>
      </c>
      <c r="AA569" s="1078">
        <f t="shared" ca="1" si="158"/>
        <v>1</v>
      </c>
      <c r="AB569" s="1078">
        <f t="shared" ca="1" si="158"/>
        <v>1</v>
      </c>
      <c r="AC569" s="1078">
        <f t="shared" ca="1" si="158"/>
        <v>1</v>
      </c>
      <c r="AD569" s="1078">
        <f t="shared" ca="1" si="158"/>
        <v>1</v>
      </c>
      <c r="AE569" s="1078">
        <f t="shared" ca="1" si="158"/>
        <v>1</v>
      </c>
      <c r="AF569" s="1078">
        <f t="shared" ca="1" si="158"/>
        <v>1</v>
      </c>
      <c r="AG569" s="1078">
        <f t="shared" ca="1" si="158"/>
        <v>1</v>
      </c>
      <c r="AH569" s="1078">
        <f t="shared" ca="1" si="158"/>
        <v>1</v>
      </c>
      <c r="AI569" s="1078">
        <f t="shared" ca="1" si="158"/>
        <v>1</v>
      </c>
      <c r="AJ569" s="1078">
        <f t="shared" ca="1" si="158"/>
        <v>1</v>
      </c>
      <c r="AK569" s="1078">
        <f t="shared" ca="1" si="158"/>
        <v>1</v>
      </c>
      <c r="AL569" s="1078">
        <f t="shared" ca="1" si="158"/>
        <v>1</v>
      </c>
      <c r="AM569" s="1078">
        <f t="shared" ca="1" si="158"/>
        <v>1</v>
      </c>
      <c r="AN569" s="1078">
        <f t="shared" ca="1" si="158"/>
        <v>1</v>
      </c>
      <c r="AO569" s="1078">
        <f t="shared" ca="1" si="158"/>
        <v>1</v>
      </c>
      <c r="AP569" s="1078">
        <f t="shared" ca="1" si="158"/>
        <v>0</v>
      </c>
      <c r="AQ569" s="1078">
        <f t="shared" ca="1" si="158"/>
        <v>0</v>
      </c>
      <c r="AR569" s="1078">
        <f t="shared" ca="1" si="158"/>
        <v>0</v>
      </c>
      <c r="AS569" s="1078">
        <f t="shared" ca="1" si="158"/>
        <v>0</v>
      </c>
      <c r="AT569" s="1078">
        <f t="shared" ca="1" si="158"/>
        <v>0</v>
      </c>
      <c r="AU569" s="1078">
        <f t="shared" ca="1" si="158"/>
        <v>0</v>
      </c>
      <c r="AV569" s="1078">
        <f t="shared" ca="1" si="158"/>
        <v>0</v>
      </c>
      <c r="AW569" s="1078">
        <f t="shared" ca="1" si="158"/>
        <v>0</v>
      </c>
      <c r="AX569" s="1078">
        <f t="shared" ca="1" si="158"/>
        <v>0</v>
      </c>
    </row>
    <row r="570" spans="1:50" ht="15" customHeight="1" x14ac:dyDescent="0.25">
      <c r="A570" s="86"/>
      <c r="B570" s="235"/>
      <c r="C570" s="604"/>
      <c r="D570" s="162"/>
      <c r="E570" s="52" t="str">
        <f xml:space="preserve"> Translate!E$755 &amp; " " &amp; Translate!E$305</f>
        <v>Check:  DROP tier allocation</v>
      </c>
      <c r="F570" s="157">
        <f ca="1" xml:space="preserve"> MIN( 1, SUM(K570:AX570))</f>
        <v>0</v>
      </c>
      <c r="G570" s="52" t="str">
        <f xml:space="preserve"> Translate!E$604</f>
        <v>Check</v>
      </c>
      <c r="H570" s="52"/>
      <c r="I570" s="89">
        <f ca="1" xml:space="preserve"> SUM(K570:AX570)</f>
        <v>0</v>
      </c>
      <c r="J570" s="56"/>
      <c r="K570" s="157">
        <f t="shared" ref="K570:AX570" ca="1" si="159">IF( K557 = 0, 0, IF(ABS( SUM(K565:K569) - 1 ) &gt; CHK_TOL, 1, 0))</f>
        <v>0</v>
      </c>
      <c r="L570" s="157">
        <f t="shared" ca="1" si="159"/>
        <v>0</v>
      </c>
      <c r="M570" s="157">
        <f t="shared" ca="1" si="159"/>
        <v>0</v>
      </c>
      <c r="N570" s="157">
        <f t="shared" ca="1" si="159"/>
        <v>0</v>
      </c>
      <c r="O570" s="157">
        <f t="shared" ca="1" si="159"/>
        <v>0</v>
      </c>
      <c r="P570" s="157">
        <f t="shared" ca="1" si="159"/>
        <v>0</v>
      </c>
      <c r="Q570" s="157">
        <f t="shared" ca="1" si="159"/>
        <v>0</v>
      </c>
      <c r="R570" s="157">
        <f t="shared" ca="1" si="159"/>
        <v>0</v>
      </c>
      <c r="S570" s="157">
        <f t="shared" ca="1" si="159"/>
        <v>0</v>
      </c>
      <c r="T570" s="157">
        <f t="shared" ca="1" si="159"/>
        <v>0</v>
      </c>
      <c r="U570" s="157">
        <f t="shared" ca="1" si="159"/>
        <v>0</v>
      </c>
      <c r="V570" s="157">
        <f t="shared" ca="1" si="159"/>
        <v>0</v>
      </c>
      <c r="W570" s="157">
        <f t="shared" ca="1" si="159"/>
        <v>0</v>
      </c>
      <c r="X570" s="157">
        <f t="shared" ca="1" si="159"/>
        <v>0</v>
      </c>
      <c r="Y570" s="157">
        <f t="shared" ca="1" si="159"/>
        <v>0</v>
      </c>
      <c r="Z570" s="157">
        <f t="shared" ca="1" si="159"/>
        <v>0</v>
      </c>
      <c r="AA570" s="157">
        <f t="shared" ca="1" si="159"/>
        <v>0</v>
      </c>
      <c r="AB570" s="157">
        <f t="shared" ca="1" si="159"/>
        <v>0</v>
      </c>
      <c r="AC570" s="157">
        <f t="shared" ca="1" si="159"/>
        <v>0</v>
      </c>
      <c r="AD570" s="157">
        <f t="shared" ca="1" si="159"/>
        <v>0</v>
      </c>
      <c r="AE570" s="157">
        <f t="shared" ca="1" si="159"/>
        <v>0</v>
      </c>
      <c r="AF570" s="157">
        <f t="shared" ca="1" si="159"/>
        <v>0</v>
      </c>
      <c r="AG570" s="157">
        <f t="shared" ca="1" si="159"/>
        <v>0</v>
      </c>
      <c r="AH570" s="157">
        <f t="shared" ca="1" si="159"/>
        <v>0</v>
      </c>
      <c r="AI570" s="157">
        <f t="shared" ca="1" si="159"/>
        <v>0</v>
      </c>
      <c r="AJ570" s="157">
        <f t="shared" ca="1" si="159"/>
        <v>0</v>
      </c>
      <c r="AK570" s="157">
        <f t="shared" ca="1" si="159"/>
        <v>0</v>
      </c>
      <c r="AL570" s="157">
        <f t="shared" ca="1" si="159"/>
        <v>0</v>
      </c>
      <c r="AM570" s="157">
        <f t="shared" ca="1" si="159"/>
        <v>0</v>
      </c>
      <c r="AN570" s="157">
        <f t="shared" ca="1" si="159"/>
        <v>0</v>
      </c>
      <c r="AO570" s="157">
        <f t="shared" ca="1" si="159"/>
        <v>0</v>
      </c>
      <c r="AP570" s="157">
        <f t="shared" ca="1" si="159"/>
        <v>0</v>
      </c>
      <c r="AQ570" s="157">
        <f t="shared" ca="1" si="159"/>
        <v>0</v>
      </c>
      <c r="AR570" s="157">
        <f t="shared" ca="1" si="159"/>
        <v>0</v>
      </c>
      <c r="AS570" s="157">
        <f t="shared" ca="1" si="159"/>
        <v>0</v>
      </c>
      <c r="AT570" s="157">
        <f t="shared" ca="1" si="159"/>
        <v>0</v>
      </c>
      <c r="AU570" s="157">
        <f t="shared" ca="1" si="159"/>
        <v>0</v>
      </c>
      <c r="AV570" s="157">
        <f t="shared" ca="1" si="159"/>
        <v>0</v>
      </c>
      <c r="AW570" s="157">
        <f t="shared" ca="1" si="159"/>
        <v>0</v>
      </c>
      <c r="AX570" s="157">
        <f t="shared" ca="1" si="159"/>
        <v>0</v>
      </c>
    </row>
    <row r="572" spans="1:50" ht="15" customHeight="1" x14ac:dyDescent="0.25">
      <c r="C572" s="604" t="str">
        <f>Translate!$E$496</f>
        <v>Determine weighted average profit share</v>
      </c>
    </row>
    <row r="573" spans="1:50" ht="15" customHeight="1" x14ac:dyDescent="0.25">
      <c r="E573" s="402" t="str">
        <f xml:space="preserve"> FiscalModel!E$59</f>
        <v>Government profit oil share tier 1</v>
      </c>
      <c r="F573" s="534">
        <f xml:space="preserve"> FiscalModel!F$59</f>
        <v>0</v>
      </c>
      <c r="G573" s="402" t="str">
        <f xml:space="preserve"> FiscalModel!G$59</f>
        <v>%</v>
      </c>
    </row>
    <row r="574" spans="1:50" ht="15" customHeight="1" x14ac:dyDescent="0.25">
      <c r="E574" s="402" t="str">
        <f xml:space="preserve"> FiscalModel!E$60</f>
        <v>Government profit oil share tier 2</v>
      </c>
      <c r="F574" s="534">
        <f xml:space="preserve"> FiscalModel!F$60</f>
        <v>0</v>
      </c>
      <c r="G574" s="402" t="str">
        <f xml:space="preserve"> FiscalModel!G$60</f>
        <v>%</v>
      </c>
    </row>
    <row r="575" spans="1:50" ht="15" customHeight="1" x14ac:dyDescent="0.25">
      <c r="E575" s="402" t="str">
        <f xml:space="preserve"> FiscalModel!E$61</f>
        <v>Government profit oil share tier 3</v>
      </c>
      <c r="F575" s="534">
        <f xml:space="preserve"> FiscalModel!F$61</f>
        <v>0</v>
      </c>
      <c r="G575" s="402" t="str">
        <f xml:space="preserve"> FiscalModel!G$61</f>
        <v>%</v>
      </c>
    </row>
    <row r="576" spans="1:50" ht="15" customHeight="1" x14ac:dyDescent="0.25">
      <c r="E576" s="402" t="str">
        <f xml:space="preserve"> FiscalModel!E$62</f>
        <v>Government profit oil share tier 4</v>
      </c>
      <c r="F576" s="534">
        <f xml:space="preserve"> FiscalModel!F$62</f>
        <v>0</v>
      </c>
      <c r="G576" s="402" t="str">
        <f xml:space="preserve"> FiscalModel!G$62</f>
        <v>%</v>
      </c>
    </row>
    <row r="577" spans="1:50" ht="15" customHeight="1" x14ac:dyDescent="0.25">
      <c r="E577" s="402" t="str">
        <f xml:space="preserve"> FiscalModel!E$63</f>
        <v>Government profit oil share tier 5</v>
      </c>
      <c r="F577" s="534">
        <f xml:space="preserve"> FiscalModel!F$63</f>
        <v>0</v>
      </c>
      <c r="G577" s="402" t="str">
        <f xml:space="preserve"> FiscalModel!G$63</f>
        <v>%</v>
      </c>
    </row>
    <row r="579" spans="1:50" s="40" customFormat="1" ht="15" customHeight="1" x14ac:dyDescent="0.25">
      <c r="B579" s="683"/>
      <c r="C579" s="647"/>
      <c r="D579" s="283"/>
      <c r="E579" s="40" t="str">
        <f xml:space="preserve"> ProjectCashflows!E$173</f>
        <v>Project activity</v>
      </c>
      <c r="F579" s="283">
        <f xml:space="preserve"> ProjectCashflows!F$173</f>
        <v>0</v>
      </c>
      <c r="G579" s="40" t="str">
        <f xml:space="preserve"> ProjectCashflows!G$173</f>
        <v>Flag</v>
      </c>
      <c r="H579" s="40">
        <f xml:space="preserve"> ProjectCashflows!H$173</f>
        <v>0</v>
      </c>
      <c r="I579" s="40">
        <f ca="1" xml:space="preserve"> ProjectCashflows!I$173</f>
        <v>33</v>
      </c>
      <c r="J579" s="40">
        <f xml:space="preserve"> ProjectCashflows!J$173</f>
        <v>0</v>
      </c>
      <c r="K579" s="40">
        <f ca="1" xml:space="preserve"> ProjectCashflows!K$173</f>
        <v>1</v>
      </c>
      <c r="L579" s="40">
        <f ca="1" xml:space="preserve"> ProjectCashflows!L$173</f>
        <v>1</v>
      </c>
      <c r="M579" s="40">
        <f ca="1" xml:space="preserve"> ProjectCashflows!M$173</f>
        <v>1</v>
      </c>
      <c r="N579" s="40">
        <f ca="1" xml:space="preserve"> ProjectCashflows!N$173</f>
        <v>1</v>
      </c>
      <c r="O579" s="40">
        <f ca="1" xml:space="preserve"> ProjectCashflows!O$173</f>
        <v>1</v>
      </c>
      <c r="P579" s="40">
        <f ca="1" xml:space="preserve"> ProjectCashflows!P$173</f>
        <v>1</v>
      </c>
      <c r="Q579" s="40">
        <f ca="1" xml:space="preserve"> ProjectCashflows!Q$173</f>
        <v>1</v>
      </c>
      <c r="R579" s="40">
        <f ca="1" xml:space="preserve"> ProjectCashflows!R$173</f>
        <v>1</v>
      </c>
      <c r="S579" s="40">
        <f ca="1" xml:space="preserve"> ProjectCashflows!S$173</f>
        <v>1</v>
      </c>
      <c r="T579" s="40">
        <f ca="1" xml:space="preserve"> ProjectCashflows!T$173</f>
        <v>1</v>
      </c>
      <c r="U579" s="40">
        <f ca="1" xml:space="preserve"> ProjectCashflows!U$173</f>
        <v>1</v>
      </c>
      <c r="V579" s="40">
        <f ca="1" xml:space="preserve"> ProjectCashflows!V$173</f>
        <v>1</v>
      </c>
      <c r="W579" s="40">
        <f ca="1" xml:space="preserve"> ProjectCashflows!W$173</f>
        <v>1</v>
      </c>
      <c r="X579" s="40">
        <f ca="1" xml:space="preserve"> ProjectCashflows!X$173</f>
        <v>1</v>
      </c>
      <c r="Y579" s="40">
        <f ca="1" xml:space="preserve"> ProjectCashflows!Y$173</f>
        <v>1</v>
      </c>
      <c r="Z579" s="40">
        <f ca="1" xml:space="preserve"> ProjectCashflows!Z$173</f>
        <v>1</v>
      </c>
      <c r="AA579" s="40">
        <f ca="1" xml:space="preserve"> ProjectCashflows!AA$173</f>
        <v>1</v>
      </c>
      <c r="AB579" s="40">
        <f ca="1" xml:space="preserve"> ProjectCashflows!AB$173</f>
        <v>1</v>
      </c>
      <c r="AC579" s="40">
        <f ca="1" xml:space="preserve"> ProjectCashflows!AC$173</f>
        <v>1</v>
      </c>
      <c r="AD579" s="40">
        <f ca="1" xml:space="preserve"> ProjectCashflows!AD$173</f>
        <v>1</v>
      </c>
      <c r="AE579" s="40">
        <f ca="1" xml:space="preserve"> ProjectCashflows!AE$173</f>
        <v>1</v>
      </c>
      <c r="AF579" s="40">
        <f ca="1" xml:space="preserve"> ProjectCashflows!AF$173</f>
        <v>1</v>
      </c>
      <c r="AG579" s="40">
        <f ca="1" xml:space="preserve"> ProjectCashflows!AG$173</f>
        <v>1</v>
      </c>
      <c r="AH579" s="40">
        <f ca="1" xml:space="preserve"> ProjectCashflows!AH$173</f>
        <v>1</v>
      </c>
      <c r="AI579" s="40">
        <f ca="1" xml:space="preserve"> ProjectCashflows!AI$173</f>
        <v>1</v>
      </c>
      <c r="AJ579" s="40">
        <f ca="1" xml:space="preserve"> ProjectCashflows!AJ$173</f>
        <v>1</v>
      </c>
      <c r="AK579" s="40">
        <f ca="1" xml:space="preserve"> ProjectCashflows!AK$173</f>
        <v>1</v>
      </c>
      <c r="AL579" s="40">
        <f ca="1" xml:space="preserve"> ProjectCashflows!AL$173</f>
        <v>1</v>
      </c>
      <c r="AM579" s="40">
        <f ca="1" xml:space="preserve"> ProjectCashflows!AM$173</f>
        <v>1</v>
      </c>
      <c r="AN579" s="40">
        <f ca="1" xml:space="preserve"> ProjectCashflows!AN$173</f>
        <v>1</v>
      </c>
      <c r="AO579" s="40">
        <f ca="1" xml:space="preserve"> ProjectCashflows!AO$173</f>
        <v>1</v>
      </c>
      <c r="AP579" s="40">
        <f ca="1" xml:space="preserve"> ProjectCashflows!AP$173</f>
        <v>1</v>
      </c>
      <c r="AQ579" s="40">
        <f ca="1" xml:space="preserve"> ProjectCashflows!AQ$173</f>
        <v>1</v>
      </c>
      <c r="AR579" s="40">
        <f ca="1" xml:space="preserve"> ProjectCashflows!AR$173</f>
        <v>0</v>
      </c>
      <c r="AS579" s="40">
        <f ca="1" xml:space="preserve"> ProjectCashflows!AS$173</f>
        <v>0</v>
      </c>
      <c r="AT579" s="40">
        <f ca="1" xml:space="preserve"> ProjectCashflows!AT$173</f>
        <v>0</v>
      </c>
      <c r="AU579" s="40">
        <f ca="1" xml:space="preserve"> ProjectCashflows!AU$173</f>
        <v>0</v>
      </c>
      <c r="AV579" s="40">
        <f ca="1" xml:space="preserve"> ProjectCashflows!AV$173</f>
        <v>0</v>
      </c>
      <c r="AW579" s="40">
        <f ca="1" xml:space="preserve"> ProjectCashflows!AW$173</f>
        <v>0</v>
      </c>
      <c r="AX579" s="40">
        <f ca="1" xml:space="preserve"> ProjectCashflows!AX$173</f>
        <v>0</v>
      </c>
    </row>
    <row r="580" spans="1:50" ht="15" customHeight="1" x14ac:dyDescent="0.25">
      <c r="A580" s="86"/>
      <c r="B580" s="235"/>
      <c r="C580" s="604"/>
      <c r="D580" s="162"/>
      <c r="E580" s="52" t="str">
        <f xml:space="preserve"> Translate!E$617 &amp; ": " &amp; Translate!E$730</f>
        <v>Government share of profit oil: DROP</v>
      </c>
      <c r="F580" s="151"/>
      <c r="G580" s="52" t="s">
        <v>24</v>
      </c>
      <c r="H580" s="52"/>
      <c r="I580" s="89"/>
      <c r="J580" s="163"/>
      <c r="K580" s="164" cm="1">
        <f t="array" aca="1" ref="K580" ca="1" xml:space="preserve"> SUMPRODUCT( K565:K569 * $F573:$F577) + AND(K557 = 0, K579 = 1) * $F573</f>
        <v>0</v>
      </c>
      <c r="L580" s="164" cm="1">
        <f t="array" aca="1" ref="L580" ca="1" xml:space="preserve"> SUMPRODUCT( L565:L569 * $F573:$F577) + AND(L557 = 0, L579 = 1) * $F573</f>
        <v>0</v>
      </c>
      <c r="M580" s="164" cm="1">
        <f t="array" aca="1" ref="M580" ca="1" xml:space="preserve"> SUMPRODUCT( M565:M569 * $F573:$F577) + AND(M557 = 0, M579 = 1) * $F573</f>
        <v>0</v>
      </c>
      <c r="N580" s="164" cm="1">
        <f t="array" aca="1" ref="N580" ca="1" xml:space="preserve"> SUMPRODUCT( N565:N569 * $F573:$F577) + AND(N557 = 0, N579 = 1) * $F573</f>
        <v>0</v>
      </c>
      <c r="O580" s="164" cm="1">
        <f t="array" aca="1" ref="O580" ca="1" xml:space="preserve"> SUMPRODUCT( O565:O569 * $F573:$F577) + AND(O557 = 0, O579 = 1) * $F573</f>
        <v>0</v>
      </c>
      <c r="P580" s="164" cm="1">
        <f t="array" aca="1" ref="P580" ca="1" xml:space="preserve"> SUMPRODUCT( P565:P569 * $F573:$F577) + AND(P557 = 0, P579 = 1) * $F573</f>
        <v>0</v>
      </c>
      <c r="Q580" s="164" cm="1">
        <f t="array" aca="1" ref="Q580" ca="1" xml:space="preserve"> SUMPRODUCT( Q565:Q569 * $F573:$F577) + AND(Q557 = 0, Q579 = 1) * $F573</f>
        <v>0</v>
      </c>
      <c r="R580" s="164" cm="1">
        <f t="array" aca="1" ref="R580" ca="1" xml:space="preserve"> SUMPRODUCT( R565:R569 * $F573:$F577) + AND(R557 = 0, R579 = 1) * $F573</f>
        <v>0</v>
      </c>
      <c r="S580" s="164" cm="1">
        <f t="array" aca="1" ref="S580" ca="1" xml:space="preserve"> SUMPRODUCT( S565:S569 * $F573:$F577) + AND(S557 = 0, S579 = 1) * $F573</f>
        <v>0</v>
      </c>
      <c r="T580" s="164" cm="1">
        <f t="array" aca="1" ref="T580" ca="1" xml:space="preserve"> SUMPRODUCT( T565:T569 * $F573:$F577) + AND(T557 = 0, T579 = 1) * $F573</f>
        <v>0</v>
      </c>
      <c r="U580" s="164" cm="1">
        <f t="array" aca="1" ref="U580" ca="1" xml:space="preserve"> SUMPRODUCT( U565:U569 * $F573:$F577) + AND(U557 = 0, U579 = 1) * $F573</f>
        <v>0</v>
      </c>
      <c r="V580" s="164" cm="1">
        <f t="array" aca="1" ref="V580" ca="1" xml:space="preserve"> SUMPRODUCT( V565:V569 * $F573:$F577) + AND(V557 = 0, V579 = 1) * $F573</f>
        <v>0</v>
      </c>
      <c r="W580" s="164" cm="1">
        <f t="array" aca="1" ref="W580" ca="1" xml:space="preserve"> SUMPRODUCT( W565:W569 * $F573:$F577) + AND(W557 = 0, W579 = 1) * $F573</f>
        <v>0</v>
      </c>
      <c r="X580" s="164" cm="1">
        <f t="array" aca="1" ref="X580" ca="1" xml:space="preserve"> SUMPRODUCT( X565:X569 * $F573:$F577) + AND(X557 = 0, X579 = 1) * $F573</f>
        <v>0</v>
      </c>
      <c r="Y580" s="164" cm="1">
        <f t="array" aca="1" ref="Y580" ca="1" xml:space="preserve"> SUMPRODUCT( Y565:Y569 * $F573:$F577) + AND(Y557 = 0, Y579 = 1) * $F573</f>
        <v>0</v>
      </c>
      <c r="Z580" s="164" cm="1">
        <f t="array" aca="1" ref="Z580" ca="1" xml:space="preserve"> SUMPRODUCT( Z565:Z569 * $F573:$F577) + AND(Z557 = 0, Z579 = 1) * $F573</f>
        <v>0</v>
      </c>
      <c r="AA580" s="164" cm="1">
        <f t="array" aca="1" ref="AA580" ca="1" xml:space="preserve"> SUMPRODUCT( AA565:AA569 * $F573:$F577) + AND(AA557 = 0, AA579 = 1) * $F573</f>
        <v>0</v>
      </c>
      <c r="AB580" s="164" cm="1">
        <f t="array" aca="1" ref="AB580" ca="1" xml:space="preserve"> SUMPRODUCT( AB565:AB569 * $F573:$F577) + AND(AB557 = 0, AB579 = 1) * $F573</f>
        <v>0</v>
      </c>
      <c r="AC580" s="164" cm="1">
        <f t="array" aca="1" ref="AC580" ca="1" xml:space="preserve"> SUMPRODUCT( AC565:AC569 * $F573:$F577) + AND(AC557 = 0, AC579 = 1) * $F573</f>
        <v>0</v>
      </c>
      <c r="AD580" s="164" cm="1">
        <f t="array" aca="1" ref="AD580" ca="1" xml:space="preserve"> SUMPRODUCT( AD565:AD569 * $F573:$F577) + AND(AD557 = 0, AD579 = 1) * $F573</f>
        <v>0</v>
      </c>
      <c r="AE580" s="164" cm="1">
        <f t="array" aca="1" ref="AE580" ca="1" xml:space="preserve"> SUMPRODUCT( AE565:AE569 * $F573:$F577) + AND(AE557 = 0, AE579 = 1) * $F573</f>
        <v>0</v>
      </c>
      <c r="AF580" s="164" cm="1">
        <f t="array" aca="1" ref="AF580" ca="1" xml:space="preserve"> SUMPRODUCT( AF565:AF569 * $F573:$F577) + AND(AF557 = 0, AF579 = 1) * $F573</f>
        <v>0</v>
      </c>
      <c r="AG580" s="164" cm="1">
        <f t="array" aca="1" ref="AG580" ca="1" xml:space="preserve"> SUMPRODUCT( AG565:AG569 * $F573:$F577) + AND(AG557 = 0, AG579 = 1) * $F573</f>
        <v>0</v>
      </c>
      <c r="AH580" s="164" cm="1">
        <f t="array" aca="1" ref="AH580" ca="1" xml:space="preserve"> SUMPRODUCT( AH565:AH569 * $F573:$F577) + AND(AH557 = 0, AH579 = 1) * $F573</f>
        <v>0</v>
      </c>
      <c r="AI580" s="164" cm="1">
        <f t="array" aca="1" ref="AI580" ca="1" xml:space="preserve"> SUMPRODUCT( AI565:AI569 * $F573:$F577) + AND(AI557 = 0, AI579 = 1) * $F573</f>
        <v>0</v>
      </c>
      <c r="AJ580" s="164" cm="1">
        <f t="array" aca="1" ref="AJ580" ca="1" xml:space="preserve"> SUMPRODUCT( AJ565:AJ569 * $F573:$F577) + AND(AJ557 = 0, AJ579 = 1) * $F573</f>
        <v>0</v>
      </c>
      <c r="AK580" s="164" cm="1">
        <f t="array" aca="1" ref="AK580" ca="1" xml:space="preserve"> SUMPRODUCT( AK565:AK569 * $F573:$F577) + AND(AK557 = 0, AK579 = 1) * $F573</f>
        <v>0</v>
      </c>
      <c r="AL580" s="164" cm="1">
        <f t="array" aca="1" ref="AL580" ca="1" xml:space="preserve"> SUMPRODUCT( AL565:AL569 * $F573:$F577) + AND(AL557 = 0, AL579 = 1) * $F573</f>
        <v>0</v>
      </c>
      <c r="AM580" s="164" cm="1">
        <f t="array" aca="1" ref="AM580" ca="1" xml:space="preserve"> SUMPRODUCT( AM565:AM569 * $F573:$F577) + AND(AM557 = 0, AM579 = 1) * $F573</f>
        <v>0</v>
      </c>
      <c r="AN580" s="164" cm="1">
        <f t="array" aca="1" ref="AN580" ca="1" xml:space="preserve"> SUMPRODUCT( AN565:AN569 * $F573:$F577) + AND(AN557 = 0, AN579 = 1) * $F573</f>
        <v>0</v>
      </c>
      <c r="AO580" s="164" cm="1">
        <f t="array" aca="1" ref="AO580" ca="1" xml:space="preserve"> SUMPRODUCT( AO565:AO569 * $F573:$F577) + AND(AO557 = 0, AO579 = 1) * $F573</f>
        <v>0</v>
      </c>
      <c r="AP580" s="164" cm="1">
        <f t="array" aca="1" ref="AP580" ca="1" xml:space="preserve"> SUMPRODUCT( AP565:AP569 * $F573:$F577) + AND(AP557 = 0, AP579 = 1) * $F573</f>
        <v>0</v>
      </c>
      <c r="AQ580" s="164" cm="1">
        <f t="array" aca="1" ref="AQ580" ca="1" xml:space="preserve"> SUMPRODUCT( AQ565:AQ569 * $F573:$F577) + AND(AQ557 = 0, AQ579 = 1) * $F573</f>
        <v>0</v>
      </c>
      <c r="AR580" s="164" cm="1">
        <f t="array" aca="1" ref="AR580" ca="1" xml:space="preserve"> SUMPRODUCT( AR565:AR569 * $F573:$F577) + AND(AR557 = 0, AR579 = 1) * $F573</f>
        <v>0</v>
      </c>
      <c r="AS580" s="164" cm="1">
        <f t="array" aca="1" ref="AS580" ca="1" xml:space="preserve"> SUMPRODUCT( AS565:AS569 * $F573:$F577) + AND(AS557 = 0, AS579 = 1) * $F573</f>
        <v>0</v>
      </c>
      <c r="AT580" s="164" cm="1">
        <f t="array" aca="1" ref="AT580" ca="1" xml:space="preserve"> SUMPRODUCT( AT565:AT569 * $F573:$F577) + AND(AT557 = 0, AT579 = 1) * $F573</f>
        <v>0</v>
      </c>
      <c r="AU580" s="164" cm="1">
        <f t="array" aca="1" ref="AU580" ca="1" xml:space="preserve"> SUMPRODUCT( AU565:AU569 * $F573:$F577) + AND(AU557 = 0, AU579 = 1) * $F573</f>
        <v>0</v>
      </c>
      <c r="AV580" s="164" cm="1">
        <f t="array" aca="1" ref="AV580" ca="1" xml:space="preserve"> SUMPRODUCT( AV565:AV569 * $F573:$F577) + AND(AV557 = 0, AV579 = 1) * $F573</f>
        <v>0</v>
      </c>
      <c r="AW580" s="164" cm="1">
        <f t="array" aca="1" ref="AW580" ca="1" xml:space="preserve"> SUMPRODUCT( AW565:AW569 * $F573:$F577) + AND(AW557 = 0, AW579 = 1) * $F573</f>
        <v>0</v>
      </c>
      <c r="AX580" s="164" cm="1">
        <f t="array" aca="1" ref="AX580" ca="1" xml:space="preserve"> SUMPRODUCT( AX565:AX569 * $F573:$F577) + AND(AX557 = 0, AX579 = 1) * $F573</f>
        <v>0</v>
      </c>
    </row>
    <row r="581" spans="1:50" ht="15" customHeight="1" x14ac:dyDescent="0.25">
      <c r="A581" s="86"/>
      <c r="B581" s="235"/>
      <c r="C581" s="604"/>
      <c r="D581" s="162"/>
      <c r="E581" s="89"/>
      <c r="F581" s="563"/>
      <c r="G581" s="89"/>
      <c r="H581" s="89"/>
      <c r="I581" s="89"/>
      <c r="J581" s="89"/>
      <c r="K581" s="98"/>
      <c r="L581" s="98"/>
      <c r="M581" s="98"/>
      <c r="N581" s="98"/>
      <c r="O581" s="98"/>
      <c r="P581" s="98"/>
      <c r="Q581" s="98"/>
      <c r="R581" s="98"/>
      <c r="S581" s="98"/>
      <c r="T581" s="98"/>
      <c r="U581" s="98"/>
      <c r="V581" s="98"/>
      <c r="W581" s="98"/>
      <c r="X581" s="98"/>
      <c r="Y581" s="98"/>
      <c r="Z581" s="98"/>
      <c r="AA581" s="98"/>
      <c r="AB581" s="98"/>
      <c r="AC581" s="98"/>
      <c r="AD581" s="98"/>
      <c r="AE581" s="98"/>
      <c r="AF581" s="98"/>
      <c r="AG581" s="98"/>
      <c r="AH581" s="98"/>
      <c r="AI581" s="98"/>
      <c r="AJ581" s="98"/>
      <c r="AK581" s="98"/>
      <c r="AL581" s="98"/>
      <c r="AM581" s="98"/>
      <c r="AN581" s="98"/>
      <c r="AO581" s="98"/>
      <c r="AP581" s="98"/>
      <c r="AQ581" s="98"/>
      <c r="AR581" s="98"/>
      <c r="AS581" s="98"/>
      <c r="AT581" s="98"/>
      <c r="AU581" s="98"/>
      <c r="AV581" s="98"/>
      <c r="AW581" s="98"/>
      <c r="AX581" s="98"/>
    </row>
    <row r="582" spans="1:50" ht="15" customHeight="1" x14ac:dyDescent="0.25">
      <c r="A582" s="86"/>
      <c r="B582" s="677"/>
      <c r="C582" s="604"/>
      <c r="D582" s="162"/>
      <c r="E582" s="52"/>
      <c r="F582" s="560"/>
      <c r="G582" s="52"/>
      <c r="H582" s="52"/>
      <c r="I582" s="89"/>
      <c r="J582" s="56"/>
      <c r="K582" s="54"/>
      <c r="L582" s="54"/>
      <c r="M582" s="54"/>
      <c r="N582" s="54"/>
      <c r="O582" s="54"/>
      <c r="P582" s="54"/>
      <c r="Q582" s="54"/>
      <c r="R582" s="54"/>
      <c r="S582" s="54"/>
      <c r="T582" s="54"/>
      <c r="U582" s="54"/>
      <c r="V582" s="54"/>
      <c r="W582" s="54"/>
      <c r="X582" s="54"/>
      <c r="Y582" s="54"/>
      <c r="Z582" s="54"/>
      <c r="AA582" s="54"/>
      <c r="AB582" s="54"/>
      <c r="AC582" s="54"/>
      <c r="AD582" s="54"/>
      <c r="AE582" s="54"/>
      <c r="AF582" s="54"/>
      <c r="AG582" s="54"/>
      <c r="AH582" s="54"/>
      <c r="AI582" s="54"/>
      <c r="AJ582" s="54"/>
      <c r="AK582" s="54"/>
      <c r="AL582" s="54"/>
      <c r="AM582" s="54"/>
      <c r="AN582" s="54"/>
      <c r="AO582" s="54"/>
      <c r="AP582" s="54"/>
      <c r="AQ582" s="54"/>
      <c r="AR582" s="54"/>
      <c r="AS582" s="54"/>
      <c r="AT582" s="54"/>
      <c r="AU582" s="54"/>
      <c r="AV582" s="54"/>
      <c r="AW582" s="54"/>
      <c r="AX582" s="54"/>
    </row>
    <row r="583" spans="1:50" ht="15" customHeight="1" x14ac:dyDescent="0.25">
      <c r="A583" s="202" t="str">
        <f>Translate!$E$471</f>
        <v>Production sharing: R-factor profit oil sharing</v>
      </c>
      <c r="B583" s="781"/>
      <c r="C583" s="610"/>
      <c r="D583" s="204"/>
      <c r="E583" s="202"/>
      <c r="F583" s="204"/>
      <c r="G583" s="202"/>
      <c r="H583" s="202"/>
      <c r="I583" s="202"/>
      <c r="J583" s="202"/>
      <c r="K583" s="202"/>
      <c r="L583" s="202"/>
      <c r="M583" s="202"/>
      <c r="N583" s="202"/>
      <c r="O583" s="202"/>
      <c r="P583" s="202"/>
      <c r="Q583" s="202"/>
      <c r="R583" s="202"/>
      <c r="S583" s="202"/>
      <c r="T583" s="202"/>
      <c r="U583" s="202"/>
      <c r="V583" s="202"/>
      <c r="W583" s="202"/>
      <c r="X583" s="202"/>
      <c r="Y583" s="202"/>
      <c r="Z583" s="202"/>
      <c r="AA583" s="202"/>
      <c r="AB583" s="202"/>
      <c r="AC583" s="202"/>
      <c r="AD583" s="202"/>
      <c r="AE583" s="202"/>
      <c r="AF583" s="202"/>
      <c r="AG583" s="202"/>
      <c r="AH583" s="202"/>
      <c r="AI583" s="202"/>
      <c r="AJ583" s="202"/>
      <c r="AK583" s="202"/>
      <c r="AL583" s="202"/>
      <c r="AM583" s="202"/>
      <c r="AN583" s="202"/>
      <c r="AO583" s="202"/>
      <c r="AP583" s="202"/>
      <c r="AQ583" s="202"/>
      <c r="AR583" s="202"/>
      <c r="AS583" s="202"/>
      <c r="AT583" s="202"/>
      <c r="AU583" s="202"/>
      <c r="AV583" s="202"/>
      <c r="AW583" s="202"/>
      <c r="AX583" s="202"/>
    </row>
    <row r="584" spans="1:50" ht="15" customHeight="1" x14ac:dyDescent="0.25">
      <c r="A584" s="220"/>
      <c r="B584" s="102"/>
      <c r="C584" s="611"/>
      <c r="D584" s="221"/>
      <c r="E584" s="220"/>
      <c r="F584" s="221"/>
      <c r="G584" s="220"/>
      <c r="H584" s="220"/>
      <c r="I584" s="220"/>
      <c r="J584" s="220"/>
      <c r="K584" s="220"/>
      <c r="L584" s="220"/>
      <c r="M584" s="220"/>
      <c r="N584" s="220"/>
      <c r="O584" s="220"/>
      <c r="P584" s="220"/>
      <c r="Q584" s="220"/>
      <c r="R584" s="220"/>
      <c r="S584" s="220"/>
      <c r="T584" s="220"/>
      <c r="U584" s="220"/>
      <c r="V584" s="220"/>
      <c r="W584" s="220"/>
      <c r="X584" s="220"/>
      <c r="Y584" s="220"/>
      <c r="Z584" s="220"/>
      <c r="AA584" s="220"/>
      <c r="AB584" s="220"/>
      <c r="AC584" s="220"/>
      <c r="AD584" s="220"/>
      <c r="AE584" s="220"/>
      <c r="AF584" s="220"/>
      <c r="AG584" s="220"/>
      <c r="AH584" s="220"/>
      <c r="AI584" s="220"/>
      <c r="AJ584" s="220"/>
      <c r="AK584" s="220"/>
      <c r="AL584" s="220"/>
      <c r="AM584" s="220"/>
      <c r="AN584" s="220"/>
      <c r="AO584" s="220"/>
      <c r="AP584" s="220"/>
      <c r="AQ584" s="220"/>
      <c r="AR584" s="220"/>
      <c r="AS584" s="220"/>
      <c r="AT584" s="220"/>
      <c r="AU584" s="220"/>
      <c r="AV584" s="220"/>
      <c r="AW584" s="220"/>
      <c r="AX584" s="220"/>
    </row>
    <row r="585" spans="1:50" ht="15" customHeight="1" x14ac:dyDescent="0.25">
      <c r="A585" s="86"/>
      <c r="B585" s="235"/>
      <c r="C585" s="604" t="str">
        <f>Translate!$E$497</f>
        <v>R-Factor numerator</v>
      </c>
      <c r="D585" s="162"/>
      <c r="E585" s="89"/>
      <c r="F585" s="563"/>
      <c r="G585" s="89"/>
      <c r="H585" s="89"/>
      <c r="I585" s="89"/>
      <c r="J585" s="89"/>
      <c r="K585" s="98"/>
      <c r="L585" s="98"/>
      <c r="M585" s="98"/>
      <c r="N585" s="98"/>
      <c r="O585" s="98"/>
      <c r="P585" s="98"/>
      <c r="Q585" s="98"/>
      <c r="R585" s="98"/>
      <c r="S585" s="98"/>
      <c r="T585" s="98"/>
      <c r="U585" s="98"/>
      <c r="V585" s="98"/>
      <c r="W585" s="98"/>
      <c r="X585" s="98"/>
      <c r="Y585" s="98"/>
      <c r="Z585" s="98"/>
      <c r="AA585" s="98"/>
      <c r="AB585" s="98"/>
      <c r="AC585" s="98"/>
      <c r="AD585" s="98"/>
      <c r="AE585" s="98"/>
      <c r="AF585" s="98"/>
      <c r="AG585" s="98"/>
      <c r="AH585" s="98"/>
      <c r="AI585" s="98"/>
      <c r="AJ585" s="98"/>
      <c r="AK585" s="98"/>
      <c r="AL585" s="98"/>
      <c r="AM585" s="98"/>
      <c r="AN585" s="98"/>
      <c r="AO585" s="98"/>
      <c r="AP585" s="98"/>
      <c r="AQ585" s="98"/>
      <c r="AR585" s="98"/>
      <c r="AS585" s="98"/>
      <c r="AT585" s="98"/>
      <c r="AU585" s="98"/>
      <c r="AV585" s="98"/>
      <c r="AW585" s="98"/>
      <c r="AX585" s="98"/>
    </row>
    <row r="586" spans="1:50" ht="15" customHeight="1" x14ac:dyDescent="0.25">
      <c r="A586" s="241"/>
      <c r="B586" s="675"/>
      <c r="C586" s="615"/>
      <c r="D586" s="64" t="str">
        <f>Translate!E529</f>
        <v>add</v>
      </c>
      <c r="E586" s="55" t="str">
        <f t="shared" ref="E586:AX586" si="160" xml:space="preserve"> E$521</f>
        <v>PSC: Costs recovered (cost oil)</v>
      </c>
      <c r="F586" s="64">
        <f t="shared" si="160"/>
        <v>0</v>
      </c>
      <c r="G586" s="55" t="str">
        <f t="shared" si="160"/>
        <v>US$ mn</v>
      </c>
      <c r="H586" s="55">
        <f t="shared" si="160"/>
        <v>0</v>
      </c>
      <c r="I586" s="55">
        <f t="shared" ca="1" si="160"/>
        <v>0</v>
      </c>
      <c r="J586" s="55">
        <f t="shared" si="160"/>
        <v>0</v>
      </c>
      <c r="K586" s="55">
        <f t="shared" ca="1" si="160"/>
        <v>0</v>
      </c>
      <c r="L586" s="55">
        <f t="shared" ca="1" si="160"/>
        <v>0</v>
      </c>
      <c r="M586" s="55">
        <f t="shared" ca="1" si="160"/>
        <v>0</v>
      </c>
      <c r="N586" s="55">
        <f t="shared" ca="1" si="160"/>
        <v>0</v>
      </c>
      <c r="O586" s="55">
        <f t="shared" ca="1" si="160"/>
        <v>0</v>
      </c>
      <c r="P586" s="55">
        <f t="shared" ca="1" si="160"/>
        <v>0</v>
      </c>
      <c r="Q586" s="55">
        <f t="shared" ca="1" si="160"/>
        <v>0</v>
      </c>
      <c r="R586" s="55">
        <f t="shared" ca="1" si="160"/>
        <v>0</v>
      </c>
      <c r="S586" s="55">
        <f t="shared" ca="1" si="160"/>
        <v>0</v>
      </c>
      <c r="T586" s="55">
        <f t="shared" ca="1" si="160"/>
        <v>0</v>
      </c>
      <c r="U586" s="55">
        <f t="shared" ca="1" si="160"/>
        <v>0</v>
      </c>
      <c r="V586" s="55">
        <f t="shared" ca="1" si="160"/>
        <v>0</v>
      </c>
      <c r="W586" s="55">
        <f t="shared" ca="1" si="160"/>
        <v>0</v>
      </c>
      <c r="X586" s="55">
        <f t="shared" ca="1" si="160"/>
        <v>0</v>
      </c>
      <c r="Y586" s="55">
        <f t="shared" ca="1" si="160"/>
        <v>0</v>
      </c>
      <c r="Z586" s="55">
        <f t="shared" ca="1" si="160"/>
        <v>0</v>
      </c>
      <c r="AA586" s="55">
        <f t="shared" ca="1" si="160"/>
        <v>0</v>
      </c>
      <c r="AB586" s="55">
        <f t="shared" ca="1" si="160"/>
        <v>0</v>
      </c>
      <c r="AC586" s="55">
        <f t="shared" ca="1" si="160"/>
        <v>0</v>
      </c>
      <c r="AD586" s="55">
        <f t="shared" ca="1" si="160"/>
        <v>0</v>
      </c>
      <c r="AE586" s="55">
        <f t="shared" ca="1" si="160"/>
        <v>0</v>
      </c>
      <c r="AF586" s="55">
        <f t="shared" ca="1" si="160"/>
        <v>0</v>
      </c>
      <c r="AG586" s="55">
        <f t="shared" ca="1" si="160"/>
        <v>0</v>
      </c>
      <c r="AH586" s="55">
        <f t="shared" ca="1" si="160"/>
        <v>0</v>
      </c>
      <c r="AI586" s="55">
        <f t="shared" ca="1" si="160"/>
        <v>0</v>
      </c>
      <c r="AJ586" s="55">
        <f t="shared" ca="1" si="160"/>
        <v>0</v>
      </c>
      <c r="AK586" s="55">
        <f t="shared" ca="1" si="160"/>
        <v>0</v>
      </c>
      <c r="AL586" s="55">
        <f t="shared" ca="1" si="160"/>
        <v>0</v>
      </c>
      <c r="AM586" s="55">
        <f t="shared" ca="1" si="160"/>
        <v>0</v>
      </c>
      <c r="AN586" s="55">
        <f t="shared" ca="1" si="160"/>
        <v>0</v>
      </c>
      <c r="AO586" s="55">
        <f t="shared" ca="1" si="160"/>
        <v>0</v>
      </c>
      <c r="AP586" s="55">
        <f t="shared" ca="1" si="160"/>
        <v>0</v>
      </c>
      <c r="AQ586" s="55">
        <f t="shared" ca="1" si="160"/>
        <v>0</v>
      </c>
      <c r="AR586" s="55">
        <f t="shared" ca="1" si="160"/>
        <v>0</v>
      </c>
      <c r="AS586" s="55">
        <f t="shared" ca="1" si="160"/>
        <v>0</v>
      </c>
      <c r="AT586" s="55">
        <f t="shared" ca="1" si="160"/>
        <v>0</v>
      </c>
      <c r="AU586" s="55">
        <f t="shared" ca="1" si="160"/>
        <v>0</v>
      </c>
      <c r="AV586" s="55">
        <f t="shared" ca="1" si="160"/>
        <v>0</v>
      </c>
      <c r="AW586" s="55">
        <f t="shared" ca="1" si="160"/>
        <v>0</v>
      </c>
      <c r="AX586" s="55">
        <f t="shared" ca="1" si="160"/>
        <v>0</v>
      </c>
    </row>
    <row r="587" spans="1:50" ht="15" customHeight="1" x14ac:dyDescent="0.25">
      <c r="A587" s="241"/>
      <c r="B587" s="675"/>
      <c r="C587" s="615"/>
      <c r="D587" s="64" t="str">
        <f>Translate!E529</f>
        <v>add</v>
      </c>
      <c r="E587" s="55" t="str">
        <f t="shared" ref="E587:AX587" si="161" xml:space="preserve"> E$534</f>
        <v>PSC: Profit oil</v>
      </c>
      <c r="F587" s="64">
        <f t="shared" si="161"/>
        <v>0</v>
      </c>
      <c r="G587" s="55" t="str">
        <f t="shared" si="161"/>
        <v>US$ mn</v>
      </c>
      <c r="H587" s="55">
        <f t="shared" si="161"/>
        <v>0</v>
      </c>
      <c r="I587" s="55">
        <f t="shared" ca="1" si="161"/>
        <v>0</v>
      </c>
      <c r="J587" s="55">
        <f t="shared" si="161"/>
        <v>0</v>
      </c>
      <c r="K587" s="55">
        <f t="shared" ca="1" si="161"/>
        <v>0</v>
      </c>
      <c r="L587" s="55">
        <f t="shared" ca="1" si="161"/>
        <v>0</v>
      </c>
      <c r="M587" s="55">
        <f t="shared" ca="1" si="161"/>
        <v>0</v>
      </c>
      <c r="N587" s="55">
        <f t="shared" ca="1" si="161"/>
        <v>0</v>
      </c>
      <c r="O587" s="55">
        <f t="shared" ca="1" si="161"/>
        <v>0</v>
      </c>
      <c r="P587" s="55">
        <f t="shared" ca="1" si="161"/>
        <v>0</v>
      </c>
      <c r="Q587" s="55">
        <f t="shared" ca="1" si="161"/>
        <v>0</v>
      </c>
      <c r="R587" s="55">
        <f t="shared" ca="1" si="161"/>
        <v>0</v>
      </c>
      <c r="S587" s="55">
        <f t="shared" ca="1" si="161"/>
        <v>0</v>
      </c>
      <c r="T587" s="55">
        <f t="shared" ca="1" si="161"/>
        <v>0</v>
      </c>
      <c r="U587" s="55">
        <f t="shared" ca="1" si="161"/>
        <v>0</v>
      </c>
      <c r="V587" s="55">
        <f t="shared" ca="1" si="161"/>
        <v>0</v>
      </c>
      <c r="W587" s="55">
        <f t="shared" ca="1" si="161"/>
        <v>0</v>
      </c>
      <c r="X587" s="55">
        <f t="shared" ca="1" si="161"/>
        <v>0</v>
      </c>
      <c r="Y587" s="55">
        <f t="shared" ca="1" si="161"/>
        <v>0</v>
      </c>
      <c r="Z587" s="55">
        <f t="shared" ca="1" si="161"/>
        <v>0</v>
      </c>
      <c r="AA587" s="55">
        <f t="shared" ca="1" si="161"/>
        <v>0</v>
      </c>
      <c r="AB587" s="55">
        <f t="shared" ca="1" si="161"/>
        <v>0</v>
      </c>
      <c r="AC587" s="55">
        <f t="shared" ca="1" si="161"/>
        <v>0</v>
      </c>
      <c r="AD587" s="55">
        <f t="shared" ca="1" si="161"/>
        <v>0</v>
      </c>
      <c r="AE587" s="55">
        <f t="shared" ca="1" si="161"/>
        <v>0</v>
      </c>
      <c r="AF587" s="55">
        <f t="shared" ca="1" si="161"/>
        <v>0</v>
      </c>
      <c r="AG587" s="55">
        <f t="shared" ca="1" si="161"/>
        <v>0</v>
      </c>
      <c r="AH587" s="55">
        <f t="shared" ca="1" si="161"/>
        <v>0</v>
      </c>
      <c r="AI587" s="55">
        <f t="shared" ca="1" si="161"/>
        <v>0</v>
      </c>
      <c r="AJ587" s="55">
        <f t="shared" ca="1" si="161"/>
        <v>0</v>
      </c>
      <c r="AK587" s="55">
        <f t="shared" ca="1" si="161"/>
        <v>0</v>
      </c>
      <c r="AL587" s="55">
        <f t="shared" ca="1" si="161"/>
        <v>0</v>
      </c>
      <c r="AM587" s="55">
        <f t="shared" ca="1" si="161"/>
        <v>0</v>
      </c>
      <c r="AN587" s="55">
        <f t="shared" ca="1" si="161"/>
        <v>0</v>
      </c>
      <c r="AO587" s="55">
        <f t="shared" ca="1" si="161"/>
        <v>0</v>
      </c>
      <c r="AP587" s="55">
        <f t="shared" ca="1" si="161"/>
        <v>0</v>
      </c>
      <c r="AQ587" s="55">
        <f t="shared" ca="1" si="161"/>
        <v>0</v>
      </c>
      <c r="AR587" s="55">
        <f t="shared" ca="1" si="161"/>
        <v>0</v>
      </c>
      <c r="AS587" s="55">
        <f t="shared" ca="1" si="161"/>
        <v>0</v>
      </c>
      <c r="AT587" s="55">
        <f t="shared" ca="1" si="161"/>
        <v>0</v>
      </c>
      <c r="AU587" s="55">
        <f t="shared" ca="1" si="161"/>
        <v>0</v>
      </c>
      <c r="AV587" s="55">
        <f t="shared" ca="1" si="161"/>
        <v>0</v>
      </c>
      <c r="AW587" s="55">
        <f t="shared" ca="1" si="161"/>
        <v>0</v>
      </c>
      <c r="AX587" s="55">
        <f t="shared" ca="1" si="161"/>
        <v>0</v>
      </c>
    </row>
    <row r="588" spans="1:50" s="40" customFormat="1" ht="15" customHeight="1" x14ac:dyDescent="0.25">
      <c r="A588" s="139"/>
      <c r="B588" s="677"/>
      <c r="C588" s="613"/>
      <c r="D588" s="351" t="str">
        <f>Translate!E530</f>
        <v>less</v>
      </c>
      <c r="E588" s="140" t="str">
        <f xml:space="preserve"> ProjectCashflows!E$240</f>
        <v>Replacement capital costs, after ELT</v>
      </c>
      <c r="F588" s="540">
        <f xml:space="preserve"> ProjectCashflows!F$240</f>
        <v>0</v>
      </c>
      <c r="G588" s="140" t="str">
        <f xml:space="preserve"> ProjectCashflows!G$240</f>
        <v>US$ mn</v>
      </c>
      <c r="H588" s="140">
        <f xml:space="preserve"> ProjectCashflows!H$240</f>
        <v>0</v>
      </c>
      <c r="I588" s="140">
        <f ca="1" xml:space="preserve"> ProjectCashflows!I$240</f>
        <v>0</v>
      </c>
      <c r="J588" s="140">
        <f xml:space="preserve"> ProjectCashflows!J$240</f>
        <v>0</v>
      </c>
      <c r="K588" s="140">
        <f ca="1" xml:space="preserve"> ProjectCashflows!K$240</f>
        <v>0</v>
      </c>
      <c r="L588" s="140">
        <f ca="1" xml:space="preserve"> ProjectCashflows!L$240</f>
        <v>0</v>
      </c>
      <c r="M588" s="140">
        <f ca="1" xml:space="preserve"> ProjectCashflows!M$240</f>
        <v>0</v>
      </c>
      <c r="N588" s="140">
        <f ca="1" xml:space="preserve"> ProjectCashflows!N$240</f>
        <v>0</v>
      </c>
      <c r="O588" s="140">
        <f ca="1" xml:space="preserve"> ProjectCashflows!O$240</f>
        <v>0</v>
      </c>
      <c r="P588" s="140">
        <f ca="1" xml:space="preserve"> ProjectCashflows!P$240</f>
        <v>0</v>
      </c>
      <c r="Q588" s="140">
        <f ca="1" xml:space="preserve"> ProjectCashflows!Q$240</f>
        <v>0</v>
      </c>
      <c r="R588" s="140">
        <f ca="1" xml:space="preserve"> ProjectCashflows!R$240</f>
        <v>0</v>
      </c>
      <c r="S588" s="140">
        <f ca="1" xml:space="preserve"> ProjectCashflows!S$240</f>
        <v>0</v>
      </c>
      <c r="T588" s="140">
        <f ca="1" xml:space="preserve"> ProjectCashflows!T$240</f>
        <v>0</v>
      </c>
      <c r="U588" s="140">
        <f ca="1" xml:space="preserve"> ProjectCashflows!U$240</f>
        <v>0</v>
      </c>
      <c r="V588" s="140">
        <f ca="1" xml:space="preserve"> ProjectCashflows!V$240</f>
        <v>0</v>
      </c>
      <c r="W588" s="140">
        <f ca="1" xml:space="preserve"> ProjectCashflows!W$240</f>
        <v>0</v>
      </c>
      <c r="X588" s="140">
        <f ca="1" xml:space="preserve"> ProjectCashflows!X$240</f>
        <v>0</v>
      </c>
      <c r="Y588" s="140">
        <f ca="1" xml:space="preserve"> ProjectCashflows!Y$240</f>
        <v>0</v>
      </c>
      <c r="Z588" s="140">
        <f ca="1" xml:space="preserve"> ProjectCashflows!Z$240</f>
        <v>0</v>
      </c>
      <c r="AA588" s="140">
        <f ca="1" xml:space="preserve"> ProjectCashflows!AA$240</f>
        <v>0</v>
      </c>
      <c r="AB588" s="140">
        <f ca="1" xml:space="preserve"> ProjectCashflows!AB$240</f>
        <v>0</v>
      </c>
      <c r="AC588" s="140">
        <f ca="1" xml:space="preserve"> ProjectCashflows!AC$240</f>
        <v>0</v>
      </c>
      <c r="AD588" s="140">
        <f ca="1" xml:space="preserve"> ProjectCashflows!AD$240</f>
        <v>0</v>
      </c>
      <c r="AE588" s="140">
        <f ca="1" xml:space="preserve"> ProjectCashflows!AE$240</f>
        <v>0</v>
      </c>
      <c r="AF588" s="140">
        <f ca="1" xml:space="preserve"> ProjectCashflows!AF$240</f>
        <v>0</v>
      </c>
      <c r="AG588" s="140">
        <f ca="1" xml:space="preserve"> ProjectCashflows!AG$240</f>
        <v>0</v>
      </c>
      <c r="AH588" s="140">
        <f ca="1" xml:space="preserve"> ProjectCashflows!AH$240</f>
        <v>0</v>
      </c>
      <c r="AI588" s="140">
        <f ca="1" xml:space="preserve"> ProjectCashflows!AI$240</f>
        <v>0</v>
      </c>
      <c r="AJ588" s="140">
        <f ca="1" xml:space="preserve"> ProjectCashflows!AJ$240</f>
        <v>0</v>
      </c>
      <c r="AK588" s="140">
        <f ca="1" xml:space="preserve"> ProjectCashflows!AK$240</f>
        <v>0</v>
      </c>
      <c r="AL588" s="140">
        <f ca="1" xml:space="preserve"> ProjectCashflows!AL$240</f>
        <v>0</v>
      </c>
      <c r="AM588" s="140">
        <f ca="1" xml:space="preserve"> ProjectCashflows!AM$240</f>
        <v>0</v>
      </c>
      <c r="AN588" s="140">
        <f ca="1" xml:space="preserve"> ProjectCashflows!AN$240</f>
        <v>0</v>
      </c>
      <c r="AO588" s="140">
        <f ca="1" xml:space="preserve"> ProjectCashflows!AO$240</f>
        <v>0</v>
      </c>
      <c r="AP588" s="140">
        <f ca="1" xml:space="preserve"> ProjectCashflows!AP$240</f>
        <v>0</v>
      </c>
      <c r="AQ588" s="140">
        <f ca="1" xml:space="preserve"> ProjectCashflows!AQ$240</f>
        <v>0</v>
      </c>
      <c r="AR588" s="140">
        <f ca="1" xml:space="preserve"> ProjectCashflows!AR$240</f>
        <v>0</v>
      </c>
      <c r="AS588" s="140">
        <f ca="1" xml:space="preserve"> ProjectCashflows!AS$240</f>
        <v>0</v>
      </c>
      <c r="AT588" s="140">
        <f ca="1" xml:space="preserve"> ProjectCashflows!AT$240</f>
        <v>0</v>
      </c>
      <c r="AU588" s="140">
        <f ca="1" xml:space="preserve"> ProjectCashflows!AU$240</f>
        <v>0</v>
      </c>
      <c r="AV588" s="140">
        <f ca="1" xml:space="preserve"> ProjectCashflows!AV$240</f>
        <v>0</v>
      </c>
      <c r="AW588" s="140">
        <f ca="1" xml:space="preserve"> ProjectCashflows!AW$240</f>
        <v>0</v>
      </c>
      <c r="AX588" s="140">
        <f ca="1" xml:space="preserve"> ProjectCashflows!AX$240</f>
        <v>0</v>
      </c>
    </row>
    <row r="589" spans="1:50" s="40" customFormat="1" ht="15" customHeight="1" x14ac:dyDescent="0.25">
      <c r="A589" s="222"/>
      <c r="B589" s="675"/>
      <c r="C589" s="634"/>
      <c r="D589" s="351" t="str">
        <f>Translate!E530</f>
        <v>less</v>
      </c>
      <c r="E589" s="140" t="str">
        <f xml:space="preserve"> ProjectCashflows!E$241</f>
        <v>Operating costs, after ELT</v>
      </c>
      <c r="F589" s="540">
        <f xml:space="preserve"> ProjectCashflows!F$241</f>
        <v>0</v>
      </c>
      <c r="G589" s="140" t="str">
        <f xml:space="preserve"> ProjectCashflows!G$241</f>
        <v>US$ mn</v>
      </c>
      <c r="H589" s="140">
        <f xml:space="preserve"> ProjectCashflows!H$241</f>
        <v>0</v>
      </c>
      <c r="I589" s="140">
        <f ca="1" xml:space="preserve"> ProjectCashflows!I$241</f>
        <v>6159.112593390113</v>
      </c>
      <c r="J589" s="140">
        <f xml:space="preserve"> ProjectCashflows!J$241</f>
        <v>0</v>
      </c>
      <c r="K589" s="140">
        <f ca="1" xml:space="preserve"> ProjectCashflows!K$241</f>
        <v>0</v>
      </c>
      <c r="L589" s="140">
        <f ca="1" xml:space="preserve"> ProjectCashflows!L$241</f>
        <v>0</v>
      </c>
      <c r="M589" s="140">
        <f ca="1" xml:space="preserve"> ProjectCashflows!M$241</f>
        <v>0</v>
      </c>
      <c r="N589" s="140">
        <f ca="1" xml:space="preserve"> ProjectCashflows!N$241</f>
        <v>0</v>
      </c>
      <c r="O589" s="140">
        <f ca="1" xml:space="preserve"> ProjectCashflows!O$241</f>
        <v>54.121608000000002</v>
      </c>
      <c r="P589" s="140">
        <f ca="1" xml:space="preserve"> ProjectCashflows!P$241</f>
        <v>198.73454457599999</v>
      </c>
      <c r="Q589" s="140">
        <f ca="1" xml:space="preserve"> ProjectCashflows!Q$241</f>
        <v>292.80222900864004</v>
      </c>
      <c r="R589" s="140">
        <f ca="1" xml:space="preserve"> ProjectCashflows!R$241</f>
        <v>298.65827358881279</v>
      </c>
      <c r="S589" s="140">
        <f ca="1" xml:space="preserve"> ProjectCashflows!S$241</f>
        <v>304.63143906058912</v>
      </c>
      <c r="T589" s="140">
        <f ca="1" xml:space="preserve"> ProjectCashflows!T$241</f>
        <v>310.72406784180089</v>
      </c>
      <c r="U589" s="140">
        <f ca="1" xml:space="preserve"> ProjectCashflows!U$241</f>
        <v>316.93854919863691</v>
      </c>
      <c r="V589" s="140">
        <f ca="1" xml:space="preserve"> ProjectCashflows!V$241</f>
        <v>323.27732018260963</v>
      </c>
      <c r="W589" s="140">
        <f ca="1" xml:space="preserve"> ProjectCashflows!W$241</f>
        <v>329.74286658626181</v>
      </c>
      <c r="X589" s="140">
        <f ca="1" xml:space="preserve"> ProjectCashflows!X$241</f>
        <v>336.33772391798703</v>
      </c>
      <c r="Y589" s="140">
        <f ca="1" xml:space="preserve"> ProjectCashflows!Y$241</f>
        <v>343.06447839634683</v>
      </c>
      <c r="Z589" s="140">
        <f ca="1" xml:space="preserve"> ProjectCashflows!Z$241</f>
        <v>349.92576796427375</v>
      </c>
      <c r="AA589" s="140">
        <f ca="1" xml:space="preserve"> ProjectCashflows!AA$241</f>
        <v>356.92428332355922</v>
      </c>
      <c r="AB589" s="140">
        <f ca="1" xml:space="preserve"> ProjectCashflows!AB$241</f>
        <v>364.06276899003046</v>
      </c>
      <c r="AC589" s="140">
        <f ca="1" xml:space="preserve"> ProjectCashflows!AC$241</f>
        <v>214.23693713644101</v>
      </c>
      <c r="AD589" s="140">
        <f ca="1" xml:space="preserve"> ProjectCashflows!AD$241</f>
        <v>203.95356415389182</v>
      </c>
      <c r="AE589" s="140">
        <f ca="1" xml:space="preserve"> ProjectCashflows!AE$241</f>
        <v>178.3136875174026</v>
      </c>
      <c r="AF589" s="140">
        <f ca="1" xml:space="preserve"> ProjectCashflows!AF$241</f>
        <v>168.23896417266934</v>
      </c>
      <c r="AG589" s="140">
        <f ca="1" xml:space="preserve"> ProjectCashflows!AG$241</f>
        <v>154.59796707758807</v>
      </c>
      <c r="AH589" s="140">
        <f ca="1" xml:space="preserve"> ProjectCashflows!AH$241</f>
        <v>149.80543009818282</v>
      </c>
      <c r="AI589" s="140">
        <f ca="1" xml:space="preserve"> ProjectCashflows!AI$241</f>
        <v>144.75935245277034</v>
      </c>
      <c r="AJ589" s="140">
        <f ca="1" xml:space="preserve"> ProjectCashflows!AJ$241</f>
        <v>139.45150952950212</v>
      </c>
      <c r="AK589" s="140">
        <f ca="1" xml:space="preserve"> ProjectCashflows!AK$241</f>
        <v>133.87344914832201</v>
      </c>
      <c r="AL589" s="140">
        <f ca="1" xml:space="preserve"> ProjectCashflows!AL$241</f>
        <v>128.01648574808294</v>
      </c>
      <c r="AM589" s="140">
        <f ca="1" xml:space="preserve"> ProjectCashflows!AM$241</f>
        <v>121.87169443217496</v>
      </c>
      <c r="AN589" s="140">
        <f ca="1" xml:space="preserve"> ProjectCashflows!AN$241</f>
        <v>124.30912832081846</v>
      </c>
      <c r="AO589" s="140">
        <f ca="1" xml:space="preserve"> ProjectCashflows!AO$241</f>
        <v>117.73850296671806</v>
      </c>
      <c r="AP589" s="140">
        <f ca="1" xml:space="preserve"> ProjectCashflows!AP$241</f>
        <v>0</v>
      </c>
      <c r="AQ589" s="140">
        <f ca="1" xml:space="preserve"> ProjectCashflows!AQ$241</f>
        <v>0</v>
      </c>
      <c r="AR589" s="140">
        <f ca="1" xml:space="preserve"> ProjectCashflows!AR$241</f>
        <v>0</v>
      </c>
      <c r="AS589" s="140">
        <f ca="1" xml:space="preserve"> ProjectCashflows!AS$241</f>
        <v>0</v>
      </c>
      <c r="AT589" s="140">
        <f ca="1" xml:space="preserve"> ProjectCashflows!AT$241</f>
        <v>0</v>
      </c>
      <c r="AU589" s="140">
        <f ca="1" xml:space="preserve"> ProjectCashflows!AU$241</f>
        <v>0</v>
      </c>
      <c r="AV589" s="140">
        <f ca="1" xml:space="preserve"> ProjectCashflows!AV$241</f>
        <v>0</v>
      </c>
      <c r="AW589" s="140">
        <f ca="1" xml:space="preserve"> ProjectCashflows!AW$241</f>
        <v>0</v>
      </c>
      <c r="AX589" s="140">
        <f ca="1" xml:space="preserve"> ProjectCashflows!AX$241</f>
        <v>0</v>
      </c>
    </row>
    <row r="590" spans="1:50" ht="15" customHeight="1" x14ac:dyDescent="0.25">
      <c r="A590" s="241"/>
      <c r="B590" s="675"/>
      <c r="C590" s="615"/>
      <c r="D590" s="217" t="str">
        <f>Translate!E530</f>
        <v>less</v>
      </c>
      <c r="E590" s="55" t="str">
        <f t="shared" ref="E590:AX590" si="162" xml:space="preserve"> E$490</f>
        <v>Net decommissioning cashflows including fund</v>
      </c>
      <c r="F590" s="64">
        <f t="shared" si="162"/>
        <v>0</v>
      </c>
      <c r="G590" s="55" t="str">
        <f t="shared" si="162"/>
        <v>US$ mn</v>
      </c>
      <c r="H590" s="55">
        <f t="shared" si="162"/>
        <v>0</v>
      </c>
      <c r="I590" s="55">
        <f t="shared" ca="1" si="162"/>
        <v>1142.4449806063617</v>
      </c>
      <c r="J590" s="55">
        <f t="shared" si="162"/>
        <v>0</v>
      </c>
      <c r="K590" s="55">
        <f t="shared" ca="1" si="162"/>
        <v>0</v>
      </c>
      <c r="L590" s="55">
        <f t="shared" ca="1" si="162"/>
        <v>0</v>
      </c>
      <c r="M590" s="55">
        <f t="shared" ca="1" si="162"/>
        <v>0</v>
      </c>
      <c r="N590" s="55">
        <f t="shared" ca="1" si="162"/>
        <v>0</v>
      </c>
      <c r="O590" s="55">
        <f t="shared" ca="1" si="162"/>
        <v>0</v>
      </c>
      <c r="P590" s="55">
        <f t="shared" ca="1" si="162"/>
        <v>0</v>
      </c>
      <c r="Q590" s="55">
        <f t="shared" ca="1" si="162"/>
        <v>0</v>
      </c>
      <c r="R590" s="55">
        <f t="shared" ca="1" si="162"/>
        <v>0</v>
      </c>
      <c r="S590" s="55">
        <f t="shared" ca="1" si="162"/>
        <v>0</v>
      </c>
      <c r="T590" s="55">
        <f t="shared" ca="1" si="162"/>
        <v>0</v>
      </c>
      <c r="U590" s="55">
        <f t="shared" ca="1" si="162"/>
        <v>0</v>
      </c>
      <c r="V590" s="55">
        <f t="shared" ca="1" si="162"/>
        <v>0</v>
      </c>
      <c r="W590" s="55">
        <f t="shared" ca="1" si="162"/>
        <v>63.743472965385962</v>
      </c>
      <c r="X590" s="55">
        <f t="shared" ca="1" si="162"/>
        <v>63.743472965385962</v>
      </c>
      <c r="Y590" s="55">
        <f t="shared" ca="1" si="162"/>
        <v>63.743472965385962</v>
      </c>
      <c r="Z590" s="55">
        <f t="shared" ca="1" si="162"/>
        <v>63.743472965385962</v>
      </c>
      <c r="AA590" s="55">
        <f t="shared" ca="1" si="162"/>
        <v>63.743472965385962</v>
      </c>
      <c r="AB590" s="55">
        <f t="shared" ca="1" si="162"/>
        <v>63.743472965385962</v>
      </c>
      <c r="AC590" s="55">
        <f t="shared" ca="1" si="162"/>
        <v>63.743472965385962</v>
      </c>
      <c r="AD590" s="55">
        <f t="shared" ca="1" si="162"/>
        <v>63.743472965385962</v>
      </c>
      <c r="AE590" s="55">
        <f t="shared" ca="1" si="162"/>
        <v>63.743472965385962</v>
      </c>
      <c r="AF590" s="55">
        <f t="shared" ca="1" si="162"/>
        <v>63.743472965385962</v>
      </c>
      <c r="AG590" s="55">
        <f t="shared" ca="1" si="162"/>
        <v>63.743472965385962</v>
      </c>
      <c r="AH590" s="55">
        <f t="shared" ca="1" si="162"/>
        <v>63.743472965385962</v>
      </c>
      <c r="AI590" s="55">
        <f t="shared" ca="1" si="162"/>
        <v>63.743472965385962</v>
      </c>
      <c r="AJ590" s="55">
        <f t="shared" ca="1" si="162"/>
        <v>63.743472965385962</v>
      </c>
      <c r="AK590" s="55">
        <f t="shared" ca="1" si="162"/>
        <v>63.743472965385962</v>
      </c>
      <c r="AL590" s="55">
        <f t="shared" ca="1" si="162"/>
        <v>63.743472965385934</v>
      </c>
      <c r="AM590" s="55">
        <f t="shared" ca="1" si="162"/>
        <v>40.849804386728749</v>
      </c>
      <c r="AN590" s="55">
        <f t="shared" ca="1" si="162"/>
        <v>40.849804386728749</v>
      </c>
      <c r="AO590" s="55">
        <f t="shared" ca="1" si="162"/>
        <v>40.849804386728749</v>
      </c>
      <c r="AP590" s="55">
        <f t="shared" ca="1" si="162"/>
        <v>0</v>
      </c>
      <c r="AQ590" s="55">
        <f t="shared" ca="1" si="162"/>
        <v>0</v>
      </c>
      <c r="AR590" s="55">
        <f t="shared" ca="1" si="162"/>
        <v>0</v>
      </c>
      <c r="AS590" s="55">
        <f t="shared" ca="1" si="162"/>
        <v>0</v>
      </c>
      <c r="AT590" s="55">
        <f t="shared" ca="1" si="162"/>
        <v>0</v>
      </c>
      <c r="AU590" s="55">
        <f t="shared" ca="1" si="162"/>
        <v>0</v>
      </c>
      <c r="AV590" s="55">
        <f t="shared" ca="1" si="162"/>
        <v>0</v>
      </c>
      <c r="AW590" s="55">
        <f t="shared" ca="1" si="162"/>
        <v>0</v>
      </c>
      <c r="AX590" s="55">
        <f t="shared" ca="1" si="162"/>
        <v>0</v>
      </c>
    </row>
    <row r="591" spans="1:50" ht="15" customHeight="1" x14ac:dyDescent="0.25">
      <c r="A591" s="241"/>
      <c r="B591" s="675"/>
      <c r="C591" s="615"/>
      <c r="D591" s="217" t="str">
        <f>Translate!E530</f>
        <v>less</v>
      </c>
      <c r="E591" s="55" t="str">
        <f>E$295</f>
        <v>Carbon tax</v>
      </c>
      <c r="F591" s="55">
        <f t="shared" ref="F591:AX591" si="163">F$295</f>
        <v>0</v>
      </c>
      <c r="G591" s="55" t="str">
        <f t="shared" si="163"/>
        <v>US$ mn</v>
      </c>
      <c r="H591" s="55">
        <f t="shared" si="163"/>
        <v>0</v>
      </c>
      <c r="I591" s="55">
        <f t="shared" ca="1" si="163"/>
        <v>1010.9375317244442</v>
      </c>
      <c r="J591" s="55">
        <f t="shared" si="163"/>
        <v>0</v>
      </c>
      <c r="K591" s="55">
        <f t="shared" ca="1" si="163"/>
        <v>0</v>
      </c>
      <c r="L591" s="55">
        <f t="shared" ca="1" si="163"/>
        <v>0</v>
      </c>
      <c r="M591" s="55">
        <f t="shared" ca="1" si="163"/>
        <v>0</v>
      </c>
      <c r="N591" s="55">
        <f t="shared" ca="1" si="163"/>
        <v>0</v>
      </c>
      <c r="O591" s="55">
        <f t="shared" ca="1" si="163"/>
        <v>4.3932277328165359</v>
      </c>
      <c r="P591" s="55">
        <f t="shared" ca="1" si="163"/>
        <v>34.512210000000003</v>
      </c>
      <c r="Q591" s="55">
        <f t="shared" ca="1" si="163"/>
        <v>69.024420000000006</v>
      </c>
      <c r="R591" s="55">
        <f t="shared" ca="1" si="163"/>
        <v>69.024420000000006</v>
      </c>
      <c r="S591" s="55">
        <f t="shared" ca="1" si="163"/>
        <v>69.024420000000006</v>
      </c>
      <c r="T591" s="55">
        <f t="shared" ca="1" si="163"/>
        <v>69.024420000000006</v>
      </c>
      <c r="U591" s="55">
        <f t="shared" ca="1" si="163"/>
        <v>69.024420000000006</v>
      </c>
      <c r="V591" s="55">
        <f t="shared" ca="1" si="163"/>
        <v>69.024420000000006</v>
      </c>
      <c r="W591" s="55">
        <f t="shared" ca="1" si="163"/>
        <v>69.024420000000006</v>
      </c>
      <c r="X591" s="55">
        <f t="shared" ca="1" si="163"/>
        <v>69.024420000000006</v>
      </c>
      <c r="Y591" s="55">
        <f t="shared" ca="1" si="163"/>
        <v>69.024420000000006</v>
      </c>
      <c r="Z591" s="55">
        <f t="shared" ca="1" si="163"/>
        <v>69.024420000000006</v>
      </c>
      <c r="AA591" s="55">
        <f t="shared" ca="1" si="163"/>
        <v>55.909780200000014</v>
      </c>
      <c r="AB591" s="55">
        <f t="shared" ca="1" si="163"/>
        <v>45.286921962000008</v>
      </c>
      <c r="AC591" s="55">
        <f t="shared" ca="1" si="163"/>
        <v>36.682406789220011</v>
      </c>
      <c r="AD591" s="55">
        <f t="shared" ca="1" si="163"/>
        <v>29.71274949926822</v>
      </c>
      <c r="AE591" s="55">
        <f t="shared" ca="1" si="163"/>
        <v>24.067327094407261</v>
      </c>
      <c r="AF591" s="55">
        <f t="shared" ca="1" si="163"/>
        <v>19.49453494646988</v>
      </c>
      <c r="AG591" s="55">
        <f t="shared" ca="1" si="163"/>
        <v>15.790573306640605</v>
      </c>
      <c r="AH591" s="55">
        <f t="shared" ca="1" si="163"/>
        <v>12.790364378378891</v>
      </c>
      <c r="AI591" s="55">
        <f t="shared" ca="1" si="163"/>
        <v>10.360195146486902</v>
      </c>
      <c r="AJ591" s="55">
        <f t="shared" ca="1" si="163"/>
        <v>8.39175806865439</v>
      </c>
      <c r="AK591" s="55">
        <f t="shared" ca="1" si="163"/>
        <v>6.7973240356100568</v>
      </c>
      <c r="AL591" s="55">
        <f t="shared" ca="1" si="163"/>
        <v>5.5058324688441456</v>
      </c>
      <c r="AM591" s="55">
        <f t="shared" ca="1" si="163"/>
        <v>4.4597242997637574</v>
      </c>
      <c r="AN591" s="55">
        <f t="shared" ca="1" si="163"/>
        <v>3.6123766828086437</v>
      </c>
      <c r="AO591" s="55">
        <f t="shared" ca="1" si="163"/>
        <v>2.9260251130750028</v>
      </c>
      <c r="AP591" s="55">
        <f t="shared" ca="1" si="163"/>
        <v>0</v>
      </c>
      <c r="AQ591" s="55">
        <f t="shared" ca="1" si="163"/>
        <v>0</v>
      </c>
      <c r="AR591" s="55">
        <f t="shared" ca="1" si="163"/>
        <v>0</v>
      </c>
      <c r="AS591" s="55">
        <f t="shared" ca="1" si="163"/>
        <v>0</v>
      </c>
      <c r="AT591" s="55">
        <f t="shared" ca="1" si="163"/>
        <v>0</v>
      </c>
      <c r="AU591" s="55">
        <f t="shared" ca="1" si="163"/>
        <v>0</v>
      </c>
      <c r="AV591" s="55">
        <f t="shared" ca="1" si="163"/>
        <v>0</v>
      </c>
      <c r="AW591" s="55">
        <f t="shared" ca="1" si="163"/>
        <v>0</v>
      </c>
      <c r="AX591" s="55">
        <f t="shared" ca="1" si="163"/>
        <v>0</v>
      </c>
    </row>
    <row r="592" spans="1:50" s="485" customFormat="1" ht="15" customHeight="1" x14ac:dyDescent="0.25">
      <c r="A592" s="502"/>
      <c r="B592" s="684"/>
      <c r="C592" s="645"/>
      <c r="D592" s="508"/>
      <c r="E592" s="482" t="str">
        <f xml:space="preserve"> Translate!E$306</f>
        <v>Contractor net revenue</v>
      </c>
      <c r="F592" s="504"/>
      <c r="G592" s="482" t="str">
        <f xml:space="preserve"> Translate!E$603</f>
        <v>US$ mn</v>
      </c>
      <c r="H592" s="482"/>
      <c r="I592" s="482">
        <f ca="1" xml:space="preserve"> SUM(K592:AX592)</f>
        <v>-8312.4951057209182</v>
      </c>
      <c r="J592" s="482"/>
      <c r="K592" s="482">
        <f ca="1" xml:space="preserve"> K586 + K587 - K588 - K589 - K590 - K591</f>
        <v>0</v>
      </c>
      <c r="L592" s="482">
        <f t="shared" ref="L592:AX592" ca="1" si="164" xml:space="preserve"> L586 + L587 - L588 - L589 - L590 - L591</f>
        <v>0</v>
      </c>
      <c r="M592" s="482">
        <f t="shared" ca="1" si="164"/>
        <v>0</v>
      </c>
      <c r="N592" s="482">
        <f t="shared" ca="1" si="164"/>
        <v>0</v>
      </c>
      <c r="O592" s="482">
        <f t="shared" ca="1" si="164"/>
        <v>-58.514835732816536</v>
      </c>
      <c r="P592" s="482">
        <f t="shared" ca="1" si="164"/>
        <v>-233.246754576</v>
      </c>
      <c r="Q592" s="482">
        <f t="shared" ca="1" si="164"/>
        <v>-361.82664900864006</v>
      </c>
      <c r="R592" s="482">
        <f t="shared" ca="1" si="164"/>
        <v>-367.68269358881281</v>
      </c>
      <c r="S592" s="482">
        <f t="shared" ca="1" si="164"/>
        <v>-373.65585906058914</v>
      </c>
      <c r="T592" s="482">
        <f t="shared" ca="1" si="164"/>
        <v>-379.74848784180091</v>
      </c>
      <c r="U592" s="482">
        <f t="shared" ca="1" si="164"/>
        <v>-385.96296919863693</v>
      </c>
      <c r="V592" s="482">
        <f t="shared" ca="1" si="164"/>
        <v>-392.30174018260965</v>
      </c>
      <c r="W592" s="482">
        <f t="shared" ca="1" si="164"/>
        <v>-462.51075955164782</v>
      </c>
      <c r="X592" s="482">
        <f t="shared" ca="1" si="164"/>
        <v>-469.10561688337299</v>
      </c>
      <c r="Y592" s="482">
        <f t="shared" ca="1" si="164"/>
        <v>-475.83237136173278</v>
      </c>
      <c r="Z592" s="482">
        <f t="shared" ca="1" si="164"/>
        <v>-482.69366092965976</v>
      </c>
      <c r="AA592" s="482">
        <f t="shared" ca="1" si="164"/>
        <v>-476.57753648894516</v>
      </c>
      <c r="AB592" s="482">
        <f t="shared" ca="1" si="164"/>
        <v>-473.09316391741646</v>
      </c>
      <c r="AC592" s="482">
        <f t="shared" ca="1" si="164"/>
        <v>-314.66281689104699</v>
      </c>
      <c r="AD592" s="482">
        <f t="shared" ca="1" si="164"/>
        <v>-297.40978661854598</v>
      </c>
      <c r="AE592" s="482">
        <f t="shared" ca="1" si="164"/>
        <v>-266.12448757719585</v>
      </c>
      <c r="AF592" s="482">
        <f t="shared" ca="1" si="164"/>
        <v>-251.47697208452519</v>
      </c>
      <c r="AG592" s="482">
        <f t="shared" ca="1" si="164"/>
        <v>-234.13201334961462</v>
      </c>
      <c r="AH592" s="482">
        <f t="shared" ca="1" si="164"/>
        <v>-226.33926744194767</v>
      </c>
      <c r="AI592" s="482">
        <f t="shared" ca="1" si="164"/>
        <v>-218.86302056464319</v>
      </c>
      <c r="AJ592" s="482">
        <f t="shared" ca="1" si="164"/>
        <v>-211.58674056354246</v>
      </c>
      <c r="AK592" s="482">
        <f t="shared" ca="1" si="164"/>
        <v>-204.41424614931802</v>
      </c>
      <c r="AL592" s="482">
        <f t="shared" ca="1" si="164"/>
        <v>-197.26579118231302</v>
      </c>
      <c r="AM592" s="482">
        <f t="shared" ca="1" si="164"/>
        <v>-167.18122311866748</v>
      </c>
      <c r="AN592" s="482">
        <f t="shared" ca="1" si="164"/>
        <v>-168.77130939035584</v>
      </c>
      <c r="AO592" s="482">
        <f t="shared" ca="1" si="164"/>
        <v>-161.51433246652181</v>
      </c>
      <c r="AP592" s="482">
        <f t="shared" ca="1" si="164"/>
        <v>0</v>
      </c>
      <c r="AQ592" s="482">
        <f t="shared" ca="1" si="164"/>
        <v>0</v>
      </c>
      <c r="AR592" s="482">
        <f t="shared" ca="1" si="164"/>
        <v>0</v>
      </c>
      <c r="AS592" s="482">
        <f t="shared" ca="1" si="164"/>
        <v>0</v>
      </c>
      <c r="AT592" s="482">
        <f t="shared" ca="1" si="164"/>
        <v>0</v>
      </c>
      <c r="AU592" s="482">
        <f t="shared" ca="1" si="164"/>
        <v>0</v>
      </c>
      <c r="AV592" s="482">
        <f t="shared" ca="1" si="164"/>
        <v>0</v>
      </c>
      <c r="AW592" s="482">
        <f t="shared" ca="1" si="164"/>
        <v>0</v>
      </c>
      <c r="AX592" s="482">
        <f t="shared" ca="1" si="164"/>
        <v>0</v>
      </c>
    </row>
    <row r="593" spans="1:50" ht="15" customHeight="1" x14ac:dyDescent="0.25">
      <c r="A593" s="241"/>
      <c r="B593" s="675"/>
      <c r="C593" s="615"/>
      <c r="D593" s="147"/>
      <c r="E593" s="190" t="str">
        <f xml:space="preserve"> Translate!E$306 &amp; ": " &amp; Translate!E$811</f>
        <v>Contractor net revenue: cumulative</v>
      </c>
      <c r="F593" s="64"/>
      <c r="G593" s="190" t="str">
        <f xml:space="preserve"> Translate!E$603</f>
        <v>US$ mn</v>
      </c>
      <c r="H593" s="190"/>
      <c r="I593" s="48"/>
      <c r="J593" s="236"/>
      <c r="K593" s="55">
        <f t="shared" ref="K593:AX593" ca="1" si="165" xml:space="preserve"> J593 + K592</f>
        <v>0</v>
      </c>
      <c r="L593" s="55">
        <f t="shared" ca="1" si="165"/>
        <v>0</v>
      </c>
      <c r="M593" s="55">
        <f t="shared" ca="1" si="165"/>
        <v>0</v>
      </c>
      <c r="N593" s="55">
        <f t="shared" ca="1" si="165"/>
        <v>0</v>
      </c>
      <c r="O593" s="55">
        <f t="shared" ca="1" si="165"/>
        <v>-58.514835732816536</v>
      </c>
      <c r="P593" s="55">
        <f t="shared" ca="1" si="165"/>
        <v>-291.76159030881655</v>
      </c>
      <c r="Q593" s="55">
        <f t="shared" ca="1" si="165"/>
        <v>-653.58823931745655</v>
      </c>
      <c r="R593" s="55">
        <f t="shared" ca="1" si="165"/>
        <v>-1021.2709329062693</v>
      </c>
      <c r="S593" s="55">
        <f t="shared" ca="1" si="165"/>
        <v>-1394.9267919668584</v>
      </c>
      <c r="T593" s="55">
        <f t="shared" ca="1" si="165"/>
        <v>-1774.6752798086593</v>
      </c>
      <c r="U593" s="55">
        <f t="shared" ca="1" si="165"/>
        <v>-2160.6382490072961</v>
      </c>
      <c r="V593" s="55">
        <f t="shared" ca="1" si="165"/>
        <v>-2552.9399891899056</v>
      </c>
      <c r="W593" s="55">
        <f t="shared" ca="1" si="165"/>
        <v>-3015.4507487415535</v>
      </c>
      <c r="X593" s="55">
        <f t="shared" ca="1" si="165"/>
        <v>-3484.5563656249265</v>
      </c>
      <c r="Y593" s="55">
        <f t="shared" ca="1" si="165"/>
        <v>-3960.3887369866593</v>
      </c>
      <c r="Z593" s="55">
        <f t="shared" ca="1" si="165"/>
        <v>-4443.0823979163188</v>
      </c>
      <c r="AA593" s="55">
        <f t="shared" ca="1" si="165"/>
        <v>-4919.6599344052638</v>
      </c>
      <c r="AB593" s="55">
        <f t="shared" ca="1" si="165"/>
        <v>-5392.7530983226807</v>
      </c>
      <c r="AC593" s="55">
        <f t="shared" ca="1" si="165"/>
        <v>-5707.4159152137272</v>
      </c>
      <c r="AD593" s="55">
        <f t="shared" ca="1" si="165"/>
        <v>-6004.8257018322729</v>
      </c>
      <c r="AE593" s="55">
        <f t="shared" ca="1" si="165"/>
        <v>-6270.9501894094683</v>
      </c>
      <c r="AF593" s="55">
        <f t="shared" ca="1" si="165"/>
        <v>-6522.4271614939935</v>
      </c>
      <c r="AG593" s="55">
        <f t="shared" ca="1" si="165"/>
        <v>-6756.5591748436082</v>
      </c>
      <c r="AH593" s="55">
        <f t="shared" ca="1" si="165"/>
        <v>-6982.8984422855556</v>
      </c>
      <c r="AI593" s="55">
        <f t="shared" ca="1" si="165"/>
        <v>-7201.7614628501988</v>
      </c>
      <c r="AJ593" s="55">
        <f t="shared" ca="1" si="165"/>
        <v>-7413.3482034137414</v>
      </c>
      <c r="AK593" s="55">
        <f t="shared" ca="1" si="165"/>
        <v>-7617.7624495630598</v>
      </c>
      <c r="AL593" s="55">
        <f t="shared" ca="1" si="165"/>
        <v>-7815.0282407453724</v>
      </c>
      <c r="AM593" s="55">
        <f t="shared" ca="1" si="165"/>
        <v>-7982.2094638640401</v>
      </c>
      <c r="AN593" s="55">
        <f t="shared" ca="1" si="165"/>
        <v>-8150.9807732543959</v>
      </c>
      <c r="AO593" s="55">
        <f t="shared" ca="1" si="165"/>
        <v>-8312.4951057209182</v>
      </c>
      <c r="AP593" s="55">
        <f t="shared" ca="1" si="165"/>
        <v>-8312.4951057209182</v>
      </c>
      <c r="AQ593" s="55">
        <f t="shared" ca="1" si="165"/>
        <v>-8312.4951057209182</v>
      </c>
      <c r="AR593" s="55">
        <f t="shared" ca="1" si="165"/>
        <v>-8312.4951057209182</v>
      </c>
      <c r="AS593" s="55">
        <f t="shared" ca="1" si="165"/>
        <v>-8312.4951057209182</v>
      </c>
      <c r="AT593" s="55">
        <f t="shared" ca="1" si="165"/>
        <v>-8312.4951057209182</v>
      </c>
      <c r="AU593" s="55">
        <f t="shared" ca="1" si="165"/>
        <v>-8312.4951057209182</v>
      </c>
      <c r="AV593" s="55">
        <f t="shared" ca="1" si="165"/>
        <v>-8312.4951057209182</v>
      </c>
      <c r="AW593" s="55">
        <f t="shared" ca="1" si="165"/>
        <v>-8312.4951057209182</v>
      </c>
      <c r="AX593" s="55">
        <f t="shared" ca="1" si="165"/>
        <v>-8312.4951057209182</v>
      </c>
    </row>
    <row r="594" spans="1:50" ht="15" customHeight="1" x14ac:dyDescent="0.25">
      <c r="A594" s="86"/>
      <c r="B594" s="677"/>
      <c r="C594" s="604"/>
      <c r="D594" s="162"/>
      <c r="E594" s="52"/>
      <c r="F594" s="169"/>
      <c r="G594" s="52"/>
      <c r="H594" s="52"/>
      <c r="I594" s="89"/>
      <c r="J594" s="56"/>
      <c r="K594" s="56"/>
      <c r="L594" s="56"/>
      <c r="M594" s="56"/>
      <c r="N594" s="56"/>
      <c r="O594" s="56"/>
      <c r="P594" s="56"/>
      <c r="Q594" s="56"/>
      <c r="R594" s="56"/>
      <c r="S594" s="56"/>
      <c r="T594" s="56"/>
      <c r="U594" s="56"/>
      <c r="V594" s="56"/>
      <c r="W594" s="56"/>
      <c r="X594" s="56"/>
      <c r="Y594" s="56"/>
      <c r="Z594" s="56"/>
      <c r="AA594" s="56"/>
      <c r="AB594" s="56"/>
      <c r="AC594" s="56"/>
      <c r="AD594" s="56"/>
      <c r="AE594" s="56"/>
      <c r="AF594" s="56"/>
      <c r="AG594" s="56"/>
      <c r="AH594" s="56"/>
      <c r="AI594" s="56"/>
      <c r="AJ594" s="56"/>
      <c r="AK594" s="56"/>
      <c r="AL594" s="56"/>
      <c r="AM594" s="56"/>
      <c r="AN594" s="56"/>
      <c r="AO594" s="56"/>
      <c r="AP594" s="56"/>
      <c r="AQ594" s="56"/>
      <c r="AR594" s="56"/>
      <c r="AS594" s="56"/>
      <c r="AT594" s="56"/>
      <c r="AU594" s="56"/>
      <c r="AV594" s="56"/>
      <c r="AW594" s="56"/>
      <c r="AX594" s="56"/>
    </row>
    <row r="595" spans="1:50" ht="15" customHeight="1" x14ac:dyDescent="0.25">
      <c r="A595" s="86"/>
      <c r="B595" s="677"/>
      <c r="C595" s="604" t="str">
        <f>Translate!$E$498</f>
        <v>R-Factor denominator</v>
      </c>
      <c r="D595" s="162"/>
      <c r="E595" s="52"/>
      <c r="F595" s="169"/>
      <c r="G595" s="52"/>
      <c r="H595" s="52"/>
      <c r="I595" s="89"/>
      <c r="J595" s="56"/>
      <c r="K595" s="56"/>
      <c r="L595" s="56"/>
      <c r="M595" s="56"/>
      <c r="N595" s="56"/>
      <c r="O595" s="56"/>
      <c r="P595" s="56"/>
      <c r="Q595" s="56"/>
      <c r="R595" s="56"/>
      <c r="S595" s="56"/>
      <c r="T595" s="56"/>
      <c r="U595" s="56"/>
      <c r="V595" s="56"/>
      <c r="W595" s="56"/>
      <c r="X595" s="56"/>
      <c r="Y595" s="56"/>
      <c r="Z595" s="56"/>
      <c r="AA595" s="56"/>
      <c r="AB595" s="56"/>
      <c r="AC595" s="56"/>
      <c r="AD595" s="56"/>
      <c r="AE595" s="56"/>
      <c r="AF595" s="56"/>
      <c r="AG595" s="56"/>
      <c r="AH595" s="56"/>
      <c r="AI595" s="56"/>
      <c r="AJ595" s="56"/>
      <c r="AK595" s="56"/>
      <c r="AL595" s="56"/>
      <c r="AM595" s="56"/>
      <c r="AN595" s="56"/>
      <c r="AO595" s="56"/>
      <c r="AP595" s="56"/>
      <c r="AQ595" s="56"/>
      <c r="AR595" s="56"/>
      <c r="AS595" s="56"/>
      <c r="AT595" s="56"/>
      <c r="AU595" s="56"/>
      <c r="AV595" s="56"/>
      <c r="AW595" s="56"/>
      <c r="AX595" s="56"/>
    </row>
    <row r="596" spans="1:50" s="40" customFormat="1" ht="15" customHeight="1" x14ac:dyDescent="0.25">
      <c r="A596" s="222"/>
      <c r="B596" s="675"/>
      <c r="C596" s="634"/>
      <c r="D596" s="506" t="str">
        <f>Translate!E529</f>
        <v>add</v>
      </c>
      <c r="E596" s="140" t="str">
        <f xml:space="preserve"> ProjectCashflows!E$238</f>
        <v>Exploration costs, after ELT</v>
      </c>
      <c r="F596" s="540">
        <f xml:space="preserve"> ProjectCashflows!F$238</f>
        <v>0</v>
      </c>
      <c r="G596" s="140" t="str">
        <f xml:space="preserve"> ProjectCashflows!G$238</f>
        <v>US$ mn</v>
      </c>
      <c r="H596" s="140">
        <f xml:space="preserve"> ProjectCashflows!H$238</f>
        <v>0</v>
      </c>
      <c r="I596" s="140">
        <f ca="1" xml:space="preserve"> ProjectCashflows!I$238</f>
        <v>420</v>
      </c>
      <c r="J596" s="140">
        <f xml:space="preserve"> ProjectCashflows!J$238</f>
        <v>0</v>
      </c>
      <c r="K596" s="140">
        <f ca="1" xml:space="preserve"> ProjectCashflows!K$238</f>
        <v>420</v>
      </c>
      <c r="L596" s="140">
        <f ca="1" xml:space="preserve"> ProjectCashflows!L$238</f>
        <v>0</v>
      </c>
      <c r="M596" s="140">
        <f ca="1" xml:space="preserve"> ProjectCashflows!M$238</f>
        <v>0</v>
      </c>
      <c r="N596" s="140">
        <f ca="1" xml:space="preserve"> ProjectCashflows!N$238</f>
        <v>0</v>
      </c>
      <c r="O596" s="140">
        <f ca="1" xml:space="preserve"> ProjectCashflows!O$238</f>
        <v>0</v>
      </c>
      <c r="P596" s="140">
        <f ca="1" xml:space="preserve"> ProjectCashflows!P$238</f>
        <v>0</v>
      </c>
      <c r="Q596" s="140">
        <f ca="1" xml:space="preserve"> ProjectCashflows!Q$238</f>
        <v>0</v>
      </c>
      <c r="R596" s="140">
        <f ca="1" xml:space="preserve"> ProjectCashflows!R$238</f>
        <v>0</v>
      </c>
      <c r="S596" s="140">
        <f ca="1" xml:space="preserve"> ProjectCashflows!S$238</f>
        <v>0</v>
      </c>
      <c r="T596" s="140">
        <f ca="1" xml:space="preserve"> ProjectCashflows!T$238</f>
        <v>0</v>
      </c>
      <c r="U596" s="140">
        <f ca="1" xml:space="preserve"> ProjectCashflows!U$238</f>
        <v>0</v>
      </c>
      <c r="V596" s="140">
        <f ca="1" xml:space="preserve"> ProjectCashflows!V$238</f>
        <v>0</v>
      </c>
      <c r="W596" s="140">
        <f ca="1" xml:space="preserve"> ProjectCashflows!W$238</f>
        <v>0</v>
      </c>
      <c r="X596" s="140">
        <f ca="1" xml:space="preserve"> ProjectCashflows!X$238</f>
        <v>0</v>
      </c>
      <c r="Y596" s="140">
        <f ca="1" xml:space="preserve"> ProjectCashflows!Y$238</f>
        <v>0</v>
      </c>
      <c r="Z596" s="140">
        <f ca="1" xml:space="preserve"> ProjectCashflows!Z$238</f>
        <v>0</v>
      </c>
      <c r="AA596" s="140">
        <f ca="1" xml:space="preserve"> ProjectCashflows!AA$238</f>
        <v>0</v>
      </c>
      <c r="AB596" s="140">
        <f ca="1" xml:space="preserve"> ProjectCashflows!AB$238</f>
        <v>0</v>
      </c>
      <c r="AC596" s="140">
        <f ca="1" xml:space="preserve"> ProjectCashflows!AC$238</f>
        <v>0</v>
      </c>
      <c r="AD596" s="140">
        <f ca="1" xml:space="preserve"> ProjectCashflows!AD$238</f>
        <v>0</v>
      </c>
      <c r="AE596" s="140">
        <f ca="1" xml:space="preserve"> ProjectCashflows!AE$238</f>
        <v>0</v>
      </c>
      <c r="AF596" s="140">
        <f ca="1" xml:space="preserve"> ProjectCashflows!AF$238</f>
        <v>0</v>
      </c>
      <c r="AG596" s="140">
        <f ca="1" xml:space="preserve"> ProjectCashflows!AG$238</f>
        <v>0</v>
      </c>
      <c r="AH596" s="140">
        <f ca="1" xml:space="preserve"> ProjectCashflows!AH$238</f>
        <v>0</v>
      </c>
      <c r="AI596" s="140">
        <f ca="1" xml:space="preserve"> ProjectCashflows!AI$238</f>
        <v>0</v>
      </c>
      <c r="AJ596" s="140">
        <f ca="1" xml:space="preserve"> ProjectCashflows!AJ$238</f>
        <v>0</v>
      </c>
      <c r="AK596" s="140">
        <f ca="1" xml:space="preserve"> ProjectCashflows!AK$238</f>
        <v>0</v>
      </c>
      <c r="AL596" s="140">
        <f ca="1" xml:space="preserve"> ProjectCashflows!AL$238</f>
        <v>0</v>
      </c>
      <c r="AM596" s="140">
        <f ca="1" xml:space="preserve"> ProjectCashflows!AM$238</f>
        <v>0</v>
      </c>
      <c r="AN596" s="140">
        <f ca="1" xml:space="preserve"> ProjectCashflows!AN$238</f>
        <v>0</v>
      </c>
      <c r="AO596" s="140">
        <f ca="1" xml:space="preserve"> ProjectCashflows!AO$238</f>
        <v>0</v>
      </c>
      <c r="AP596" s="140">
        <f ca="1" xml:space="preserve"> ProjectCashflows!AP$238</f>
        <v>0</v>
      </c>
      <c r="AQ596" s="140">
        <f ca="1" xml:space="preserve"> ProjectCashflows!AQ$238</f>
        <v>0</v>
      </c>
      <c r="AR596" s="140">
        <f ca="1" xml:space="preserve"> ProjectCashflows!AR$238</f>
        <v>0</v>
      </c>
      <c r="AS596" s="140">
        <f ca="1" xml:space="preserve"> ProjectCashflows!AS$238</f>
        <v>0</v>
      </c>
      <c r="AT596" s="140">
        <f ca="1" xml:space="preserve"> ProjectCashflows!AT$238</f>
        <v>0</v>
      </c>
      <c r="AU596" s="140">
        <f ca="1" xml:space="preserve"> ProjectCashflows!AU$238</f>
        <v>0</v>
      </c>
      <c r="AV596" s="140">
        <f ca="1" xml:space="preserve"> ProjectCashflows!AV$238</f>
        <v>0</v>
      </c>
      <c r="AW596" s="140">
        <f ca="1" xml:space="preserve"> ProjectCashflows!AW$238</f>
        <v>0</v>
      </c>
      <c r="AX596" s="140">
        <f ca="1" xml:space="preserve"> ProjectCashflows!AX$238</f>
        <v>0</v>
      </c>
    </row>
    <row r="597" spans="1:50" s="40" customFormat="1" ht="15" customHeight="1" x14ac:dyDescent="0.25">
      <c r="A597" s="139"/>
      <c r="B597" s="677"/>
      <c r="C597" s="613"/>
      <c r="D597" s="512" t="str">
        <f>Translate!E529</f>
        <v>add</v>
      </c>
      <c r="E597" s="140" t="str">
        <f xml:space="preserve"> ProjectCashflows!E$239</f>
        <v>Development costs, after ELT</v>
      </c>
      <c r="F597" s="540">
        <f xml:space="preserve"> ProjectCashflows!F$239</f>
        <v>0</v>
      </c>
      <c r="G597" s="140" t="str">
        <f xml:space="preserve"> ProjectCashflows!G$239</f>
        <v>US$ mn</v>
      </c>
      <c r="H597" s="140">
        <f xml:space="preserve"> ProjectCashflows!H$239</f>
        <v>0</v>
      </c>
      <c r="I597" s="140">
        <f ca="1" xml:space="preserve"> ProjectCashflows!I$239</f>
        <v>10455.572281430788</v>
      </c>
      <c r="J597" s="140">
        <f xml:space="preserve"> ProjectCashflows!J$239</f>
        <v>0</v>
      </c>
      <c r="K597" s="140">
        <f ca="1" xml:space="preserve"> ProjectCashflows!K$239</f>
        <v>0</v>
      </c>
      <c r="L597" s="140">
        <f ca="1" xml:space="preserve"> ProjectCashflows!L$239</f>
        <v>51</v>
      </c>
      <c r="M597" s="140">
        <f ca="1" xml:space="preserve"> ProjectCashflows!M$239</f>
        <v>312.12</v>
      </c>
      <c r="N597" s="140">
        <f ca="1" xml:space="preserve"> ProjectCashflows!N$239</f>
        <v>1273.4495999999999</v>
      </c>
      <c r="O597" s="140">
        <f ca="1" xml:space="preserve"> ProjectCashflows!O$239</f>
        <v>1298.918592</v>
      </c>
      <c r="P597" s="140">
        <f ca="1" xml:space="preserve"> ProjectCashflows!P$239</f>
        <v>2318.5696867199999</v>
      </c>
      <c r="Q597" s="140">
        <f ca="1" xml:space="preserve"> ProjectCashflows!Q$239</f>
        <v>1238.7786611904</v>
      </c>
      <c r="R597" s="140">
        <f ca="1" xml:space="preserve"> ProjectCashflows!R$239</f>
        <v>516.90855044217597</v>
      </c>
      <c r="S597" s="140">
        <f ca="1" xml:space="preserve"> ProjectCashflows!S$239</f>
        <v>292.91484525056643</v>
      </c>
      <c r="T597" s="140">
        <f ca="1" xml:space="preserve"> ProjectCashflows!T$239</f>
        <v>298.77314215557777</v>
      </c>
      <c r="U597" s="140">
        <f ca="1" xml:space="preserve"> ProjectCashflows!U$239</f>
        <v>304.74860499868936</v>
      </c>
      <c r="V597" s="140">
        <f ca="1" xml:space="preserve"> ProjectCashflows!V$239</f>
        <v>310.8435770986631</v>
      </c>
      <c r="W597" s="140">
        <f ca="1" xml:space="preserve"> ProjectCashflows!W$239</f>
        <v>317.06044864063637</v>
      </c>
      <c r="X597" s="140">
        <f ca="1" xml:space="preserve"> ProjectCashflows!X$239</f>
        <v>323.40165761344906</v>
      </c>
      <c r="Y597" s="140">
        <f ca="1" xml:space="preserve"> ProjectCashflows!Y$239</f>
        <v>329.86969076571808</v>
      </c>
      <c r="Z597" s="140">
        <f ca="1" xml:space="preserve"> ProjectCashflows!Z$239</f>
        <v>336.46708458103245</v>
      </c>
      <c r="AA597" s="140">
        <f ca="1" xml:space="preserve"> ProjectCashflows!AA$239</f>
        <v>343.19642627265313</v>
      </c>
      <c r="AB597" s="140">
        <f ca="1" xml:space="preserve"> ProjectCashflows!AB$239</f>
        <v>0</v>
      </c>
      <c r="AC597" s="140">
        <f ca="1" xml:space="preserve"> ProjectCashflows!AC$239</f>
        <v>0</v>
      </c>
      <c r="AD597" s="140">
        <f ca="1" xml:space="preserve"> ProjectCashflows!AD$239</f>
        <v>291.36223450555974</v>
      </c>
      <c r="AE597" s="140">
        <f ca="1" xml:space="preserve"> ProjectCashflows!AE$239</f>
        <v>297.18947919567097</v>
      </c>
      <c r="AF597" s="140">
        <f ca="1" xml:space="preserve"> ProjectCashflows!AF$239</f>
        <v>0</v>
      </c>
      <c r="AG597" s="140">
        <f ca="1" xml:space="preserve"> ProjectCashflows!AG$239</f>
        <v>0</v>
      </c>
      <c r="AH597" s="140">
        <f ca="1" xml:space="preserve"> ProjectCashflows!AH$239</f>
        <v>0</v>
      </c>
      <c r="AI597" s="140">
        <f ca="1" xml:space="preserve"> ProjectCashflows!AI$239</f>
        <v>0</v>
      </c>
      <c r="AJ597" s="140">
        <f ca="1" xml:space="preserve"> ProjectCashflows!AJ$239</f>
        <v>0</v>
      </c>
      <c r="AK597" s="140">
        <f ca="1" xml:space="preserve"> ProjectCashflows!AK$239</f>
        <v>0</v>
      </c>
      <c r="AL597" s="140">
        <f ca="1" xml:space="preserve"> ProjectCashflows!AL$239</f>
        <v>0</v>
      </c>
      <c r="AM597" s="140">
        <f ca="1" xml:space="preserve"> ProjectCashflows!AM$239</f>
        <v>0</v>
      </c>
      <c r="AN597" s="140">
        <f ca="1" xml:space="preserve"> ProjectCashflows!AN$239</f>
        <v>0</v>
      </c>
      <c r="AO597" s="140">
        <f ca="1" xml:space="preserve"> ProjectCashflows!AO$239</f>
        <v>0</v>
      </c>
      <c r="AP597" s="140">
        <f ca="1" xml:space="preserve"> ProjectCashflows!AP$239</f>
        <v>0</v>
      </c>
      <c r="AQ597" s="140">
        <f ca="1" xml:space="preserve"> ProjectCashflows!AQ$239</f>
        <v>0</v>
      </c>
      <c r="AR597" s="140">
        <f ca="1" xml:space="preserve"> ProjectCashflows!AR$239</f>
        <v>0</v>
      </c>
      <c r="AS597" s="140">
        <f ca="1" xml:space="preserve"> ProjectCashflows!AS$239</f>
        <v>0</v>
      </c>
      <c r="AT597" s="140">
        <f ca="1" xml:space="preserve"> ProjectCashflows!AT$239</f>
        <v>0</v>
      </c>
      <c r="AU597" s="140">
        <f ca="1" xml:space="preserve"> ProjectCashflows!AU$239</f>
        <v>0</v>
      </c>
      <c r="AV597" s="140">
        <f ca="1" xml:space="preserve"> ProjectCashflows!AV$239</f>
        <v>0</v>
      </c>
      <c r="AW597" s="140">
        <f ca="1" xml:space="preserve"> ProjectCashflows!AW$239</f>
        <v>0</v>
      </c>
      <c r="AX597" s="140">
        <f ca="1" xml:space="preserve"> ProjectCashflows!AX$239</f>
        <v>0</v>
      </c>
    </row>
    <row r="598" spans="1:50" s="485" customFormat="1" ht="15" customHeight="1" x14ac:dyDescent="0.25">
      <c r="A598" s="479"/>
      <c r="B598" s="687"/>
      <c r="C598" s="621"/>
      <c r="D598" s="508"/>
      <c r="E598" s="511" t="str">
        <f xml:space="preserve"> Translate!E$307</f>
        <v>Investment</v>
      </c>
      <c r="F598" s="504"/>
      <c r="G598" s="511" t="str">
        <f xml:space="preserve"> Translate!E$603</f>
        <v>US$ mn</v>
      </c>
      <c r="H598" s="511"/>
      <c r="I598" s="482">
        <f ca="1" xml:space="preserve"> SUM(K598:AX598)</f>
        <v>10875.57228143079</v>
      </c>
      <c r="J598" s="482"/>
      <c r="K598" s="482">
        <f t="shared" ref="K598:AX598" ca="1" si="166">SUM(K596:K597)</f>
        <v>420</v>
      </c>
      <c r="L598" s="482">
        <f t="shared" ca="1" si="166"/>
        <v>51</v>
      </c>
      <c r="M598" s="482">
        <f t="shared" ca="1" si="166"/>
        <v>312.12</v>
      </c>
      <c r="N598" s="482">
        <f t="shared" ca="1" si="166"/>
        <v>1273.4495999999999</v>
      </c>
      <c r="O598" s="482">
        <f t="shared" ca="1" si="166"/>
        <v>1298.918592</v>
      </c>
      <c r="P598" s="482">
        <f t="shared" ca="1" si="166"/>
        <v>2318.5696867199999</v>
      </c>
      <c r="Q598" s="482">
        <f t="shared" ca="1" si="166"/>
        <v>1238.7786611904</v>
      </c>
      <c r="R598" s="482">
        <f t="shared" ca="1" si="166"/>
        <v>516.90855044217597</v>
      </c>
      <c r="S598" s="482">
        <f t="shared" ca="1" si="166"/>
        <v>292.91484525056643</v>
      </c>
      <c r="T598" s="482">
        <f t="shared" ca="1" si="166"/>
        <v>298.77314215557777</v>
      </c>
      <c r="U598" s="482">
        <f t="shared" ca="1" si="166"/>
        <v>304.74860499868936</v>
      </c>
      <c r="V598" s="482">
        <f t="shared" ca="1" si="166"/>
        <v>310.8435770986631</v>
      </c>
      <c r="W598" s="482">
        <f t="shared" ca="1" si="166"/>
        <v>317.06044864063637</v>
      </c>
      <c r="X598" s="482">
        <f t="shared" ca="1" si="166"/>
        <v>323.40165761344906</v>
      </c>
      <c r="Y598" s="482">
        <f t="shared" ca="1" si="166"/>
        <v>329.86969076571808</v>
      </c>
      <c r="Z598" s="482">
        <f t="shared" ca="1" si="166"/>
        <v>336.46708458103245</v>
      </c>
      <c r="AA598" s="482">
        <f t="shared" ca="1" si="166"/>
        <v>343.19642627265313</v>
      </c>
      <c r="AB598" s="482">
        <f t="shared" ca="1" si="166"/>
        <v>0</v>
      </c>
      <c r="AC598" s="482">
        <f t="shared" ca="1" si="166"/>
        <v>0</v>
      </c>
      <c r="AD598" s="482">
        <f t="shared" ca="1" si="166"/>
        <v>291.36223450555974</v>
      </c>
      <c r="AE598" s="482">
        <f t="shared" ca="1" si="166"/>
        <v>297.18947919567097</v>
      </c>
      <c r="AF598" s="482">
        <f t="shared" ca="1" si="166"/>
        <v>0</v>
      </c>
      <c r="AG598" s="482">
        <f t="shared" ca="1" si="166"/>
        <v>0</v>
      </c>
      <c r="AH598" s="482">
        <f t="shared" ca="1" si="166"/>
        <v>0</v>
      </c>
      <c r="AI598" s="482">
        <f t="shared" ca="1" si="166"/>
        <v>0</v>
      </c>
      <c r="AJ598" s="482">
        <f t="shared" ca="1" si="166"/>
        <v>0</v>
      </c>
      <c r="AK598" s="482">
        <f t="shared" ca="1" si="166"/>
        <v>0</v>
      </c>
      <c r="AL598" s="482">
        <f t="shared" ca="1" si="166"/>
        <v>0</v>
      </c>
      <c r="AM598" s="482">
        <f t="shared" ca="1" si="166"/>
        <v>0</v>
      </c>
      <c r="AN598" s="482">
        <f t="shared" ca="1" si="166"/>
        <v>0</v>
      </c>
      <c r="AO598" s="482">
        <f t="shared" ca="1" si="166"/>
        <v>0</v>
      </c>
      <c r="AP598" s="482">
        <f t="shared" ca="1" si="166"/>
        <v>0</v>
      </c>
      <c r="AQ598" s="482">
        <f t="shared" ca="1" si="166"/>
        <v>0</v>
      </c>
      <c r="AR598" s="482">
        <f t="shared" ca="1" si="166"/>
        <v>0</v>
      </c>
      <c r="AS598" s="482">
        <f t="shared" ca="1" si="166"/>
        <v>0</v>
      </c>
      <c r="AT598" s="482">
        <f t="shared" ca="1" si="166"/>
        <v>0</v>
      </c>
      <c r="AU598" s="482">
        <f t="shared" ca="1" si="166"/>
        <v>0</v>
      </c>
      <c r="AV598" s="482">
        <f t="shared" ca="1" si="166"/>
        <v>0</v>
      </c>
      <c r="AW598" s="482">
        <f t="shared" ca="1" si="166"/>
        <v>0</v>
      </c>
      <c r="AX598" s="482">
        <f t="shared" ca="1" si="166"/>
        <v>0</v>
      </c>
    </row>
    <row r="599" spans="1:50" ht="15" customHeight="1" x14ac:dyDescent="0.25">
      <c r="A599" s="86"/>
      <c r="B599" s="677"/>
      <c r="C599" s="604"/>
      <c r="D599" s="217"/>
      <c r="E599" s="190" t="str">
        <f xml:space="preserve"> Translate!E$307 &amp; ": " &amp; Translate!E$811</f>
        <v>Investment: cumulative</v>
      </c>
      <c r="F599" s="64"/>
      <c r="G599" s="190" t="str">
        <f xml:space="preserve"> Translate!E$603</f>
        <v>US$ mn</v>
      </c>
      <c r="H599" s="190"/>
      <c r="I599" s="55"/>
      <c r="J599" s="236"/>
      <c r="K599" s="55">
        <f t="shared" ref="K599:AX599" ca="1" si="167">K598+J599</f>
        <v>420</v>
      </c>
      <c r="L599" s="55">
        <f t="shared" ca="1" si="167"/>
        <v>471</v>
      </c>
      <c r="M599" s="55">
        <f t="shared" ca="1" si="167"/>
        <v>783.12</v>
      </c>
      <c r="N599" s="55">
        <f t="shared" ca="1" si="167"/>
        <v>2056.5695999999998</v>
      </c>
      <c r="O599" s="55">
        <f t="shared" ca="1" si="167"/>
        <v>3355.4881919999998</v>
      </c>
      <c r="P599" s="55">
        <f t="shared" ca="1" si="167"/>
        <v>5674.0578787199993</v>
      </c>
      <c r="Q599" s="55">
        <f t="shared" ca="1" si="167"/>
        <v>6912.8365399103996</v>
      </c>
      <c r="R599" s="55">
        <f t="shared" ca="1" si="167"/>
        <v>7429.7450903525751</v>
      </c>
      <c r="S599" s="55">
        <f t="shared" ca="1" si="167"/>
        <v>7722.6599356031411</v>
      </c>
      <c r="T599" s="55">
        <f t="shared" ca="1" si="167"/>
        <v>8021.4330777587193</v>
      </c>
      <c r="U599" s="55">
        <f t="shared" ca="1" si="167"/>
        <v>8326.1816827574094</v>
      </c>
      <c r="V599" s="55">
        <f t="shared" ca="1" si="167"/>
        <v>8637.0252598560728</v>
      </c>
      <c r="W599" s="55">
        <f t="shared" ca="1" si="167"/>
        <v>8954.0857084967083</v>
      </c>
      <c r="X599" s="55">
        <f t="shared" ca="1" si="167"/>
        <v>9277.4873661101574</v>
      </c>
      <c r="Y599" s="55">
        <f t="shared" ca="1" si="167"/>
        <v>9607.3570568758751</v>
      </c>
      <c r="Z599" s="55">
        <f t="shared" ca="1" si="167"/>
        <v>9943.8241414569075</v>
      </c>
      <c r="AA599" s="55">
        <f t="shared" ca="1" si="167"/>
        <v>10287.02056772956</v>
      </c>
      <c r="AB599" s="55">
        <f t="shared" ca="1" si="167"/>
        <v>10287.02056772956</v>
      </c>
      <c r="AC599" s="55">
        <f t="shared" ca="1" si="167"/>
        <v>10287.02056772956</v>
      </c>
      <c r="AD599" s="55">
        <f t="shared" ca="1" si="167"/>
        <v>10578.382802235119</v>
      </c>
      <c r="AE599" s="55">
        <f t="shared" ca="1" si="167"/>
        <v>10875.57228143079</v>
      </c>
      <c r="AF599" s="55">
        <f t="shared" ca="1" si="167"/>
        <v>10875.57228143079</v>
      </c>
      <c r="AG599" s="55">
        <f t="shared" ca="1" si="167"/>
        <v>10875.57228143079</v>
      </c>
      <c r="AH599" s="55">
        <f t="shared" ca="1" si="167"/>
        <v>10875.57228143079</v>
      </c>
      <c r="AI599" s="55">
        <f t="shared" ca="1" si="167"/>
        <v>10875.57228143079</v>
      </c>
      <c r="AJ599" s="55">
        <f t="shared" ca="1" si="167"/>
        <v>10875.57228143079</v>
      </c>
      <c r="AK599" s="55">
        <f t="shared" ca="1" si="167"/>
        <v>10875.57228143079</v>
      </c>
      <c r="AL599" s="55">
        <f t="shared" ca="1" si="167"/>
        <v>10875.57228143079</v>
      </c>
      <c r="AM599" s="55">
        <f t="shared" ca="1" si="167"/>
        <v>10875.57228143079</v>
      </c>
      <c r="AN599" s="55">
        <f t="shared" ca="1" si="167"/>
        <v>10875.57228143079</v>
      </c>
      <c r="AO599" s="55">
        <f t="shared" ca="1" si="167"/>
        <v>10875.57228143079</v>
      </c>
      <c r="AP599" s="55">
        <f t="shared" ca="1" si="167"/>
        <v>10875.57228143079</v>
      </c>
      <c r="AQ599" s="55">
        <f t="shared" ca="1" si="167"/>
        <v>10875.57228143079</v>
      </c>
      <c r="AR599" s="55">
        <f t="shared" ca="1" si="167"/>
        <v>10875.57228143079</v>
      </c>
      <c r="AS599" s="55">
        <f t="shared" ca="1" si="167"/>
        <v>10875.57228143079</v>
      </c>
      <c r="AT599" s="55">
        <f t="shared" ca="1" si="167"/>
        <v>10875.57228143079</v>
      </c>
      <c r="AU599" s="55">
        <f t="shared" ca="1" si="167"/>
        <v>10875.57228143079</v>
      </c>
      <c r="AV599" s="55">
        <f t="shared" ca="1" si="167"/>
        <v>10875.57228143079</v>
      </c>
      <c r="AW599" s="55">
        <f t="shared" ca="1" si="167"/>
        <v>10875.57228143079</v>
      </c>
      <c r="AX599" s="55">
        <f t="shared" ca="1" si="167"/>
        <v>10875.57228143079</v>
      </c>
    </row>
    <row r="600" spans="1:50" ht="15" customHeight="1" x14ac:dyDescent="0.25">
      <c r="A600" s="86"/>
      <c r="B600" s="677"/>
      <c r="C600" s="604"/>
      <c r="D600" s="217"/>
      <c r="E600" s="190"/>
      <c r="F600" s="64"/>
      <c r="G600" s="190"/>
      <c r="H600" s="190"/>
      <c r="I600" s="55"/>
      <c r="K600" s="55"/>
      <c r="L600" s="55"/>
      <c r="M600" s="55"/>
      <c r="N600" s="55"/>
      <c r="O600" s="55"/>
      <c r="P600" s="55"/>
      <c r="Q600" s="55"/>
      <c r="R600" s="55"/>
      <c r="S600" s="55"/>
      <c r="T600" s="55"/>
      <c r="U600" s="55"/>
      <c r="V600" s="55"/>
      <c r="W600" s="55"/>
      <c r="X600" s="55"/>
      <c r="Y600" s="55"/>
      <c r="Z600" s="55"/>
      <c r="AA600" s="55"/>
      <c r="AB600" s="55"/>
      <c r="AC600" s="55"/>
      <c r="AD600" s="55"/>
      <c r="AE600" s="55"/>
      <c r="AF600" s="55"/>
      <c r="AG600" s="55"/>
      <c r="AH600" s="55"/>
      <c r="AI600" s="55"/>
      <c r="AJ600" s="55"/>
      <c r="AK600" s="55"/>
      <c r="AL600" s="55"/>
      <c r="AM600" s="55"/>
      <c r="AN600" s="55"/>
      <c r="AO600" s="55"/>
      <c r="AP600" s="55"/>
      <c r="AQ600" s="55"/>
      <c r="AR600" s="55"/>
      <c r="AS600" s="55"/>
      <c r="AT600" s="55"/>
      <c r="AU600" s="55"/>
      <c r="AV600" s="55"/>
      <c r="AW600" s="55"/>
      <c r="AX600" s="55"/>
    </row>
    <row r="601" spans="1:50" s="40" customFormat="1" ht="15" customHeight="1" x14ac:dyDescent="0.25">
      <c r="B601" s="683"/>
      <c r="C601" s="647"/>
      <c r="D601" s="283"/>
      <c r="E601" s="40" t="str">
        <f xml:space="preserve"> ProjectCashflows!E$173</f>
        <v>Project activity</v>
      </c>
      <c r="F601" s="283">
        <f xml:space="preserve"> ProjectCashflows!F$173</f>
        <v>0</v>
      </c>
      <c r="G601" s="40" t="str">
        <f xml:space="preserve"> ProjectCashflows!G$173</f>
        <v>Flag</v>
      </c>
      <c r="H601" s="40">
        <f xml:space="preserve"> ProjectCashflows!H$173</f>
        <v>0</v>
      </c>
      <c r="I601" s="40">
        <f ca="1" xml:space="preserve"> ProjectCashflows!I$173</f>
        <v>33</v>
      </c>
      <c r="J601" s="40">
        <f xml:space="preserve"> ProjectCashflows!J$173</f>
        <v>0</v>
      </c>
      <c r="K601" s="40">
        <f ca="1" xml:space="preserve"> ProjectCashflows!K$173</f>
        <v>1</v>
      </c>
      <c r="L601" s="40">
        <f ca="1" xml:space="preserve"> ProjectCashflows!L$173</f>
        <v>1</v>
      </c>
      <c r="M601" s="40">
        <f ca="1" xml:space="preserve"> ProjectCashflows!M$173</f>
        <v>1</v>
      </c>
      <c r="N601" s="40">
        <f ca="1" xml:space="preserve"> ProjectCashflows!N$173</f>
        <v>1</v>
      </c>
      <c r="O601" s="40">
        <f ca="1" xml:space="preserve"> ProjectCashflows!O$173</f>
        <v>1</v>
      </c>
      <c r="P601" s="40">
        <f ca="1" xml:space="preserve"> ProjectCashflows!P$173</f>
        <v>1</v>
      </c>
      <c r="Q601" s="40">
        <f ca="1" xml:space="preserve"> ProjectCashflows!Q$173</f>
        <v>1</v>
      </c>
      <c r="R601" s="40">
        <f ca="1" xml:space="preserve"> ProjectCashflows!R$173</f>
        <v>1</v>
      </c>
      <c r="S601" s="40">
        <f ca="1" xml:space="preserve"> ProjectCashflows!S$173</f>
        <v>1</v>
      </c>
      <c r="T601" s="40">
        <f ca="1" xml:space="preserve"> ProjectCashflows!T$173</f>
        <v>1</v>
      </c>
      <c r="U601" s="40">
        <f ca="1" xml:space="preserve"> ProjectCashflows!U$173</f>
        <v>1</v>
      </c>
      <c r="V601" s="40">
        <f ca="1" xml:space="preserve"> ProjectCashflows!V$173</f>
        <v>1</v>
      </c>
      <c r="W601" s="40">
        <f ca="1" xml:space="preserve"> ProjectCashflows!W$173</f>
        <v>1</v>
      </c>
      <c r="X601" s="40">
        <f ca="1" xml:space="preserve"> ProjectCashflows!X$173</f>
        <v>1</v>
      </c>
      <c r="Y601" s="40">
        <f ca="1" xml:space="preserve"> ProjectCashflows!Y$173</f>
        <v>1</v>
      </c>
      <c r="Z601" s="40">
        <f ca="1" xml:space="preserve"> ProjectCashflows!Z$173</f>
        <v>1</v>
      </c>
      <c r="AA601" s="40">
        <f ca="1" xml:space="preserve"> ProjectCashflows!AA$173</f>
        <v>1</v>
      </c>
      <c r="AB601" s="40">
        <f ca="1" xml:space="preserve"> ProjectCashflows!AB$173</f>
        <v>1</v>
      </c>
      <c r="AC601" s="40">
        <f ca="1" xml:space="preserve"> ProjectCashflows!AC$173</f>
        <v>1</v>
      </c>
      <c r="AD601" s="40">
        <f ca="1" xml:space="preserve"> ProjectCashflows!AD$173</f>
        <v>1</v>
      </c>
      <c r="AE601" s="40">
        <f ca="1" xml:space="preserve"> ProjectCashflows!AE$173</f>
        <v>1</v>
      </c>
      <c r="AF601" s="40">
        <f ca="1" xml:space="preserve"> ProjectCashflows!AF$173</f>
        <v>1</v>
      </c>
      <c r="AG601" s="40">
        <f ca="1" xml:space="preserve"> ProjectCashflows!AG$173</f>
        <v>1</v>
      </c>
      <c r="AH601" s="40">
        <f ca="1" xml:space="preserve"> ProjectCashflows!AH$173</f>
        <v>1</v>
      </c>
      <c r="AI601" s="40">
        <f ca="1" xml:space="preserve"> ProjectCashflows!AI$173</f>
        <v>1</v>
      </c>
      <c r="AJ601" s="40">
        <f ca="1" xml:space="preserve"> ProjectCashflows!AJ$173</f>
        <v>1</v>
      </c>
      <c r="AK601" s="40">
        <f ca="1" xml:space="preserve"> ProjectCashflows!AK$173</f>
        <v>1</v>
      </c>
      <c r="AL601" s="40">
        <f ca="1" xml:space="preserve"> ProjectCashflows!AL$173</f>
        <v>1</v>
      </c>
      <c r="AM601" s="40">
        <f ca="1" xml:space="preserve"> ProjectCashflows!AM$173</f>
        <v>1</v>
      </c>
      <c r="AN601" s="40">
        <f ca="1" xml:space="preserve"> ProjectCashflows!AN$173</f>
        <v>1</v>
      </c>
      <c r="AO601" s="40">
        <f ca="1" xml:space="preserve"> ProjectCashflows!AO$173</f>
        <v>1</v>
      </c>
      <c r="AP601" s="40">
        <f ca="1" xml:space="preserve"> ProjectCashflows!AP$173</f>
        <v>1</v>
      </c>
      <c r="AQ601" s="40">
        <f ca="1" xml:space="preserve"> ProjectCashflows!AQ$173</f>
        <v>1</v>
      </c>
      <c r="AR601" s="40">
        <f ca="1" xml:space="preserve"> ProjectCashflows!AR$173</f>
        <v>0</v>
      </c>
      <c r="AS601" s="40">
        <f ca="1" xml:space="preserve"> ProjectCashflows!AS$173</f>
        <v>0</v>
      </c>
      <c r="AT601" s="40">
        <f ca="1" xml:space="preserve"> ProjectCashflows!AT$173</f>
        <v>0</v>
      </c>
      <c r="AU601" s="40">
        <f ca="1" xml:space="preserve"> ProjectCashflows!AU$173</f>
        <v>0</v>
      </c>
      <c r="AV601" s="40">
        <f ca="1" xml:space="preserve"> ProjectCashflows!AV$173</f>
        <v>0</v>
      </c>
      <c r="AW601" s="40">
        <f ca="1" xml:space="preserve"> ProjectCashflows!AW$173</f>
        <v>0</v>
      </c>
      <c r="AX601" s="40">
        <f ca="1" xml:space="preserve"> ProjectCashflows!AX$173</f>
        <v>0</v>
      </c>
    </row>
    <row r="602" spans="1:50" s="723" customFormat="1" ht="15" customHeight="1" x14ac:dyDescent="0.25">
      <c r="B602" s="724"/>
      <c r="C602" s="725"/>
      <c r="E602" s="723" t="str">
        <f xml:space="preserve"> Translate!E$308</f>
        <v>R-Factor</v>
      </c>
      <c r="G602" s="723" t="str">
        <f xml:space="preserve"> Translate!E$758</f>
        <v>ratio</v>
      </c>
      <c r="J602" s="727"/>
      <c r="K602" s="723">
        <f t="shared" ref="K602:AX602" ca="1" si="168" xml:space="preserve"> IFERROR( K593 / K599, 0)</f>
        <v>0</v>
      </c>
      <c r="L602" s="723">
        <f t="shared" ca="1" si="168"/>
        <v>0</v>
      </c>
      <c r="M602" s="723">
        <f t="shared" ca="1" si="168"/>
        <v>0</v>
      </c>
      <c r="N602" s="723">
        <f t="shared" ca="1" si="168"/>
        <v>0</v>
      </c>
      <c r="O602" s="723">
        <f t="shared" ca="1" si="168"/>
        <v>-1.7438546162172441E-2</v>
      </c>
      <c r="P602" s="723">
        <f t="shared" ca="1" si="168"/>
        <v>-5.1420270385862638E-2</v>
      </c>
      <c r="Q602" s="723">
        <f t="shared" ca="1" si="168"/>
        <v>-9.4547040935229171E-2</v>
      </c>
      <c r="R602" s="723">
        <f t="shared" ca="1" si="168"/>
        <v>-0.13745706218540069</v>
      </c>
      <c r="S602" s="723">
        <f t="shared" ca="1" si="168"/>
        <v>-0.18062776343885645</v>
      </c>
      <c r="T602" s="723">
        <f t="shared" ca="1" si="168"/>
        <v>-0.22124167372652617</v>
      </c>
      <c r="U602" s="723">
        <f t="shared" ca="1" si="168"/>
        <v>-0.25949929167192404</v>
      </c>
      <c r="V602" s="723">
        <f t="shared" ca="1" si="168"/>
        <v>-0.2955809335253059</v>
      </c>
      <c r="W602" s="723">
        <f t="shared" ca="1" si="168"/>
        <v>-0.3367681354535319</v>
      </c>
      <c r="X602" s="723">
        <f t="shared" ca="1" si="168"/>
        <v>-0.37559268238442484</v>
      </c>
      <c r="Y602" s="723">
        <f t="shared" ca="1" si="168"/>
        <v>-0.41222458096862907</v>
      </c>
      <c r="Z602" s="723">
        <f t="shared" ca="1" si="168"/>
        <v>-0.44681827983990735</v>
      </c>
      <c r="AA602" s="723">
        <f t="shared" ca="1" si="168"/>
        <v>-0.47823953515153494</v>
      </c>
      <c r="AB602" s="723">
        <f t="shared" ca="1" si="168"/>
        <v>-0.52422886323760032</v>
      </c>
      <c r="AC602" s="723">
        <f t="shared" ca="1" si="168"/>
        <v>-0.55481719683908504</v>
      </c>
      <c r="AD602" s="723">
        <f t="shared" ca="1" si="168"/>
        <v>-0.56765063375882996</v>
      </c>
      <c r="AE602" s="723">
        <f t="shared" ca="1" si="168"/>
        <v>-0.57660875465989381</v>
      </c>
      <c r="AF602" s="723">
        <f t="shared" ca="1" si="168"/>
        <v>-0.59973185711160604</v>
      </c>
      <c r="AG602" s="723">
        <f t="shared" ca="1" si="168"/>
        <v>-0.62126010475604276</v>
      </c>
      <c r="AH602" s="723">
        <f t="shared" ca="1" si="168"/>
        <v>-0.64207181577086492</v>
      </c>
      <c r="AI602" s="723">
        <f t="shared" ca="1" si="168"/>
        <v>-0.66219609198374385</v>
      </c>
      <c r="AJ602" s="723">
        <f t="shared" ca="1" si="168"/>
        <v>-0.68165132018583219</v>
      </c>
      <c r="AK602" s="723">
        <f t="shared" ca="1" si="168"/>
        <v>-0.70044704337718466</v>
      </c>
      <c r="AL602" s="723">
        <f t="shared" ca="1" si="168"/>
        <v>-0.71858547196536382</v>
      </c>
      <c r="AM602" s="723">
        <f t="shared" ca="1" si="168"/>
        <v>-0.7339576490602755</v>
      </c>
      <c r="AN602" s="723">
        <f t="shared" ca="1" si="168"/>
        <v>-0.74947603329082491</v>
      </c>
      <c r="AO602" s="723">
        <f t="shared" ca="1" si="168"/>
        <v>-0.76432714441279281</v>
      </c>
      <c r="AP602" s="723">
        <f t="shared" ca="1" si="168"/>
        <v>-0.76432714441279281</v>
      </c>
      <c r="AQ602" s="723">
        <f t="shared" ca="1" si="168"/>
        <v>-0.76432714441279281</v>
      </c>
      <c r="AR602" s="723">
        <f t="shared" ca="1" si="168"/>
        <v>-0.76432714441279281</v>
      </c>
      <c r="AS602" s="723">
        <f t="shared" ca="1" si="168"/>
        <v>-0.76432714441279281</v>
      </c>
      <c r="AT602" s="723">
        <f t="shared" ca="1" si="168"/>
        <v>-0.76432714441279281</v>
      </c>
      <c r="AU602" s="723">
        <f t="shared" ca="1" si="168"/>
        <v>-0.76432714441279281</v>
      </c>
      <c r="AV602" s="723">
        <f t="shared" ca="1" si="168"/>
        <v>-0.76432714441279281</v>
      </c>
      <c r="AW602" s="723">
        <f t="shared" ca="1" si="168"/>
        <v>-0.76432714441279281</v>
      </c>
      <c r="AX602" s="723">
        <f t="shared" ca="1" si="168"/>
        <v>-0.76432714441279281</v>
      </c>
    </row>
    <row r="603" spans="1:50" s="731" customFormat="1" ht="15" customHeight="1" x14ac:dyDescent="0.25">
      <c r="A603" s="728"/>
      <c r="B603" s="782"/>
      <c r="C603" s="729"/>
      <c r="D603" s="728"/>
      <c r="E603" s="730" t="str">
        <f xml:space="preserve"> Translate!E$309</f>
        <v>R-Factor (previous period)</v>
      </c>
      <c r="F603" s="730"/>
      <c r="G603" s="730" t="str">
        <f xml:space="preserve"> Translate!E$758</f>
        <v>ratio</v>
      </c>
      <c r="H603" s="728" t="str">
        <f>Translate!E519</f>
        <v>prior period to avoid circular calculations</v>
      </c>
      <c r="I603" s="728"/>
      <c r="J603" s="728"/>
      <c r="K603" s="730">
        <f t="shared" ref="K603:AX603" si="169" xml:space="preserve"> J602</f>
        <v>0</v>
      </c>
      <c r="L603" s="730">
        <f t="shared" ca="1" si="169"/>
        <v>0</v>
      </c>
      <c r="M603" s="730">
        <f t="shared" ca="1" si="169"/>
        <v>0</v>
      </c>
      <c r="N603" s="730">
        <f t="shared" ca="1" si="169"/>
        <v>0</v>
      </c>
      <c r="O603" s="730">
        <f t="shared" ca="1" si="169"/>
        <v>0</v>
      </c>
      <c r="P603" s="730">
        <f t="shared" ca="1" si="169"/>
        <v>-1.7438546162172441E-2</v>
      </c>
      <c r="Q603" s="730">
        <f t="shared" ca="1" si="169"/>
        <v>-5.1420270385862638E-2</v>
      </c>
      <c r="R603" s="730">
        <f t="shared" ca="1" si="169"/>
        <v>-9.4547040935229171E-2</v>
      </c>
      <c r="S603" s="730">
        <f t="shared" ca="1" si="169"/>
        <v>-0.13745706218540069</v>
      </c>
      <c r="T603" s="730">
        <f t="shared" ca="1" si="169"/>
        <v>-0.18062776343885645</v>
      </c>
      <c r="U603" s="730">
        <f t="shared" ca="1" si="169"/>
        <v>-0.22124167372652617</v>
      </c>
      <c r="V603" s="730">
        <f t="shared" ca="1" si="169"/>
        <v>-0.25949929167192404</v>
      </c>
      <c r="W603" s="730">
        <f t="shared" ca="1" si="169"/>
        <v>-0.2955809335253059</v>
      </c>
      <c r="X603" s="730">
        <f t="shared" ca="1" si="169"/>
        <v>-0.3367681354535319</v>
      </c>
      <c r="Y603" s="730">
        <f t="shared" ca="1" si="169"/>
        <v>-0.37559268238442484</v>
      </c>
      <c r="Z603" s="730">
        <f t="shared" ca="1" si="169"/>
        <v>-0.41222458096862907</v>
      </c>
      <c r="AA603" s="730">
        <f t="shared" ca="1" si="169"/>
        <v>-0.44681827983990735</v>
      </c>
      <c r="AB603" s="730">
        <f t="shared" ca="1" si="169"/>
        <v>-0.47823953515153494</v>
      </c>
      <c r="AC603" s="730">
        <f t="shared" ca="1" si="169"/>
        <v>-0.52422886323760032</v>
      </c>
      <c r="AD603" s="730">
        <f t="shared" ca="1" si="169"/>
        <v>-0.55481719683908504</v>
      </c>
      <c r="AE603" s="730">
        <f t="shared" ca="1" si="169"/>
        <v>-0.56765063375882996</v>
      </c>
      <c r="AF603" s="730">
        <f t="shared" ca="1" si="169"/>
        <v>-0.57660875465989381</v>
      </c>
      <c r="AG603" s="730">
        <f t="shared" ca="1" si="169"/>
        <v>-0.59973185711160604</v>
      </c>
      <c r="AH603" s="730">
        <f t="shared" ca="1" si="169"/>
        <v>-0.62126010475604276</v>
      </c>
      <c r="AI603" s="730">
        <f t="shared" ca="1" si="169"/>
        <v>-0.64207181577086492</v>
      </c>
      <c r="AJ603" s="730">
        <f t="shared" ca="1" si="169"/>
        <v>-0.66219609198374385</v>
      </c>
      <c r="AK603" s="730">
        <f t="shared" ca="1" si="169"/>
        <v>-0.68165132018583219</v>
      </c>
      <c r="AL603" s="730">
        <f t="shared" ca="1" si="169"/>
        <v>-0.70044704337718466</v>
      </c>
      <c r="AM603" s="730">
        <f t="shared" ca="1" si="169"/>
        <v>-0.71858547196536382</v>
      </c>
      <c r="AN603" s="730">
        <f t="shared" ca="1" si="169"/>
        <v>-0.7339576490602755</v>
      </c>
      <c r="AO603" s="730">
        <f t="shared" ca="1" si="169"/>
        <v>-0.74947603329082491</v>
      </c>
      <c r="AP603" s="730">
        <f t="shared" ca="1" si="169"/>
        <v>-0.76432714441279281</v>
      </c>
      <c r="AQ603" s="730">
        <f t="shared" ca="1" si="169"/>
        <v>-0.76432714441279281</v>
      </c>
      <c r="AR603" s="730">
        <f t="shared" ca="1" si="169"/>
        <v>-0.76432714441279281</v>
      </c>
      <c r="AS603" s="730">
        <f t="shared" ca="1" si="169"/>
        <v>-0.76432714441279281</v>
      </c>
      <c r="AT603" s="730">
        <f t="shared" ca="1" si="169"/>
        <v>-0.76432714441279281</v>
      </c>
      <c r="AU603" s="730">
        <f t="shared" ca="1" si="169"/>
        <v>-0.76432714441279281</v>
      </c>
      <c r="AV603" s="730">
        <f t="shared" ca="1" si="169"/>
        <v>-0.76432714441279281</v>
      </c>
      <c r="AW603" s="730">
        <f t="shared" ca="1" si="169"/>
        <v>-0.76432714441279281</v>
      </c>
      <c r="AX603" s="730">
        <f t="shared" ca="1" si="169"/>
        <v>-0.76432714441279281</v>
      </c>
    </row>
    <row r="604" spans="1:50" customFormat="1" ht="15" customHeight="1" x14ac:dyDescent="0.25">
      <c r="B604" s="783"/>
      <c r="E604" s="3"/>
      <c r="G604" s="3"/>
    </row>
    <row r="605" spans="1:50" ht="15" customHeight="1" x14ac:dyDescent="0.25">
      <c r="A605" s="86"/>
      <c r="B605" s="677"/>
      <c r="C605" s="604" t="str">
        <f>Translate!$E$499</f>
        <v>R-Factor parameters</v>
      </c>
      <c r="D605" s="761"/>
      <c r="F605" s="761"/>
      <c r="H605" s="90"/>
      <c r="I605" s="89"/>
      <c r="J605" s="89"/>
      <c r="K605" s="270"/>
      <c r="L605" s="270"/>
      <c r="M605" s="270"/>
      <c r="N605" s="270"/>
      <c r="O605" s="270"/>
      <c r="P605" s="270"/>
      <c r="Q605" s="270"/>
      <c r="R605" s="270"/>
      <c r="S605" s="270"/>
      <c r="T605" s="270"/>
      <c r="U605" s="270"/>
      <c r="V605" s="270"/>
      <c r="W605" s="270"/>
      <c r="X605" s="270"/>
      <c r="Y605" s="270"/>
      <c r="Z605" s="270"/>
      <c r="AA605" s="270"/>
      <c r="AB605" s="270"/>
      <c r="AC605" s="270"/>
      <c r="AD605" s="270"/>
      <c r="AE605" s="270"/>
      <c r="AF605" s="270"/>
      <c r="AG605" s="270"/>
      <c r="AH605" s="270"/>
      <c r="AI605" s="270"/>
      <c r="AJ605" s="270"/>
      <c r="AK605" s="270"/>
      <c r="AL605" s="270"/>
      <c r="AM605" s="270"/>
      <c r="AN605" s="270"/>
      <c r="AO605" s="270"/>
      <c r="AP605" s="270"/>
      <c r="AQ605" s="270"/>
      <c r="AR605" s="270"/>
      <c r="AS605" s="270"/>
      <c r="AT605" s="270"/>
      <c r="AU605" s="270"/>
      <c r="AV605" s="270"/>
      <c r="AW605" s="270"/>
      <c r="AX605" s="270"/>
    </row>
    <row r="606" spans="1:50" ht="15" customHeight="1" x14ac:dyDescent="0.25">
      <c r="A606" s="86"/>
      <c r="B606" s="677"/>
      <c r="C606" s="604"/>
      <c r="E606" s="532" t="str">
        <f xml:space="preserve"> FiscalModel!E54</f>
        <v>R-Factor tier 1</v>
      </c>
      <c r="F606" s="762">
        <f xml:space="preserve"> FiscalModel!F54</f>
        <v>0</v>
      </c>
      <c r="G606" s="532" t="str">
        <f xml:space="preserve"> FiscalModel!G54</f>
        <v>R-Factor ratio</v>
      </c>
      <c r="H606" s="90"/>
      <c r="I606" s="89"/>
      <c r="J606" s="89"/>
      <c r="K606" s="270"/>
      <c r="L606" s="270"/>
      <c r="M606" s="270"/>
      <c r="N606" s="270"/>
      <c r="O606" s="270"/>
      <c r="P606" s="270"/>
      <c r="Q606" s="270"/>
      <c r="R606" s="270"/>
      <c r="S606" s="270"/>
      <c r="T606" s="270"/>
      <c r="U606" s="270"/>
      <c r="V606" s="270"/>
      <c r="W606" s="270"/>
      <c r="X606" s="270"/>
      <c r="Y606" s="270"/>
      <c r="Z606" s="270"/>
      <c r="AA606" s="270"/>
      <c r="AB606" s="270"/>
      <c r="AC606" s="270"/>
      <c r="AD606" s="270"/>
      <c r="AE606" s="270"/>
      <c r="AF606" s="270"/>
      <c r="AG606" s="270"/>
      <c r="AH606" s="270"/>
      <c r="AI606" s="270"/>
      <c r="AJ606" s="270"/>
      <c r="AK606" s="270"/>
      <c r="AL606" s="270"/>
      <c r="AM606" s="270"/>
      <c r="AN606" s="270"/>
      <c r="AO606" s="270"/>
      <c r="AP606" s="270"/>
      <c r="AQ606" s="270"/>
      <c r="AR606" s="270"/>
      <c r="AS606" s="270"/>
      <c r="AT606" s="270"/>
      <c r="AU606" s="270"/>
      <c r="AV606" s="270"/>
      <c r="AW606" s="270"/>
      <c r="AX606" s="270"/>
    </row>
    <row r="607" spans="1:50" ht="15" customHeight="1" x14ac:dyDescent="0.25">
      <c r="A607" s="86"/>
      <c r="B607" s="677"/>
      <c r="C607" s="604"/>
      <c r="E607" s="532" t="str">
        <f xml:space="preserve"> FiscalModel!E55</f>
        <v>R-Factor tier 2</v>
      </c>
      <c r="F607" s="762">
        <f xml:space="preserve"> FiscalModel!F55</f>
        <v>0</v>
      </c>
      <c r="G607" s="532" t="str">
        <f xml:space="preserve"> FiscalModel!G55</f>
        <v>R-Factor ratio</v>
      </c>
      <c r="H607" s="90"/>
      <c r="I607" s="89"/>
      <c r="J607" s="89"/>
      <c r="K607" s="270"/>
      <c r="L607" s="270"/>
      <c r="M607" s="270"/>
      <c r="N607" s="270"/>
      <c r="O607" s="270"/>
      <c r="P607" s="270"/>
      <c r="Q607" s="270"/>
      <c r="R607" s="270"/>
      <c r="S607" s="270"/>
      <c r="T607" s="270"/>
      <c r="U607" s="270"/>
      <c r="V607" s="270"/>
      <c r="W607" s="270"/>
      <c r="X607" s="270"/>
      <c r="Y607" s="270"/>
      <c r="Z607" s="270"/>
      <c r="AA607" s="270"/>
      <c r="AB607" s="270"/>
      <c r="AC607" s="270"/>
      <c r="AD607" s="270"/>
      <c r="AE607" s="270"/>
      <c r="AF607" s="270"/>
      <c r="AG607" s="270"/>
      <c r="AH607" s="270"/>
      <c r="AI607" s="270"/>
      <c r="AJ607" s="270"/>
      <c r="AK607" s="270"/>
      <c r="AL607" s="270"/>
      <c r="AM607" s="270"/>
      <c r="AN607" s="270"/>
      <c r="AO607" s="270"/>
      <c r="AP607" s="270"/>
      <c r="AQ607" s="270"/>
      <c r="AR607" s="270"/>
      <c r="AS607" s="270"/>
      <c r="AT607" s="270"/>
      <c r="AU607" s="270"/>
      <c r="AV607" s="270"/>
      <c r="AW607" s="270"/>
      <c r="AX607" s="270"/>
    </row>
    <row r="608" spans="1:50" ht="15" customHeight="1" x14ac:dyDescent="0.25">
      <c r="A608" s="86"/>
      <c r="B608" s="677"/>
      <c r="C608" s="604"/>
      <c r="E608" s="532" t="str">
        <f xml:space="preserve"> FiscalModel!E56</f>
        <v>R-Factor tier 3</v>
      </c>
      <c r="F608" s="762">
        <f xml:space="preserve"> FiscalModel!F56</f>
        <v>0</v>
      </c>
      <c r="G608" s="532" t="str">
        <f xml:space="preserve"> FiscalModel!G56</f>
        <v>R-Factor ratio</v>
      </c>
      <c r="H608" s="90"/>
      <c r="I608" s="89"/>
      <c r="J608" s="89"/>
      <c r="K608" s="270"/>
      <c r="L608" s="270"/>
      <c r="M608" s="270"/>
      <c r="N608" s="270"/>
      <c r="O608" s="270"/>
      <c r="P608" s="270"/>
      <c r="Q608" s="270"/>
      <c r="R608" s="270"/>
      <c r="S608" s="270"/>
      <c r="T608" s="270"/>
      <c r="U608" s="270"/>
      <c r="V608" s="270"/>
      <c r="W608" s="270"/>
      <c r="X608" s="270"/>
      <c r="Y608" s="270"/>
      <c r="Z608" s="270"/>
      <c r="AA608" s="270"/>
      <c r="AB608" s="270"/>
      <c r="AC608" s="270"/>
      <c r="AD608" s="270"/>
      <c r="AE608" s="270"/>
      <c r="AF608" s="270"/>
      <c r="AG608" s="270"/>
      <c r="AH608" s="270"/>
      <c r="AI608" s="270"/>
      <c r="AJ608" s="270"/>
      <c r="AK608" s="270"/>
      <c r="AL608" s="270"/>
      <c r="AM608" s="270"/>
      <c r="AN608" s="270"/>
      <c r="AO608" s="270"/>
      <c r="AP608" s="270"/>
      <c r="AQ608" s="270"/>
      <c r="AR608" s="270"/>
      <c r="AS608" s="270"/>
      <c r="AT608" s="270"/>
      <c r="AU608" s="270"/>
      <c r="AV608" s="270"/>
      <c r="AW608" s="270"/>
      <c r="AX608" s="270"/>
    </row>
    <row r="609" spans="1:50" ht="15" customHeight="1" x14ac:dyDescent="0.25">
      <c r="A609" s="86"/>
      <c r="B609" s="677"/>
      <c r="C609" s="604"/>
      <c r="E609" s="532" t="str">
        <f xml:space="preserve"> FiscalModel!E57</f>
        <v>R-Factor tier 4</v>
      </c>
      <c r="F609" s="762">
        <f xml:space="preserve"> FiscalModel!F57</f>
        <v>0</v>
      </c>
      <c r="G609" s="532" t="str">
        <f xml:space="preserve"> FiscalModel!G57</f>
        <v>R-Factor ratio</v>
      </c>
      <c r="H609" s="90"/>
      <c r="I609" s="89"/>
      <c r="J609" s="89"/>
      <c r="K609" s="270"/>
      <c r="L609" s="270"/>
      <c r="M609" s="270"/>
      <c r="N609" s="270"/>
      <c r="O609" s="270"/>
      <c r="P609" s="270"/>
      <c r="Q609" s="270"/>
      <c r="R609" s="270"/>
      <c r="S609" s="270"/>
      <c r="T609" s="270"/>
      <c r="U609" s="270"/>
      <c r="V609" s="270"/>
      <c r="W609" s="270"/>
      <c r="X609" s="270"/>
      <c r="Y609" s="270"/>
      <c r="Z609" s="270"/>
      <c r="AA609" s="270"/>
      <c r="AB609" s="270"/>
      <c r="AC609" s="270"/>
      <c r="AD609" s="270"/>
      <c r="AE609" s="270"/>
      <c r="AF609" s="270"/>
      <c r="AG609" s="270"/>
      <c r="AH609" s="270"/>
      <c r="AI609" s="270"/>
      <c r="AJ609" s="270"/>
      <c r="AK609" s="270"/>
      <c r="AL609" s="270"/>
      <c r="AM609" s="270"/>
      <c r="AN609" s="270"/>
      <c r="AO609" s="270"/>
      <c r="AP609" s="270"/>
      <c r="AQ609" s="270"/>
      <c r="AR609" s="270"/>
      <c r="AS609" s="270"/>
      <c r="AT609" s="270"/>
      <c r="AU609" s="270"/>
      <c r="AV609" s="270"/>
      <c r="AW609" s="270"/>
      <c r="AX609" s="270"/>
    </row>
    <row r="610" spans="1:50" ht="15" customHeight="1" x14ac:dyDescent="0.25">
      <c r="A610" s="86"/>
      <c r="B610" s="677"/>
      <c r="C610" s="604"/>
      <c r="H610" s="90"/>
      <c r="I610" s="89"/>
      <c r="J610" s="89"/>
      <c r="K610" s="270"/>
      <c r="L610" s="270"/>
      <c r="M610" s="270"/>
      <c r="N610" s="270"/>
      <c r="O610" s="270"/>
      <c r="P610" s="270"/>
      <c r="Q610" s="270"/>
      <c r="R610" s="270"/>
      <c r="S610" s="270"/>
      <c r="T610" s="270"/>
      <c r="U610" s="270"/>
      <c r="V610" s="270"/>
      <c r="W610" s="270"/>
      <c r="X610" s="270"/>
      <c r="Y610" s="270"/>
      <c r="Z610" s="270"/>
      <c r="AA610" s="270"/>
      <c r="AB610" s="270"/>
      <c r="AC610" s="270"/>
      <c r="AD610" s="270"/>
      <c r="AE610" s="270"/>
      <c r="AF610" s="270"/>
      <c r="AG610" s="270"/>
      <c r="AH610" s="270"/>
      <c r="AI610" s="270"/>
      <c r="AJ610" s="270"/>
      <c r="AK610" s="270"/>
      <c r="AL610" s="270"/>
      <c r="AM610" s="270"/>
      <c r="AN610" s="270"/>
      <c r="AO610" s="270"/>
      <c r="AP610" s="270"/>
      <c r="AQ610" s="270"/>
      <c r="AR610" s="270"/>
      <c r="AS610" s="270"/>
      <c r="AT610" s="270"/>
      <c r="AU610" s="270"/>
      <c r="AV610" s="270"/>
      <c r="AW610" s="270"/>
      <c r="AX610" s="270"/>
    </row>
    <row r="611" spans="1:50" ht="15" customHeight="1" x14ac:dyDescent="0.25">
      <c r="A611" s="241"/>
      <c r="B611" s="675"/>
      <c r="C611" s="615"/>
      <c r="D611" s="48"/>
      <c r="E611" s="48" t="str">
        <f xml:space="preserve"> E622 &amp; " " &amp; Translate!E533</f>
        <v>Government profit oil share tier 1 applicable</v>
      </c>
      <c r="F611" s="64"/>
      <c r="G611" s="48" t="str">
        <f>Translate!$E$405</f>
        <v>Flag</v>
      </c>
      <c r="H611" s="48"/>
      <c r="I611" s="48">
        <f ca="1" xml:space="preserve"> SUM(K611:AX611)</f>
        <v>28</v>
      </c>
      <c r="J611" s="48"/>
      <c r="K611" s="55">
        <f t="shared" ref="K611:AX611" ca="1" si="170" xml:space="preserve"> IF( K$603 &lt; $F606, 1, 0) * K618</f>
        <v>0</v>
      </c>
      <c r="L611" s="55">
        <f t="shared" ca="1" si="170"/>
        <v>0</v>
      </c>
      <c r="M611" s="55">
        <f t="shared" ca="1" si="170"/>
        <v>0</v>
      </c>
      <c r="N611" s="55">
        <f t="shared" ca="1" si="170"/>
        <v>0</v>
      </c>
      <c r="O611" s="55">
        <f t="shared" ca="1" si="170"/>
        <v>0</v>
      </c>
      <c r="P611" s="55">
        <f t="shared" ca="1" si="170"/>
        <v>1</v>
      </c>
      <c r="Q611" s="55">
        <f t="shared" ca="1" si="170"/>
        <v>1</v>
      </c>
      <c r="R611" s="55">
        <f t="shared" ca="1" si="170"/>
        <v>1</v>
      </c>
      <c r="S611" s="55">
        <f t="shared" ca="1" si="170"/>
        <v>1</v>
      </c>
      <c r="T611" s="55">
        <f t="shared" ca="1" si="170"/>
        <v>1</v>
      </c>
      <c r="U611" s="55">
        <f t="shared" ca="1" si="170"/>
        <v>1</v>
      </c>
      <c r="V611" s="55">
        <f t="shared" ca="1" si="170"/>
        <v>1</v>
      </c>
      <c r="W611" s="55">
        <f t="shared" ca="1" si="170"/>
        <v>1</v>
      </c>
      <c r="X611" s="55">
        <f t="shared" ca="1" si="170"/>
        <v>1</v>
      </c>
      <c r="Y611" s="55">
        <f t="shared" ca="1" si="170"/>
        <v>1</v>
      </c>
      <c r="Z611" s="55">
        <f t="shared" ca="1" si="170"/>
        <v>1</v>
      </c>
      <c r="AA611" s="55">
        <f t="shared" ca="1" si="170"/>
        <v>1</v>
      </c>
      <c r="AB611" s="55">
        <f t="shared" ca="1" si="170"/>
        <v>1</v>
      </c>
      <c r="AC611" s="55">
        <f t="shared" ca="1" si="170"/>
        <v>1</v>
      </c>
      <c r="AD611" s="55">
        <f t="shared" ca="1" si="170"/>
        <v>1</v>
      </c>
      <c r="AE611" s="55">
        <f t="shared" ca="1" si="170"/>
        <v>1</v>
      </c>
      <c r="AF611" s="55">
        <f t="shared" ca="1" si="170"/>
        <v>1</v>
      </c>
      <c r="AG611" s="55">
        <f t="shared" ca="1" si="170"/>
        <v>1</v>
      </c>
      <c r="AH611" s="55">
        <f t="shared" ca="1" si="170"/>
        <v>1</v>
      </c>
      <c r="AI611" s="55">
        <f t="shared" ca="1" si="170"/>
        <v>1</v>
      </c>
      <c r="AJ611" s="55">
        <f t="shared" ca="1" si="170"/>
        <v>1</v>
      </c>
      <c r="AK611" s="55">
        <f t="shared" ca="1" si="170"/>
        <v>1</v>
      </c>
      <c r="AL611" s="55">
        <f t="shared" ca="1" si="170"/>
        <v>1</v>
      </c>
      <c r="AM611" s="55">
        <f t="shared" ca="1" si="170"/>
        <v>1</v>
      </c>
      <c r="AN611" s="55">
        <f t="shared" ca="1" si="170"/>
        <v>1</v>
      </c>
      <c r="AO611" s="55">
        <f t="shared" ca="1" si="170"/>
        <v>1</v>
      </c>
      <c r="AP611" s="55">
        <f t="shared" ca="1" si="170"/>
        <v>1</v>
      </c>
      <c r="AQ611" s="55">
        <f t="shared" ca="1" si="170"/>
        <v>1</v>
      </c>
      <c r="AR611" s="55">
        <f t="shared" ca="1" si="170"/>
        <v>0</v>
      </c>
      <c r="AS611" s="55">
        <f t="shared" ca="1" si="170"/>
        <v>0</v>
      </c>
      <c r="AT611" s="55">
        <f t="shared" ca="1" si="170"/>
        <v>0</v>
      </c>
      <c r="AU611" s="55">
        <f t="shared" ca="1" si="170"/>
        <v>0</v>
      </c>
      <c r="AV611" s="55">
        <f t="shared" ca="1" si="170"/>
        <v>0</v>
      </c>
      <c r="AW611" s="55">
        <f t="shared" ca="1" si="170"/>
        <v>0</v>
      </c>
      <c r="AX611" s="55">
        <f t="shared" ca="1" si="170"/>
        <v>0</v>
      </c>
    </row>
    <row r="612" spans="1:50" ht="15" customHeight="1" x14ac:dyDescent="0.25">
      <c r="A612" s="241"/>
      <c r="B612" s="675"/>
      <c r="C612" s="615"/>
      <c r="D612" s="48"/>
      <c r="E612" s="48" t="str">
        <f xml:space="preserve"> E623 &amp; " " &amp; Translate!E533</f>
        <v>Government profit oil share tier 2 applicable</v>
      </c>
      <c r="F612" s="64"/>
      <c r="G612" s="48" t="str">
        <f>Translate!$E$405</f>
        <v>Flag</v>
      </c>
      <c r="H612" s="48"/>
      <c r="I612" s="48">
        <f ca="1" xml:space="preserve"> SUM(K612:AX612)</f>
        <v>0</v>
      </c>
      <c r="J612" s="48"/>
      <c r="K612" s="55">
        <f t="shared" ref="K612:AX612" si="171" xml:space="preserve"> AND( K$603 &gt;= $F606, K$603 &lt; $F607 ) * 1</f>
        <v>0</v>
      </c>
      <c r="L612" s="55">
        <f t="shared" ca="1" si="171"/>
        <v>0</v>
      </c>
      <c r="M612" s="55">
        <f t="shared" ca="1" si="171"/>
        <v>0</v>
      </c>
      <c r="N612" s="55">
        <f t="shared" ca="1" si="171"/>
        <v>0</v>
      </c>
      <c r="O612" s="55">
        <f t="shared" ca="1" si="171"/>
        <v>0</v>
      </c>
      <c r="P612" s="55">
        <f t="shared" ca="1" si="171"/>
        <v>0</v>
      </c>
      <c r="Q612" s="55">
        <f t="shared" ca="1" si="171"/>
        <v>0</v>
      </c>
      <c r="R612" s="55">
        <f t="shared" ca="1" si="171"/>
        <v>0</v>
      </c>
      <c r="S612" s="55">
        <f t="shared" ca="1" si="171"/>
        <v>0</v>
      </c>
      <c r="T612" s="55">
        <f t="shared" ca="1" si="171"/>
        <v>0</v>
      </c>
      <c r="U612" s="55">
        <f t="shared" ca="1" si="171"/>
        <v>0</v>
      </c>
      <c r="V612" s="55">
        <f t="shared" ca="1" si="171"/>
        <v>0</v>
      </c>
      <c r="W612" s="55">
        <f t="shared" ca="1" si="171"/>
        <v>0</v>
      </c>
      <c r="X612" s="55">
        <f t="shared" ca="1" si="171"/>
        <v>0</v>
      </c>
      <c r="Y612" s="55">
        <f t="shared" ca="1" si="171"/>
        <v>0</v>
      </c>
      <c r="Z612" s="55">
        <f t="shared" ca="1" si="171"/>
        <v>0</v>
      </c>
      <c r="AA612" s="55">
        <f t="shared" ca="1" si="171"/>
        <v>0</v>
      </c>
      <c r="AB612" s="55">
        <f t="shared" ca="1" si="171"/>
        <v>0</v>
      </c>
      <c r="AC612" s="55">
        <f t="shared" ca="1" si="171"/>
        <v>0</v>
      </c>
      <c r="AD612" s="55">
        <f t="shared" ca="1" si="171"/>
        <v>0</v>
      </c>
      <c r="AE612" s="55">
        <f t="shared" ca="1" si="171"/>
        <v>0</v>
      </c>
      <c r="AF612" s="55">
        <f t="shared" ca="1" si="171"/>
        <v>0</v>
      </c>
      <c r="AG612" s="55">
        <f t="shared" ca="1" si="171"/>
        <v>0</v>
      </c>
      <c r="AH612" s="55">
        <f t="shared" ca="1" si="171"/>
        <v>0</v>
      </c>
      <c r="AI612" s="55">
        <f t="shared" ca="1" si="171"/>
        <v>0</v>
      </c>
      <c r="AJ612" s="55">
        <f t="shared" ca="1" si="171"/>
        <v>0</v>
      </c>
      <c r="AK612" s="55">
        <f t="shared" ca="1" si="171"/>
        <v>0</v>
      </c>
      <c r="AL612" s="55">
        <f t="shared" ca="1" si="171"/>
        <v>0</v>
      </c>
      <c r="AM612" s="55">
        <f t="shared" ca="1" si="171"/>
        <v>0</v>
      </c>
      <c r="AN612" s="55">
        <f t="shared" ca="1" si="171"/>
        <v>0</v>
      </c>
      <c r="AO612" s="55">
        <f t="shared" ca="1" si="171"/>
        <v>0</v>
      </c>
      <c r="AP612" s="55">
        <f t="shared" ca="1" si="171"/>
        <v>0</v>
      </c>
      <c r="AQ612" s="55">
        <f t="shared" ca="1" si="171"/>
        <v>0</v>
      </c>
      <c r="AR612" s="55">
        <f t="shared" ca="1" si="171"/>
        <v>0</v>
      </c>
      <c r="AS612" s="55">
        <f t="shared" ca="1" si="171"/>
        <v>0</v>
      </c>
      <c r="AT612" s="55">
        <f t="shared" ca="1" si="171"/>
        <v>0</v>
      </c>
      <c r="AU612" s="55">
        <f t="shared" ca="1" si="171"/>
        <v>0</v>
      </c>
      <c r="AV612" s="55">
        <f t="shared" ca="1" si="171"/>
        <v>0</v>
      </c>
      <c r="AW612" s="55">
        <f t="shared" ca="1" si="171"/>
        <v>0</v>
      </c>
      <c r="AX612" s="55">
        <f t="shared" ca="1" si="171"/>
        <v>0</v>
      </c>
    </row>
    <row r="613" spans="1:50" ht="15" customHeight="1" x14ac:dyDescent="0.25">
      <c r="A613" s="241"/>
      <c r="B613" s="675"/>
      <c r="C613" s="615"/>
      <c r="D613" s="48"/>
      <c r="E613" s="48" t="str">
        <f xml:space="preserve"> E624 &amp; " " &amp; Translate!E533</f>
        <v>Government profit oil share tier 3 applicable</v>
      </c>
      <c r="F613" s="64"/>
      <c r="G613" s="48" t="str">
        <f>Translate!$E$405</f>
        <v>Flag</v>
      </c>
      <c r="H613" s="48"/>
      <c r="I613" s="48">
        <f ca="1" xml:space="preserve"> SUM(K613:AX613)</f>
        <v>0</v>
      </c>
      <c r="J613" s="48"/>
      <c r="K613" s="55">
        <f t="shared" ref="K613:AX613" si="172" xml:space="preserve"> AND( K$603 &gt;= $F607, K$603 &lt; $F608 ) * 1</f>
        <v>0</v>
      </c>
      <c r="L613" s="55">
        <f t="shared" ca="1" si="172"/>
        <v>0</v>
      </c>
      <c r="M613" s="55">
        <f t="shared" ca="1" si="172"/>
        <v>0</v>
      </c>
      <c r="N613" s="55">
        <f t="shared" ca="1" si="172"/>
        <v>0</v>
      </c>
      <c r="O613" s="55">
        <f t="shared" ca="1" si="172"/>
        <v>0</v>
      </c>
      <c r="P613" s="55">
        <f t="shared" ca="1" si="172"/>
        <v>0</v>
      </c>
      <c r="Q613" s="55">
        <f t="shared" ca="1" si="172"/>
        <v>0</v>
      </c>
      <c r="R613" s="55">
        <f t="shared" ca="1" si="172"/>
        <v>0</v>
      </c>
      <c r="S613" s="55">
        <f t="shared" ca="1" si="172"/>
        <v>0</v>
      </c>
      <c r="T613" s="55">
        <f t="shared" ca="1" si="172"/>
        <v>0</v>
      </c>
      <c r="U613" s="55">
        <f t="shared" ca="1" si="172"/>
        <v>0</v>
      </c>
      <c r="V613" s="55">
        <f t="shared" ca="1" si="172"/>
        <v>0</v>
      </c>
      <c r="W613" s="55">
        <f t="shared" ca="1" si="172"/>
        <v>0</v>
      </c>
      <c r="X613" s="55">
        <f t="shared" ca="1" si="172"/>
        <v>0</v>
      </c>
      <c r="Y613" s="55">
        <f t="shared" ca="1" si="172"/>
        <v>0</v>
      </c>
      <c r="Z613" s="55">
        <f t="shared" ca="1" si="172"/>
        <v>0</v>
      </c>
      <c r="AA613" s="55">
        <f t="shared" ca="1" si="172"/>
        <v>0</v>
      </c>
      <c r="AB613" s="55">
        <f t="shared" ca="1" si="172"/>
        <v>0</v>
      </c>
      <c r="AC613" s="55">
        <f t="shared" ca="1" si="172"/>
        <v>0</v>
      </c>
      <c r="AD613" s="55">
        <f t="shared" ca="1" si="172"/>
        <v>0</v>
      </c>
      <c r="AE613" s="55">
        <f t="shared" ca="1" si="172"/>
        <v>0</v>
      </c>
      <c r="AF613" s="55">
        <f t="shared" ca="1" si="172"/>
        <v>0</v>
      </c>
      <c r="AG613" s="55">
        <f t="shared" ca="1" si="172"/>
        <v>0</v>
      </c>
      <c r="AH613" s="55">
        <f t="shared" ca="1" si="172"/>
        <v>0</v>
      </c>
      <c r="AI613" s="55">
        <f t="shared" ca="1" si="172"/>
        <v>0</v>
      </c>
      <c r="AJ613" s="55">
        <f t="shared" ca="1" si="172"/>
        <v>0</v>
      </c>
      <c r="AK613" s="55">
        <f t="shared" ca="1" si="172"/>
        <v>0</v>
      </c>
      <c r="AL613" s="55">
        <f t="shared" ca="1" si="172"/>
        <v>0</v>
      </c>
      <c r="AM613" s="55">
        <f t="shared" ca="1" si="172"/>
        <v>0</v>
      </c>
      <c r="AN613" s="55">
        <f t="shared" ca="1" si="172"/>
        <v>0</v>
      </c>
      <c r="AO613" s="55">
        <f t="shared" ca="1" si="172"/>
        <v>0</v>
      </c>
      <c r="AP613" s="55">
        <f t="shared" ca="1" si="172"/>
        <v>0</v>
      </c>
      <c r="AQ613" s="55">
        <f t="shared" ca="1" si="172"/>
        <v>0</v>
      </c>
      <c r="AR613" s="55">
        <f t="shared" ca="1" si="172"/>
        <v>0</v>
      </c>
      <c r="AS613" s="55">
        <f t="shared" ca="1" si="172"/>
        <v>0</v>
      </c>
      <c r="AT613" s="55">
        <f t="shared" ca="1" si="172"/>
        <v>0</v>
      </c>
      <c r="AU613" s="55">
        <f t="shared" ca="1" si="172"/>
        <v>0</v>
      </c>
      <c r="AV613" s="55">
        <f t="shared" ca="1" si="172"/>
        <v>0</v>
      </c>
      <c r="AW613" s="55">
        <f t="shared" ca="1" si="172"/>
        <v>0</v>
      </c>
      <c r="AX613" s="55">
        <f t="shared" ca="1" si="172"/>
        <v>0</v>
      </c>
    </row>
    <row r="614" spans="1:50" ht="15" customHeight="1" x14ac:dyDescent="0.25">
      <c r="A614" s="241"/>
      <c r="B614" s="675"/>
      <c r="C614" s="615"/>
      <c r="D614" s="48"/>
      <c r="E614" s="48" t="str">
        <f xml:space="preserve"> E625 &amp; " " &amp; Translate!E533</f>
        <v>Government profit oil share tier 4 applicable</v>
      </c>
      <c r="F614" s="64"/>
      <c r="G614" s="48" t="str">
        <f>Translate!$E$405</f>
        <v>Flag</v>
      </c>
      <c r="H614" s="48"/>
      <c r="I614" s="48">
        <f ca="1" xml:space="preserve"> SUM(K614:AX614)</f>
        <v>0</v>
      </c>
      <c r="J614" s="48"/>
      <c r="K614" s="55">
        <f t="shared" ref="K614:AX614" si="173" xml:space="preserve"> AND( K$603 &gt;= $F608, K$603 &lt; $F609 ) * 1</f>
        <v>0</v>
      </c>
      <c r="L614" s="55">
        <f t="shared" ca="1" si="173"/>
        <v>0</v>
      </c>
      <c r="M614" s="55">
        <f t="shared" ca="1" si="173"/>
        <v>0</v>
      </c>
      <c r="N614" s="55">
        <f t="shared" ca="1" si="173"/>
        <v>0</v>
      </c>
      <c r="O614" s="55">
        <f t="shared" ca="1" si="173"/>
        <v>0</v>
      </c>
      <c r="P614" s="55">
        <f t="shared" ca="1" si="173"/>
        <v>0</v>
      </c>
      <c r="Q614" s="55">
        <f t="shared" ca="1" si="173"/>
        <v>0</v>
      </c>
      <c r="R614" s="55">
        <f t="shared" ca="1" si="173"/>
        <v>0</v>
      </c>
      <c r="S614" s="55">
        <f t="shared" ca="1" si="173"/>
        <v>0</v>
      </c>
      <c r="T614" s="55">
        <f t="shared" ca="1" si="173"/>
        <v>0</v>
      </c>
      <c r="U614" s="55">
        <f t="shared" ca="1" si="173"/>
        <v>0</v>
      </c>
      <c r="V614" s="55">
        <f t="shared" ca="1" si="173"/>
        <v>0</v>
      </c>
      <c r="W614" s="55">
        <f t="shared" ca="1" si="173"/>
        <v>0</v>
      </c>
      <c r="X614" s="55">
        <f t="shared" ca="1" si="173"/>
        <v>0</v>
      </c>
      <c r="Y614" s="55">
        <f t="shared" ca="1" si="173"/>
        <v>0</v>
      </c>
      <c r="Z614" s="55">
        <f t="shared" ca="1" si="173"/>
        <v>0</v>
      </c>
      <c r="AA614" s="55">
        <f t="shared" ca="1" si="173"/>
        <v>0</v>
      </c>
      <c r="AB614" s="55">
        <f t="shared" ca="1" si="173"/>
        <v>0</v>
      </c>
      <c r="AC614" s="55">
        <f t="shared" ca="1" si="173"/>
        <v>0</v>
      </c>
      <c r="AD614" s="55">
        <f t="shared" ca="1" si="173"/>
        <v>0</v>
      </c>
      <c r="AE614" s="55">
        <f t="shared" ca="1" si="173"/>
        <v>0</v>
      </c>
      <c r="AF614" s="55">
        <f t="shared" ca="1" si="173"/>
        <v>0</v>
      </c>
      <c r="AG614" s="55">
        <f t="shared" ca="1" si="173"/>
        <v>0</v>
      </c>
      <c r="AH614" s="55">
        <f t="shared" ca="1" si="173"/>
        <v>0</v>
      </c>
      <c r="AI614" s="55">
        <f t="shared" ca="1" si="173"/>
        <v>0</v>
      </c>
      <c r="AJ614" s="55">
        <f t="shared" ca="1" si="173"/>
        <v>0</v>
      </c>
      <c r="AK614" s="55">
        <f t="shared" ca="1" si="173"/>
        <v>0</v>
      </c>
      <c r="AL614" s="55">
        <f t="shared" ca="1" si="173"/>
        <v>0</v>
      </c>
      <c r="AM614" s="55">
        <f t="shared" ca="1" si="173"/>
        <v>0</v>
      </c>
      <c r="AN614" s="55">
        <f t="shared" ca="1" si="173"/>
        <v>0</v>
      </c>
      <c r="AO614" s="55">
        <f t="shared" ca="1" si="173"/>
        <v>0</v>
      </c>
      <c r="AP614" s="55">
        <f t="shared" ca="1" si="173"/>
        <v>0</v>
      </c>
      <c r="AQ614" s="55">
        <f t="shared" ca="1" si="173"/>
        <v>0</v>
      </c>
      <c r="AR614" s="55">
        <f t="shared" ca="1" si="173"/>
        <v>0</v>
      </c>
      <c r="AS614" s="55">
        <f t="shared" ca="1" si="173"/>
        <v>0</v>
      </c>
      <c r="AT614" s="55">
        <f t="shared" ca="1" si="173"/>
        <v>0</v>
      </c>
      <c r="AU614" s="55">
        <f t="shared" ca="1" si="173"/>
        <v>0</v>
      </c>
      <c r="AV614" s="55">
        <f t="shared" ca="1" si="173"/>
        <v>0</v>
      </c>
      <c r="AW614" s="55">
        <f t="shared" ca="1" si="173"/>
        <v>0</v>
      </c>
      <c r="AX614" s="55">
        <f t="shared" ca="1" si="173"/>
        <v>0</v>
      </c>
    </row>
    <row r="615" spans="1:50" ht="15" customHeight="1" x14ac:dyDescent="0.25">
      <c r="A615" s="241"/>
      <c r="B615" s="675"/>
      <c r="C615" s="615"/>
      <c r="D615" s="48"/>
      <c r="E615" s="48" t="str">
        <f xml:space="preserve"> E626 &amp; " " &amp; Translate!E533</f>
        <v>Government profit oil share tier 5 applicable</v>
      </c>
      <c r="F615" s="64"/>
      <c r="G615" s="48" t="str">
        <f>Translate!$E$405</f>
        <v>Flag</v>
      </c>
      <c r="H615" s="48"/>
      <c r="I615" s="48">
        <f ca="1" xml:space="preserve"> SUM(K615:AX615)</f>
        <v>5</v>
      </c>
      <c r="J615" s="48"/>
      <c r="K615" s="55">
        <f t="shared" ref="K615:AX615" si="174" xml:space="preserve"> IF( K$603 &gt;= $F609, 1, 0)</f>
        <v>1</v>
      </c>
      <c r="L615" s="55">
        <f t="shared" ca="1" si="174"/>
        <v>1</v>
      </c>
      <c r="M615" s="55">
        <f t="shared" ca="1" si="174"/>
        <v>1</v>
      </c>
      <c r="N615" s="55">
        <f t="shared" ca="1" si="174"/>
        <v>1</v>
      </c>
      <c r="O615" s="55">
        <f t="shared" ca="1" si="174"/>
        <v>1</v>
      </c>
      <c r="P615" s="55">
        <f t="shared" ca="1" si="174"/>
        <v>0</v>
      </c>
      <c r="Q615" s="55">
        <f t="shared" ca="1" si="174"/>
        <v>0</v>
      </c>
      <c r="R615" s="55">
        <f t="shared" ca="1" si="174"/>
        <v>0</v>
      </c>
      <c r="S615" s="55">
        <f t="shared" ca="1" si="174"/>
        <v>0</v>
      </c>
      <c r="T615" s="55">
        <f t="shared" ca="1" si="174"/>
        <v>0</v>
      </c>
      <c r="U615" s="55">
        <f t="shared" ca="1" si="174"/>
        <v>0</v>
      </c>
      <c r="V615" s="55">
        <f t="shared" ca="1" si="174"/>
        <v>0</v>
      </c>
      <c r="W615" s="55">
        <f t="shared" ca="1" si="174"/>
        <v>0</v>
      </c>
      <c r="X615" s="55">
        <f t="shared" ca="1" si="174"/>
        <v>0</v>
      </c>
      <c r="Y615" s="55">
        <f t="shared" ca="1" si="174"/>
        <v>0</v>
      </c>
      <c r="Z615" s="55">
        <f t="shared" ca="1" si="174"/>
        <v>0</v>
      </c>
      <c r="AA615" s="55">
        <f t="shared" ca="1" si="174"/>
        <v>0</v>
      </c>
      <c r="AB615" s="55">
        <f t="shared" ca="1" si="174"/>
        <v>0</v>
      </c>
      <c r="AC615" s="55">
        <f t="shared" ca="1" si="174"/>
        <v>0</v>
      </c>
      <c r="AD615" s="55">
        <f t="shared" ca="1" si="174"/>
        <v>0</v>
      </c>
      <c r="AE615" s="55">
        <f t="shared" ca="1" si="174"/>
        <v>0</v>
      </c>
      <c r="AF615" s="55">
        <f t="shared" ca="1" si="174"/>
        <v>0</v>
      </c>
      <c r="AG615" s="55">
        <f t="shared" ca="1" si="174"/>
        <v>0</v>
      </c>
      <c r="AH615" s="55">
        <f t="shared" ca="1" si="174"/>
        <v>0</v>
      </c>
      <c r="AI615" s="55">
        <f t="shared" ca="1" si="174"/>
        <v>0</v>
      </c>
      <c r="AJ615" s="55">
        <f t="shared" ca="1" si="174"/>
        <v>0</v>
      </c>
      <c r="AK615" s="55">
        <f t="shared" ca="1" si="174"/>
        <v>0</v>
      </c>
      <c r="AL615" s="55">
        <f t="shared" ca="1" si="174"/>
        <v>0</v>
      </c>
      <c r="AM615" s="55">
        <f t="shared" ca="1" si="174"/>
        <v>0</v>
      </c>
      <c r="AN615" s="55">
        <f t="shared" ca="1" si="174"/>
        <v>0</v>
      </c>
      <c r="AO615" s="55">
        <f t="shared" ca="1" si="174"/>
        <v>0</v>
      </c>
      <c r="AP615" s="55">
        <f t="shared" ca="1" si="174"/>
        <v>0</v>
      </c>
      <c r="AQ615" s="55">
        <f t="shared" ca="1" si="174"/>
        <v>0</v>
      </c>
      <c r="AR615" s="55">
        <f t="shared" ca="1" si="174"/>
        <v>0</v>
      </c>
      <c r="AS615" s="55">
        <f t="shared" ca="1" si="174"/>
        <v>0</v>
      </c>
      <c r="AT615" s="55">
        <f t="shared" ca="1" si="174"/>
        <v>0</v>
      </c>
      <c r="AU615" s="55">
        <f t="shared" ca="1" si="174"/>
        <v>0</v>
      </c>
      <c r="AV615" s="55">
        <f t="shared" ca="1" si="174"/>
        <v>0</v>
      </c>
      <c r="AW615" s="55">
        <f t="shared" ca="1" si="174"/>
        <v>0</v>
      </c>
      <c r="AX615" s="55">
        <f t="shared" ca="1" si="174"/>
        <v>0</v>
      </c>
    </row>
    <row r="616" spans="1:50" ht="15" customHeight="1" x14ac:dyDescent="0.25">
      <c r="A616" s="241"/>
      <c r="B616" s="675"/>
      <c r="C616" s="615"/>
      <c r="D616" s="48"/>
      <c r="E616" s="48"/>
      <c r="F616" s="64"/>
      <c r="G616" s="48"/>
      <c r="H616" s="48"/>
      <c r="I616" s="48"/>
      <c r="J616" s="48"/>
      <c r="K616" s="55"/>
      <c r="L616" s="55"/>
      <c r="M616" s="55"/>
      <c r="N616" s="55"/>
      <c r="O616" s="55"/>
      <c r="P616" s="55"/>
      <c r="Q616" s="55"/>
      <c r="R616" s="55"/>
      <c r="S616" s="55"/>
      <c r="T616" s="55"/>
      <c r="U616" s="55"/>
      <c r="V616" s="55"/>
      <c r="W616" s="55"/>
      <c r="X616" s="55"/>
      <c r="Y616" s="55"/>
      <c r="Z616" s="55"/>
      <c r="AA616" s="55"/>
      <c r="AB616" s="55"/>
      <c r="AC616" s="55"/>
      <c r="AD616" s="55"/>
      <c r="AE616" s="55"/>
      <c r="AF616" s="55"/>
      <c r="AG616" s="55"/>
      <c r="AH616" s="55"/>
      <c r="AI616" s="55"/>
      <c r="AJ616" s="55"/>
      <c r="AK616" s="55"/>
      <c r="AL616" s="55"/>
      <c r="AM616" s="55"/>
      <c r="AN616" s="55"/>
      <c r="AO616" s="55"/>
      <c r="AP616" s="55"/>
      <c r="AQ616" s="55"/>
      <c r="AR616" s="55"/>
      <c r="AS616" s="55"/>
      <c r="AT616" s="55"/>
      <c r="AU616" s="55"/>
      <c r="AV616" s="55"/>
      <c r="AW616" s="55"/>
      <c r="AX616" s="55"/>
    </row>
    <row r="617" spans="1:50" ht="15" customHeight="1" x14ac:dyDescent="0.25">
      <c r="A617" s="241"/>
      <c r="B617" s="675"/>
      <c r="C617" s="615"/>
      <c r="D617" s="48"/>
      <c r="E617" s="48" t="str">
        <f xml:space="preserve"> Translate!E$310</f>
        <v>Sum of R-Factor tiers</v>
      </c>
      <c r="F617" s="64"/>
      <c r="G617" s="48" t="str">
        <f>Translate!$E$405</f>
        <v>Flag</v>
      </c>
      <c r="H617" s="48"/>
      <c r="I617" s="48">
        <f ca="1" xml:space="preserve"> SUM(K617:AX617)</f>
        <v>33</v>
      </c>
      <c r="J617" s="48"/>
      <c r="K617" s="55">
        <f t="shared" ref="K617:AX617" ca="1" si="175">SUM(K611:K615)</f>
        <v>1</v>
      </c>
      <c r="L617" s="55">
        <f t="shared" ca="1" si="175"/>
        <v>1</v>
      </c>
      <c r="M617" s="55">
        <f t="shared" ca="1" si="175"/>
        <v>1</v>
      </c>
      <c r="N617" s="55">
        <f t="shared" ca="1" si="175"/>
        <v>1</v>
      </c>
      <c r="O617" s="55">
        <f t="shared" ca="1" si="175"/>
        <v>1</v>
      </c>
      <c r="P617" s="55">
        <f t="shared" ca="1" si="175"/>
        <v>1</v>
      </c>
      <c r="Q617" s="55">
        <f t="shared" ca="1" si="175"/>
        <v>1</v>
      </c>
      <c r="R617" s="55">
        <f t="shared" ca="1" si="175"/>
        <v>1</v>
      </c>
      <c r="S617" s="55">
        <f t="shared" ca="1" si="175"/>
        <v>1</v>
      </c>
      <c r="T617" s="55">
        <f t="shared" ca="1" si="175"/>
        <v>1</v>
      </c>
      <c r="U617" s="55">
        <f t="shared" ca="1" si="175"/>
        <v>1</v>
      </c>
      <c r="V617" s="55">
        <f t="shared" ca="1" si="175"/>
        <v>1</v>
      </c>
      <c r="W617" s="55">
        <f t="shared" ca="1" si="175"/>
        <v>1</v>
      </c>
      <c r="X617" s="55">
        <f t="shared" ca="1" si="175"/>
        <v>1</v>
      </c>
      <c r="Y617" s="55">
        <f t="shared" ca="1" si="175"/>
        <v>1</v>
      </c>
      <c r="Z617" s="55">
        <f t="shared" ca="1" si="175"/>
        <v>1</v>
      </c>
      <c r="AA617" s="55">
        <f t="shared" ca="1" si="175"/>
        <v>1</v>
      </c>
      <c r="AB617" s="55">
        <f t="shared" ca="1" si="175"/>
        <v>1</v>
      </c>
      <c r="AC617" s="55">
        <f t="shared" ca="1" si="175"/>
        <v>1</v>
      </c>
      <c r="AD617" s="55">
        <f t="shared" ca="1" si="175"/>
        <v>1</v>
      </c>
      <c r="AE617" s="55">
        <f t="shared" ca="1" si="175"/>
        <v>1</v>
      </c>
      <c r="AF617" s="55">
        <f t="shared" ca="1" si="175"/>
        <v>1</v>
      </c>
      <c r="AG617" s="55">
        <f t="shared" ca="1" si="175"/>
        <v>1</v>
      </c>
      <c r="AH617" s="55">
        <f t="shared" ca="1" si="175"/>
        <v>1</v>
      </c>
      <c r="AI617" s="55">
        <f t="shared" ca="1" si="175"/>
        <v>1</v>
      </c>
      <c r="AJ617" s="55">
        <f t="shared" ca="1" si="175"/>
        <v>1</v>
      </c>
      <c r="AK617" s="55">
        <f t="shared" ca="1" si="175"/>
        <v>1</v>
      </c>
      <c r="AL617" s="55">
        <f t="shared" ca="1" si="175"/>
        <v>1</v>
      </c>
      <c r="AM617" s="55">
        <f t="shared" ca="1" si="175"/>
        <v>1</v>
      </c>
      <c r="AN617" s="55">
        <f t="shared" ca="1" si="175"/>
        <v>1</v>
      </c>
      <c r="AO617" s="55">
        <f t="shared" ca="1" si="175"/>
        <v>1</v>
      </c>
      <c r="AP617" s="55">
        <f t="shared" ca="1" si="175"/>
        <v>1</v>
      </c>
      <c r="AQ617" s="55">
        <f t="shared" ca="1" si="175"/>
        <v>1</v>
      </c>
      <c r="AR617" s="55">
        <f t="shared" ca="1" si="175"/>
        <v>0</v>
      </c>
      <c r="AS617" s="55">
        <f t="shared" ca="1" si="175"/>
        <v>0</v>
      </c>
      <c r="AT617" s="55">
        <f t="shared" ca="1" si="175"/>
        <v>0</v>
      </c>
      <c r="AU617" s="55">
        <f t="shared" ca="1" si="175"/>
        <v>0</v>
      </c>
      <c r="AV617" s="55">
        <f t="shared" ca="1" si="175"/>
        <v>0</v>
      </c>
      <c r="AW617" s="55">
        <f t="shared" ca="1" si="175"/>
        <v>0</v>
      </c>
      <c r="AX617" s="55">
        <f t="shared" ca="1" si="175"/>
        <v>0</v>
      </c>
    </row>
    <row r="618" spans="1:50" s="40" customFormat="1" ht="15" customHeight="1" x14ac:dyDescent="0.25">
      <c r="A618" s="139"/>
      <c r="B618" s="677"/>
      <c r="C618" s="613"/>
      <c r="D618" s="354"/>
      <c r="E618" s="40" t="str">
        <f xml:space="preserve"> ProjectCashflows!E$173</f>
        <v>Project activity</v>
      </c>
      <c r="F618" s="283">
        <f xml:space="preserve"> ProjectCashflows!F$173</f>
        <v>0</v>
      </c>
      <c r="G618" s="40" t="str">
        <f xml:space="preserve"> ProjectCashflows!G$173</f>
        <v>Flag</v>
      </c>
      <c r="H618" s="40">
        <f xml:space="preserve"> ProjectCashflows!H$173</f>
        <v>0</v>
      </c>
      <c r="I618" s="40">
        <f ca="1" xml:space="preserve"> ProjectCashflows!I$173</f>
        <v>33</v>
      </c>
      <c r="J618" s="40">
        <f xml:space="preserve"> ProjectCashflows!J$173</f>
        <v>0</v>
      </c>
      <c r="K618" s="40">
        <f ca="1" xml:space="preserve"> ProjectCashflows!K$173</f>
        <v>1</v>
      </c>
      <c r="L618" s="40">
        <f ca="1" xml:space="preserve"> ProjectCashflows!L$173</f>
        <v>1</v>
      </c>
      <c r="M618" s="40">
        <f ca="1" xml:space="preserve"> ProjectCashflows!M$173</f>
        <v>1</v>
      </c>
      <c r="N618" s="40">
        <f ca="1" xml:space="preserve"> ProjectCashflows!N$173</f>
        <v>1</v>
      </c>
      <c r="O618" s="40">
        <f ca="1" xml:space="preserve"> ProjectCashflows!O$173</f>
        <v>1</v>
      </c>
      <c r="P618" s="40">
        <f ca="1" xml:space="preserve"> ProjectCashflows!P$173</f>
        <v>1</v>
      </c>
      <c r="Q618" s="40">
        <f ca="1" xml:space="preserve"> ProjectCashflows!Q$173</f>
        <v>1</v>
      </c>
      <c r="R618" s="40">
        <f ca="1" xml:space="preserve"> ProjectCashflows!R$173</f>
        <v>1</v>
      </c>
      <c r="S618" s="40">
        <f ca="1" xml:space="preserve"> ProjectCashflows!S$173</f>
        <v>1</v>
      </c>
      <c r="T618" s="40">
        <f ca="1" xml:space="preserve"> ProjectCashflows!T$173</f>
        <v>1</v>
      </c>
      <c r="U618" s="40">
        <f ca="1" xml:space="preserve"> ProjectCashflows!U$173</f>
        <v>1</v>
      </c>
      <c r="V618" s="40">
        <f ca="1" xml:space="preserve"> ProjectCashflows!V$173</f>
        <v>1</v>
      </c>
      <c r="W618" s="40">
        <f ca="1" xml:space="preserve"> ProjectCashflows!W$173</f>
        <v>1</v>
      </c>
      <c r="X618" s="40">
        <f ca="1" xml:space="preserve"> ProjectCashflows!X$173</f>
        <v>1</v>
      </c>
      <c r="Y618" s="40">
        <f ca="1" xml:space="preserve"> ProjectCashflows!Y$173</f>
        <v>1</v>
      </c>
      <c r="Z618" s="40">
        <f ca="1" xml:space="preserve"> ProjectCashflows!Z$173</f>
        <v>1</v>
      </c>
      <c r="AA618" s="40">
        <f ca="1" xml:space="preserve"> ProjectCashflows!AA$173</f>
        <v>1</v>
      </c>
      <c r="AB618" s="40">
        <f ca="1" xml:space="preserve"> ProjectCashflows!AB$173</f>
        <v>1</v>
      </c>
      <c r="AC618" s="40">
        <f ca="1" xml:space="preserve"> ProjectCashflows!AC$173</f>
        <v>1</v>
      </c>
      <c r="AD618" s="40">
        <f ca="1" xml:space="preserve"> ProjectCashflows!AD$173</f>
        <v>1</v>
      </c>
      <c r="AE618" s="40">
        <f ca="1" xml:space="preserve"> ProjectCashflows!AE$173</f>
        <v>1</v>
      </c>
      <c r="AF618" s="40">
        <f ca="1" xml:space="preserve"> ProjectCashflows!AF$173</f>
        <v>1</v>
      </c>
      <c r="AG618" s="40">
        <f ca="1" xml:space="preserve"> ProjectCashflows!AG$173</f>
        <v>1</v>
      </c>
      <c r="AH618" s="40">
        <f ca="1" xml:space="preserve"> ProjectCashflows!AH$173</f>
        <v>1</v>
      </c>
      <c r="AI618" s="40">
        <f ca="1" xml:space="preserve"> ProjectCashflows!AI$173</f>
        <v>1</v>
      </c>
      <c r="AJ618" s="40">
        <f ca="1" xml:space="preserve"> ProjectCashflows!AJ$173</f>
        <v>1</v>
      </c>
      <c r="AK618" s="40">
        <f ca="1" xml:space="preserve"> ProjectCashflows!AK$173</f>
        <v>1</v>
      </c>
      <c r="AL618" s="40">
        <f ca="1" xml:space="preserve"> ProjectCashflows!AL$173</f>
        <v>1</v>
      </c>
      <c r="AM618" s="40">
        <f ca="1" xml:space="preserve"> ProjectCashflows!AM$173</f>
        <v>1</v>
      </c>
      <c r="AN618" s="40">
        <f ca="1" xml:space="preserve"> ProjectCashflows!AN$173</f>
        <v>1</v>
      </c>
      <c r="AO618" s="40">
        <f ca="1" xml:space="preserve"> ProjectCashflows!AO$173</f>
        <v>1</v>
      </c>
      <c r="AP618" s="40">
        <f ca="1" xml:space="preserve"> ProjectCashflows!AP$173</f>
        <v>1</v>
      </c>
      <c r="AQ618" s="40">
        <f ca="1" xml:space="preserve"> ProjectCashflows!AQ$173</f>
        <v>1</v>
      </c>
      <c r="AR618" s="40">
        <f ca="1" xml:space="preserve"> ProjectCashflows!AR$173</f>
        <v>0</v>
      </c>
      <c r="AS618" s="40">
        <f ca="1" xml:space="preserve"> ProjectCashflows!AS$173</f>
        <v>0</v>
      </c>
      <c r="AT618" s="40">
        <f ca="1" xml:space="preserve"> ProjectCashflows!AT$173</f>
        <v>0</v>
      </c>
      <c r="AU618" s="40">
        <f ca="1" xml:space="preserve"> ProjectCashflows!AU$173</f>
        <v>0</v>
      </c>
      <c r="AV618" s="40">
        <f ca="1" xml:space="preserve"> ProjectCashflows!AV$173</f>
        <v>0</v>
      </c>
      <c r="AW618" s="40">
        <f ca="1" xml:space="preserve"> ProjectCashflows!AW$173</f>
        <v>0</v>
      </c>
      <c r="AX618" s="40">
        <f ca="1" xml:space="preserve"> ProjectCashflows!AX$173</f>
        <v>0</v>
      </c>
    </row>
    <row r="619" spans="1:50" ht="15" customHeight="1" x14ac:dyDescent="0.25">
      <c r="A619" s="86"/>
      <c r="B619" s="677"/>
      <c r="C619" s="604"/>
      <c r="D619" s="162"/>
      <c r="E619" s="90" t="str">
        <f xml:space="preserve"> Translate!E$755 &amp; " " &amp; Translate!E$311</f>
        <v>Check:  R-Factor tier allocation</v>
      </c>
      <c r="F619" s="157">
        <f ca="1" xml:space="preserve"> MIN( 1, SUM(K619:AX619))</f>
        <v>0</v>
      </c>
      <c r="G619" s="90" t="str">
        <f xml:space="preserve"> Translate!E$604</f>
        <v>Check</v>
      </c>
      <c r="H619" s="90"/>
      <c r="I619" s="89">
        <f ca="1" xml:space="preserve"> SUM(K619:AX619)</f>
        <v>0</v>
      </c>
      <c r="J619" s="89"/>
      <c r="K619" s="157">
        <f t="shared" ref="K619:AX619" ca="1" si="176" xml:space="preserve"> IF(K618 = 1, IF(K617 &lt;&gt; 1, 1, 0), 0)</f>
        <v>0</v>
      </c>
      <c r="L619" s="157">
        <f t="shared" ca="1" si="176"/>
        <v>0</v>
      </c>
      <c r="M619" s="157">
        <f t="shared" ca="1" si="176"/>
        <v>0</v>
      </c>
      <c r="N619" s="157">
        <f t="shared" ca="1" si="176"/>
        <v>0</v>
      </c>
      <c r="O619" s="157">
        <f t="shared" ca="1" si="176"/>
        <v>0</v>
      </c>
      <c r="P619" s="157">
        <f t="shared" ca="1" si="176"/>
        <v>0</v>
      </c>
      <c r="Q619" s="157">
        <f t="shared" ca="1" si="176"/>
        <v>0</v>
      </c>
      <c r="R619" s="157">
        <f t="shared" ca="1" si="176"/>
        <v>0</v>
      </c>
      <c r="S619" s="157">
        <f t="shared" ca="1" si="176"/>
        <v>0</v>
      </c>
      <c r="T619" s="157">
        <f t="shared" ca="1" si="176"/>
        <v>0</v>
      </c>
      <c r="U619" s="157">
        <f t="shared" ca="1" si="176"/>
        <v>0</v>
      </c>
      <c r="V619" s="157">
        <f t="shared" ca="1" si="176"/>
        <v>0</v>
      </c>
      <c r="W619" s="157">
        <f t="shared" ca="1" si="176"/>
        <v>0</v>
      </c>
      <c r="X619" s="157">
        <f t="shared" ca="1" si="176"/>
        <v>0</v>
      </c>
      <c r="Y619" s="157">
        <f t="shared" ca="1" si="176"/>
        <v>0</v>
      </c>
      <c r="Z619" s="157">
        <f t="shared" ca="1" si="176"/>
        <v>0</v>
      </c>
      <c r="AA619" s="157">
        <f t="shared" ca="1" si="176"/>
        <v>0</v>
      </c>
      <c r="AB619" s="157">
        <f t="shared" ca="1" si="176"/>
        <v>0</v>
      </c>
      <c r="AC619" s="157">
        <f t="shared" ca="1" si="176"/>
        <v>0</v>
      </c>
      <c r="AD619" s="157">
        <f t="shared" ca="1" si="176"/>
        <v>0</v>
      </c>
      <c r="AE619" s="157">
        <f t="shared" ca="1" si="176"/>
        <v>0</v>
      </c>
      <c r="AF619" s="157">
        <f t="shared" ca="1" si="176"/>
        <v>0</v>
      </c>
      <c r="AG619" s="157">
        <f t="shared" ca="1" si="176"/>
        <v>0</v>
      </c>
      <c r="AH619" s="157">
        <f t="shared" ca="1" si="176"/>
        <v>0</v>
      </c>
      <c r="AI619" s="157">
        <f t="shared" ca="1" si="176"/>
        <v>0</v>
      </c>
      <c r="AJ619" s="157">
        <f t="shared" ca="1" si="176"/>
        <v>0</v>
      </c>
      <c r="AK619" s="157">
        <f t="shared" ca="1" si="176"/>
        <v>0</v>
      </c>
      <c r="AL619" s="157">
        <f t="shared" ca="1" si="176"/>
        <v>0</v>
      </c>
      <c r="AM619" s="157">
        <f t="shared" ca="1" si="176"/>
        <v>0</v>
      </c>
      <c r="AN619" s="157">
        <f t="shared" ca="1" si="176"/>
        <v>0</v>
      </c>
      <c r="AO619" s="157">
        <f t="shared" ca="1" si="176"/>
        <v>0</v>
      </c>
      <c r="AP619" s="157">
        <f t="shared" ca="1" si="176"/>
        <v>0</v>
      </c>
      <c r="AQ619" s="157">
        <f t="shared" ca="1" si="176"/>
        <v>0</v>
      </c>
      <c r="AR619" s="157">
        <f t="shared" ca="1" si="176"/>
        <v>0</v>
      </c>
      <c r="AS619" s="157">
        <f t="shared" ca="1" si="176"/>
        <v>0</v>
      </c>
      <c r="AT619" s="157">
        <f t="shared" ca="1" si="176"/>
        <v>0</v>
      </c>
      <c r="AU619" s="157">
        <f t="shared" ca="1" si="176"/>
        <v>0</v>
      </c>
      <c r="AV619" s="157">
        <f t="shared" ca="1" si="176"/>
        <v>0</v>
      </c>
      <c r="AW619" s="157">
        <f t="shared" ca="1" si="176"/>
        <v>0</v>
      </c>
      <c r="AX619" s="157">
        <f t="shared" ca="1" si="176"/>
        <v>0</v>
      </c>
    </row>
    <row r="620" spans="1:50" ht="15" customHeight="1" x14ac:dyDescent="0.25">
      <c r="A620" s="86"/>
      <c r="B620" s="677"/>
      <c r="C620" s="604"/>
      <c r="D620" s="162"/>
    </row>
    <row r="621" spans="1:50" ht="15" customHeight="1" x14ac:dyDescent="0.25">
      <c r="A621" s="86"/>
      <c r="B621" s="677"/>
      <c r="C621" s="604" t="str">
        <f>Translate!$E$500</f>
        <v>Profit shares at each R-Factor tier</v>
      </c>
    </row>
    <row r="622" spans="1:50" ht="15" customHeight="1" x14ac:dyDescent="0.25">
      <c r="A622" s="86"/>
      <c r="B622" s="677"/>
      <c r="C622" s="615"/>
      <c r="D622" s="147"/>
      <c r="E622" s="402" t="str">
        <f xml:space="preserve"> FiscalModel!E$59</f>
        <v>Government profit oil share tier 1</v>
      </c>
      <c r="F622" s="534">
        <f xml:space="preserve"> FiscalModel!F$59</f>
        <v>0</v>
      </c>
      <c r="G622" s="402" t="str">
        <f xml:space="preserve"> FiscalModel!G$59</f>
        <v>%</v>
      </c>
      <c r="H622" s="90"/>
      <c r="I622" s="89"/>
      <c r="J622" s="89"/>
      <c r="K622" s="46"/>
      <c r="L622" s="46"/>
      <c r="M622" s="46"/>
      <c r="N622" s="46"/>
      <c r="O622" s="46"/>
      <c r="P622" s="46"/>
      <c r="Q622" s="46"/>
      <c r="R622" s="46"/>
      <c r="S622" s="46"/>
      <c r="T622" s="46"/>
      <c r="U622" s="46"/>
      <c r="V622" s="46"/>
      <c r="W622" s="46"/>
      <c r="X622" s="46"/>
      <c r="Y622" s="46"/>
      <c r="Z622" s="46"/>
      <c r="AA622" s="46"/>
      <c r="AB622" s="46"/>
      <c r="AC622" s="46"/>
      <c r="AD622" s="46"/>
      <c r="AE622" s="46"/>
      <c r="AF622" s="46"/>
      <c r="AG622" s="46"/>
      <c r="AH622" s="46"/>
      <c r="AI622" s="46"/>
      <c r="AJ622" s="46"/>
      <c r="AK622" s="46"/>
      <c r="AL622" s="46"/>
      <c r="AM622" s="46"/>
      <c r="AN622" s="46"/>
      <c r="AO622" s="46"/>
      <c r="AP622" s="46"/>
      <c r="AQ622" s="46"/>
      <c r="AR622" s="46"/>
      <c r="AS622" s="46"/>
      <c r="AT622" s="46"/>
      <c r="AU622" s="46"/>
      <c r="AV622" s="46"/>
      <c r="AW622" s="46"/>
      <c r="AX622" s="46"/>
    </row>
    <row r="623" spans="1:50" ht="15" customHeight="1" x14ac:dyDescent="0.25">
      <c r="A623" s="86"/>
      <c r="B623" s="677"/>
      <c r="C623" s="615"/>
      <c r="D623" s="147"/>
      <c r="E623" s="402" t="str">
        <f xml:space="preserve"> FiscalModel!E$60</f>
        <v>Government profit oil share tier 2</v>
      </c>
      <c r="F623" s="534">
        <f xml:space="preserve"> FiscalModel!F$60</f>
        <v>0</v>
      </c>
      <c r="G623" s="402" t="str">
        <f xml:space="preserve"> FiscalModel!G$60</f>
        <v>%</v>
      </c>
      <c r="H623" s="90"/>
      <c r="I623" s="89"/>
      <c r="J623" s="89"/>
      <c r="K623" s="46"/>
      <c r="L623" s="46"/>
      <c r="M623" s="46"/>
      <c r="N623" s="46"/>
      <c r="O623" s="46"/>
      <c r="P623" s="46"/>
      <c r="Q623" s="46"/>
      <c r="R623" s="46"/>
      <c r="S623" s="46"/>
      <c r="T623" s="46"/>
      <c r="U623" s="46"/>
      <c r="V623" s="46"/>
      <c r="W623" s="46"/>
      <c r="X623" s="46"/>
      <c r="Y623" s="46"/>
      <c r="Z623" s="46"/>
      <c r="AA623" s="46"/>
      <c r="AB623" s="46"/>
      <c r="AC623" s="46"/>
      <c r="AD623" s="46"/>
      <c r="AE623" s="46"/>
      <c r="AF623" s="46"/>
      <c r="AG623" s="46"/>
      <c r="AH623" s="46"/>
      <c r="AI623" s="46"/>
      <c r="AJ623" s="46"/>
      <c r="AK623" s="46"/>
      <c r="AL623" s="46"/>
      <c r="AM623" s="46"/>
      <c r="AN623" s="46"/>
      <c r="AO623" s="46"/>
      <c r="AP623" s="46"/>
      <c r="AQ623" s="46"/>
      <c r="AR623" s="46"/>
      <c r="AS623" s="46"/>
      <c r="AT623" s="46"/>
      <c r="AU623" s="46"/>
      <c r="AV623" s="46"/>
      <c r="AW623" s="46"/>
      <c r="AX623" s="46"/>
    </row>
    <row r="624" spans="1:50" ht="15" customHeight="1" x14ac:dyDescent="0.25">
      <c r="A624" s="86"/>
      <c r="B624" s="677"/>
      <c r="C624" s="615"/>
      <c r="D624" s="147"/>
      <c r="E624" s="402" t="str">
        <f xml:space="preserve"> FiscalModel!E$61</f>
        <v>Government profit oil share tier 3</v>
      </c>
      <c r="F624" s="534">
        <f xml:space="preserve"> FiscalModel!F$61</f>
        <v>0</v>
      </c>
      <c r="G624" s="402" t="str">
        <f xml:space="preserve"> FiscalModel!G$61</f>
        <v>%</v>
      </c>
      <c r="H624" s="90"/>
      <c r="I624" s="89"/>
      <c r="J624" s="89"/>
      <c r="K624" s="46"/>
      <c r="L624" s="46"/>
      <c r="M624" s="46"/>
      <c r="N624" s="46"/>
      <c r="O624" s="46"/>
      <c r="P624" s="46"/>
      <c r="Q624" s="46"/>
      <c r="R624" s="46"/>
      <c r="S624" s="46"/>
      <c r="T624" s="46"/>
      <c r="U624" s="46"/>
      <c r="V624" s="46"/>
      <c r="W624" s="46"/>
      <c r="X624" s="46"/>
      <c r="Y624" s="46"/>
      <c r="Z624" s="46"/>
      <c r="AA624" s="46"/>
      <c r="AB624" s="46"/>
      <c r="AC624" s="46"/>
      <c r="AD624" s="46"/>
      <c r="AE624" s="46"/>
      <c r="AF624" s="46"/>
      <c r="AG624" s="46"/>
      <c r="AH624" s="46"/>
      <c r="AI624" s="46"/>
      <c r="AJ624" s="46"/>
      <c r="AK624" s="46"/>
      <c r="AL624" s="46"/>
      <c r="AM624" s="46"/>
      <c r="AN624" s="46"/>
      <c r="AO624" s="46"/>
      <c r="AP624" s="46"/>
      <c r="AQ624" s="46"/>
      <c r="AR624" s="46"/>
      <c r="AS624" s="46"/>
      <c r="AT624" s="46"/>
      <c r="AU624" s="46"/>
      <c r="AV624" s="46"/>
      <c r="AW624" s="46"/>
      <c r="AX624" s="46"/>
    </row>
    <row r="625" spans="1:50" ht="15" customHeight="1" x14ac:dyDescent="0.25">
      <c r="A625" s="86"/>
      <c r="B625" s="677"/>
      <c r="C625" s="615"/>
      <c r="D625" s="147"/>
      <c r="E625" s="402" t="str">
        <f xml:space="preserve"> FiscalModel!E$62</f>
        <v>Government profit oil share tier 4</v>
      </c>
      <c r="F625" s="534">
        <f xml:space="preserve"> FiscalModel!F$62</f>
        <v>0</v>
      </c>
      <c r="G625" s="402" t="str">
        <f xml:space="preserve"> FiscalModel!G$62</f>
        <v>%</v>
      </c>
      <c r="H625" s="90"/>
      <c r="I625" s="89"/>
      <c r="J625" s="89"/>
      <c r="K625" s="46"/>
      <c r="L625" s="46"/>
      <c r="M625" s="46"/>
      <c r="N625" s="46"/>
      <c r="O625" s="46"/>
      <c r="P625" s="46"/>
      <c r="Q625" s="46"/>
      <c r="R625" s="46"/>
      <c r="S625" s="46"/>
      <c r="T625" s="46"/>
      <c r="U625" s="46"/>
      <c r="V625" s="46"/>
      <c r="W625" s="46"/>
      <c r="X625" s="46"/>
      <c r="Y625" s="46"/>
      <c r="Z625" s="46"/>
      <c r="AA625" s="46"/>
      <c r="AB625" s="46"/>
      <c r="AC625" s="46"/>
      <c r="AD625" s="46"/>
      <c r="AE625" s="46"/>
      <c r="AF625" s="46"/>
      <c r="AG625" s="46"/>
      <c r="AH625" s="46"/>
      <c r="AI625" s="46"/>
      <c r="AJ625" s="46"/>
      <c r="AK625" s="46"/>
      <c r="AL625" s="46"/>
      <c r="AM625" s="46"/>
      <c r="AN625" s="46"/>
      <c r="AO625" s="46"/>
      <c r="AP625" s="46"/>
      <c r="AQ625" s="46"/>
      <c r="AR625" s="46"/>
      <c r="AS625" s="46"/>
      <c r="AT625" s="46"/>
      <c r="AU625" s="46"/>
      <c r="AV625" s="46"/>
      <c r="AW625" s="46"/>
      <c r="AX625" s="46"/>
    </row>
    <row r="626" spans="1:50" ht="15" customHeight="1" x14ac:dyDescent="0.25">
      <c r="A626" s="86"/>
      <c r="B626" s="677"/>
      <c r="C626" s="615"/>
      <c r="D626" s="147"/>
      <c r="E626" s="402" t="str">
        <f xml:space="preserve"> FiscalModel!E$63</f>
        <v>Government profit oil share tier 5</v>
      </c>
      <c r="F626" s="534">
        <f xml:space="preserve"> FiscalModel!F$63</f>
        <v>0</v>
      </c>
      <c r="G626" s="402" t="str">
        <f xml:space="preserve"> FiscalModel!G$63</f>
        <v>%</v>
      </c>
      <c r="H626" s="90"/>
      <c r="I626" s="89"/>
      <c r="J626" s="89"/>
      <c r="K626" s="46"/>
      <c r="L626" s="46"/>
      <c r="M626" s="46"/>
      <c r="N626" s="46"/>
      <c r="O626" s="46"/>
      <c r="P626" s="46"/>
      <c r="Q626" s="46"/>
      <c r="R626" s="46"/>
      <c r="S626" s="46"/>
      <c r="T626" s="46"/>
      <c r="U626" s="46"/>
      <c r="V626" s="46"/>
      <c r="W626" s="46"/>
      <c r="X626" s="46"/>
      <c r="Y626" s="46"/>
      <c r="Z626" s="46"/>
      <c r="AA626" s="46"/>
      <c r="AB626" s="46"/>
      <c r="AC626" s="46"/>
      <c r="AD626" s="46"/>
      <c r="AE626" s="46"/>
      <c r="AF626" s="46"/>
      <c r="AG626" s="46"/>
      <c r="AH626" s="46"/>
      <c r="AI626" s="46"/>
      <c r="AJ626" s="46"/>
      <c r="AK626" s="46"/>
      <c r="AL626" s="46"/>
      <c r="AM626" s="46"/>
      <c r="AN626" s="46"/>
      <c r="AO626" s="46"/>
      <c r="AP626" s="46"/>
      <c r="AQ626" s="46"/>
      <c r="AR626" s="46"/>
      <c r="AS626" s="46"/>
      <c r="AT626" s="46"/>
      <c r="AU626" s="46"/>
      <c r="AV626" s="46"/>
      <c r="AW626" s="46"/>
      <c r="AX626" s="46"/>
    </row>
    <row r="627" spans="1:50" ht="15" customHeight="1" x14ac:dyDescent="0.25">
      <c r="A627" s="86"/>
      <c r="B627" s="677"/>
      <c r="C627" s="604"/>
      <c r="D627" s="162"/>
      <c r="E627" s="90"/>
      <c r="F627" s="579"/>
      <c r="G627" s="90"/>
      <c r="H627" s="90"/>
      <c r="I627" s="89"/>
      <c r="J627" s="89"/>
      <c r="K627" s="270"/>
      <c r="L627" s="270"/>
      <c r="M627" s="270"/>
      <c r="N627" s="270"/>
      <c r="O627" s="270"/>
      <c r="P627" s="270"/>
      <c r="Q627" s="270"/>
      <c r="R627" s="270"/>
      <c r="S627" s="270"/>
      <c r="T627" s="270"/>
      <c r="U627" s="270"/>
      <c r="V627" s="270"/>
      <c r="W627" s="270"/>
      <c r="X627" s="270"/>
      <c r="Y627" s="270"/>
      <c r="Z627" s="270"/>
      <c r="AA627" s="270"/>
      <c r="AB627" s="270"/>
      <c r="AC627" s="270"/>
      <c r="AD627" s="270"/>
      <c r="AE627" s="270"/>
      <c r="AF627" s="270"/>
      <c r="AG627" s="270"/>
      <c r="AH627" s="270"/>
      <c r="AI627" s="270"/>
      <c r="AJ627" s="270"/>
      <c r="AK627" s="270"/>
      <c r="AL627" s="270"/>
      <c r="AM627" s="270"/>
      <c r="AN627" s="270"/>
      <c r="AO627" s="270"/>
      <c r="AP627" s="270"/>
      <c r="AQ627" s="270"/>
      <c r="AR627" s="270"/>
      <c r="AS627" s="270"/>
      <c r="AT627" s="270"/>
      <c r="AU627" s="270"/>
      <c r="AV627" s="270"/>
      <c r="AW627" s="270"/>
      <c r="AX627" s="270"/>
    </row>
    <row r="628" spans="1:50" s="59" customFormat="1" ht="15" customHeight="1" x14ac:dyDescent="0.25">
      <c r="A628" s="251"/>
      <c r="B628" s="676"/>
      <c r="C628" s="626"/>
      <c r="D628" s="61"/>
      <c r="E628" s="61" t="str">
        <f xml:space="preserve"> Translate!E$617 &amp; ": " &amp; Translate!E$308</f>
        <v>Government share of profit oil: R-Factor</v>
      </c>
      <c r="F628" s="253"/>
      <c r="G628" s="61" t="s">
        <v>24</v>
      </c>
      <c r="H628" s="61"/>
      <c r="I628" s="61"/>
      <c r="J628" s="61"/>
      <c r="K628" s="61">
        <f t="shared" ref="K628:AX628" ca="1" si="177" xml:space="preserve"> SUMPRODUCT( K611:K615 * $F622:$F626 ) * K618</f>
        <v>0</v>
      </c>
      <c r="L628" s="61">
        <f t="shared" ca="1" si="177"/>
        <v>0</v>
      </c>
      <c r="M628" s="61">
        <f t="shared" ca="1" si="177"/>
        <v>0</v>
      </c>
      <c r="N628" s="61">
        <f t="shared" ca="1" si="177"/>
        <v>0</v>
      </c>
      <c r="O628" s="61">
        <f t="shared" ca="1" si="177"/>
        <v>0</v>
      </c>
      <c r="P628" s="61">
        <f t="shared" ca="1" si="177"/>
        <v>0</v>
      </c>
      <c r="Q628" s="61">
        <f t="shared" ca="1" si="177"/>
        <v>0</v>
      </c>
      <c r="R628" s="61">
        <f t="shared" ca="1" si="177"/>
        <v>0</v>
      </c>
      <c r="S628" s="61">
        <f t="shared" ca="1" si="177"/>
        <v>0</v>
      </c>
      <c r="T628" s="61">
        <f t="shared" ca="1" si="177"/>
        <v>0</v>
      </c>
      <c r="U628" s="61">
        <f t="shared" ca="1" si="177"/>
        <v>0</v>
      </c>
      <c r="V628" s="61">
        <f t="shared" ca="1" si="177"/>
        <v>0</v>
      </c>
      <c r="W628" s="61">
        <f t="shared" ca="1" si="177"/>
        <v>0</v>
      </c>
      <c r="X628" s="61">
        <f t="shared" ca="1" si="177"/>
        <v>0</v>
      </c>
      <c r="Y628" s="61">
        <f t="shared" ca="1" si="177"/>
        <v>0</v>
      </c>
      <c r="Z628" s="61">
        <f t="shared" ca="1" si="177"/>
        <v>0</v>
      </c>
      <c r="AA628" s="61">
        <f t="shared" ca="1" si="177"/>
        <v>0</v>
      </c>
      <c r="AB628" s="61">
        <f t="shared" ca="1" si="177"/>
        <v>0</v>
      </c>
      <c r="AC628" s="61">
        <f t="shared" ca="1" si="177"/>
        <v>0</v>
      </c>
      <c r="AD628" s="61">
        <f t="shared" ca="1" si="177"/>
        <v>0</v>
      </c>
      <c r="AE628" s="61">
        <f t="shared" ca="1" si="177"/>
        <v>0</v>
      </c>
      <c r="AF628" s="61">
        <f t="shared" ca="1" si="177"/>
        <v>0</v>
      </c>
      <c r="AG628" s="61">
        <f t="shared" ca="1" si="177"/>
        <v>0</v>
      </c>
      <c r="AH628" s="61">
        <f t="shared" ca="1" si="177"/>
        <v>0</v>
      </c>
      <c r="AI628" s="61">
        <f t="shared" ca="1" si="177"/>
        <v>0</v>
      </c>
      <c r="AJ628" s="61">
        <f t="shared" ca="1" si="177"/>
        <v>0</v>
      </c>
      <c r="AK628" s="61">
        <f t="shared" ca="1" si="177"/>
        <v>0</v>
      </c>
      <c r="AL628" s="61">
        <f t="shared" ca="1" si="177"/>
        <v>0</v>
      </c>
      <c r="AM628" s="61">
        <f t="shared" ca="1" si="177"/>
        <v>0</v>
      </c>
      <c r="AN628" s="61">
        <f t="shared" ca="1" si="177"/>
        <v>0</v>
      </c>
      <c r="AO628" s="61">
        <f t="shared" ca="1" si="177"/>
        <v>0</v>
      </c>
      <c r="AP628" s="61">
        <f t="shared" ca="1" si="177"/>
        <v>0</v>
      </c>
      <c r="AQ628" s="61">
        <f t="shared" ca="1" si="177"/>
        <v>0</v>
      </c>
      <c r="AR628" s="61">
        <f t="shared" ca="1" si="177"/>
        <v>0</v>
      </c>
      <c r="AS628" s="61">
        <f t="shared" ca="1" si="177"/>
        <v>0</v>
      </c>
      <c r="AT628" s="61">
        <f t="shared" ca="1" si="177"/>
        <v>0</v>
      </c>
      <c r="AU628" s="61">
        <f t="shared" ca="1" si="177"/>
        <v>0</v>
      </c>
      <c r="AV628" s="61">
        <f t="shared" ca="1" si="177"/>
        <v>0</v>
      </c>
      <c r="AW628" s="61">
        <f t="shared" ca="1" si="177"/>
        <v>0</v>
      </c>
      <c r="AX628" s="61">
        <f t="shared" ca="1" si="177"/>
        <v>0</v>
      </c>
    </row>
    <row r="629" spans="1:50" s="61" customFormat="1" ht="15" customHeight="1" x14ac:dyDescent="0.25">
      <c r="A629" s="251"/>
      <c r="B629" s="456"/>
      <c r="C629" s="252"/>
      <c r="E629" s="249"/>
      <c r="F629" s="249"/>
      <c r="G629" s="249"/>
      <c r="H629" s="249"/>
      <c r="J629" s="249"/>
      <c r="K629" s="249"/>
      <c r="L629" s="249"/>
      <c r="M629" s="249"/>
      <c r="N629" s="249"/>
      <c r="O629" s="249"/>
      <c r="P629" s="249"/>
      <c r="Q629" s="249"/>
      <c r="R629" s="249"/>
      <c r="S629" s="249"/>
      <c r="T629" s="249"/>
      <c r="U629" s="249"/>
      <c r="V629" s="249"/>
      <c r="W629" s="249"/>
      <c r="X629" s="249"/>
      <c r="Y629" s="249"/>
      <c r="Z629" s="249"/>
      <c r="AA629" s="249"/>
      <c r="AB629" s="249"/>
      <c r="AC629" s="249"/>
      <c r="AD629" s="249"/>
      <c r="AE629" s="249"/>
      <c r="AF629" s="249"/>
      <c r="AG629" s="249"/>
      <c r="AH629" s="249"/>
      <c r="AI629" s="249"/>
      <c r="AJ629" s="249"/>
      <c r="AK629" s="249"/>
      <c r="AL629" s="249"/>
      <c r="AM629" s="249"/>
      <c r="AN629" s="249"/>
      <c r="AO629" s="249"/>
      <c r="AP629" s="249"/>
      <c r="AQ629" s="249"/>
      <c r="AR629" s="249"/>
      <c r="AS629" s="249"/>
      <c r="AT629" s="249"/>
      <c r="AU629" s="249"/>
      <c r="AV629" s="249"/>
      <c r="AW629" s="249"/>
      <c r="AX629" s="249"/>
    </row>
    <row r="630" spans="1:50" ht="15" customHeight="1" x14ac:dyDescent="0.25">
      <c r="A630" s="202" t="str">
        <f>Translate!$E$472</f>
        <v>Production sharing: Apply selected profit oil sharing method</v>
      </c>
      <c r="B630" s="781"/>
      <c r="C630" s="610"/>
      <c r="D630" s="204"/>
      <c r="E630" s="202"/>
      <c r="F630" s="204"/>
      <c r="G630" s="202"/>
      <c r="H630" s="202"/>
      <c r="I630" s="202"/>
      <c r="J630" s="202"/>
      <c r="K630" s="202"/>
      <c r="L630" s="202"/>
      <c r="M630" s="202"/>
      <c r="N630" s="202"/>
      <c r="O630" s="202"/>
      <c r="P630" s="202"/>
      <c r="Q630" s="202"/>
      <c r="R630" s="202"/>
      <c r="S630" s="202"/>
      <c r="T630" s="202"/>
      <c r="U630" s="202"/>
      <c r="V630" s="202"/>
      <c r="W630" s="202"/>
      <c r="X630" s="202"/>
      <c r="Y630" s="202"/>
      <c r="Z630" s="202"/>
      <c r="AA630" s="202"/>
      <c r="AB630" s="202"/>
      <c r="AC630" s="202"/>
      <c r="AD630" s="202"/>
      <c r="AE630" s="202"/>
      <c r="AF630" s="202"/>
      <c r="AG630" s="202"/>
      <c r="AH630" s="202"/>
      <c r="AI630" s="202"/>
      <c r="AJ630" s="202"/>
      <c r="AK630" s="202"/>
      <c r="AL630" s="202"/>
      <c r="AM630" s="202"/>
      <c r="AN630" s="202"/>
      <c r="AO630" s="202"/>
      <c r="AP630" s="202"/>
      <c r="AQ630" s="202"/>
      <c r="AR630" s="202"/>
      <c r="AS630" s="202"/>
      <c r="AT630" s="202"/>
      <c r="AU630" s="202"/>
      <c r="AV630" s="202"/>
      <c r="AW630" s="202"/>
      <c r="AX630" s="202"/>
    </row>
    <row r="631" spans="1:50" ht="15" customHeight="1" x14ac:dyDescent="0.25">
      <c r="A631" s="86"/>
      <c r="B631" s="677"/>
      <c r="C631" s="604"/>
      <c r="D631" s="162"/>
      <c r="E631" s="271"/>
      <c r="F631" s="580"/>
      <c r="G631" s="271"/>
      <c r="H631" s="218"/>
      <c r="I631" s="89"/>
      <c r="J631" s="219"/>
      <c r="K631" s="56"/>
      <c r="L631" s="56"/>
      <c r="M631" s="56"/>
      <c r="N631" s="56"/>
      <c r="O631" s="56"/>
      <c r="P631" s="56"/>
      <c r="Q631" s="56"/>
      <c r="R631" s="56"/>
      <c r="S631" s="56"/>
      <c r="T631" s="56"/>
      <c r="U631" s="56"/>
      <c r="V631" s="56"/>
      <c r="W631" s="56"/>
      <c r="X631" s="56"/>
      <c r="Y631" s="56"/>
      <c r="Z631" s="56"/>
      <c r="AA631" s="56"/>
      <c r="AB631" s="56"/>
      <c r="AC631" s="56"/>
      <c r="AD631" s="56"/>
      <c r="AE631" s="56"/>
      <c r="AF631" s="56"/>
      <c r="AG631" s="56"/>
      <c r="AH631" s="56"/>
      <c r="AI631" s="56"/>
      <c r="AJ631" s="56"/>
      <c r="AK631" s="56"/>
      <c r="AL631" s="56"/>
      <c r="AM631" s="56"/>
      <c r="AN631" s="56"/>
      <c r="AO631" s="56"/>
      <c r="AP631" s="56"/>
      <c r="AQ631" s="56"/>
      <c r="AR631" s="56"/>
      <c r="AS631" s="56"/>
      <c r="AT631" s="56"/>
      <c r="AU631" s="56"/>
      <c r="AV631" s="56"/>
      <c r="AW631" s="56"/>
      <c r="AX631" s="56"/>
    </row>
    <row r="632" spans="1:50" ht="15" customHeight="1" x14ac:dyDescent="0.25">
      <c r="A632" s="86"/>
      <c r="B632" s="677" t="str">
        <f>Translate!$E$437</f>
        <v>Select profit oil sharing method</v>
      </c>
      <c r="C632" s="604"/>
      <c r="D632" s="162"/>
      <c r="E632" s="271"/>
      <c r="F632" s="580"/>
      <c r="G632" s="271"/>
      <c r="H632" s="218"/>
      <c r="I632" s="89"/>
      <c r="J632" s="219"/>
      <c r="K632" s="56"/>
      <c r="L632" s="56"/>
      <c r="M632" s="56"/>
      <c r="N632" s="56"/>
      <c r="O632" s="56"/>
      <c r="P632" s="56"/>
      <c r="Q632" s="56"/>
      <c r="R632" s="56"/>
      <c r="S632" s="56"/>
      <c r="T632" s="56"/>
      <c r="U632" s="56"/>
      <c r="V632" s="56"/>
      <c r="W632" s="56"/>
      <c r="X632" s="56"/>
      <c r="Y632" s="56"/>
      <c r="Z632" s="56"/>
      <c r="AA632" s="56"/>
      <c r="AB632" s="56"/>
      <c r="AC632" s="56"/>
      <c r="AD632" s="56"/>
      <c r="AE632" s="56"/>
      <c r="AF632" s="56"/>
      <c r="AG632" s="56"/>
      <c r="AH632" s="56"/>
      <c r="AI632" s="56"/>
      <c r="AJ632" s="56"/>
      <c r="AK632" s="56"/>
      <c r="AL632" s="56"/>
      <c r="AM632" s="56"/>
      <c r="AN632" s="56"/>
      <c r="AO632" s="56"/>
      <c r="AP632" s="56"/>
      <c r="AQ632" s="56"/>
      <c r="AR632" s="56"/>
      <c r="AS632" s="56"/>
      <c r="AT632" s="56"/>
      <c r="AU632" s="56"/>
      <c r="AV632" s="56"/>
      <c r="AW632" s="56"/>
      <c r="AX632" s="56"/>
    </row>
    <row r="633" spans="1:50" s="703" customFormat="1" ht="15" customHeight="1" x14ac:dyDescent="0.25">
      <c r="A633" s="696"/>
      <c r="B633" s="784"/>
      <c r="C633" s="697"/>
      <c r="D633" s="698"/>
      <c r="E633" s="700" t="str">
        <f xml:space="preserve"> Translate!E$795</f>
        <v>start of list</v>
      </c>
      <c r="F633" s="699"/>
      <c r="G633" s="700"/>
      <c r="H633" s="700"/>
      <c r="I633" s="696"/>
      <c r="J633" s="701"/>
      <c r="K633" s="702"/>
      <c r="L633" s="702"/>
      <c r="M633" s="702"/>
      <c r="N633" s="702"/>
      <c r="O633" s="702"/>
      <c r="P633" s="702"/>
      <c r="Q633" s="702"/>
      <c r="R633" s="702"/>
      <c r="S633" s="702"/>
      <c r="T633" s="702"/>
      <c r="U633" s="702"/>
      <c r="V633" s="702"/>
      <c r="W633" s="702"/>
      <c r="X633" s="702"/>
      <c r="Y633" s="702"/>
      <c r="Z633" s="702"/>
      <c r="AA633" s="702"/>
      <c r="AB633" s="702"/>
      <c r="AC633" s="702"/>
      <c r="AD633" s="702"/>
      <c r="AE633" s="702"/>
      <c r="AF633" s="702"/>
      <c r="AG633" s="702"/>
      <c r="AH633" s="702"/>
      <c r="AI633" s="702"/>
      <c r="AJ633" s="702"/>
      <c r="AK633" s="702"/>
      <c r="AL633" s="702"/>
      <c r="AM633" s="702"/>
      <c r="AN633" s="702"/>
      <c r="AO633" s="702"/>
      <c r="AP633" s="702"/>
      <c r="AQ633" s="702"/>
      <c r="AR633" s="702"/>
      <c r="AS633" s="702"/>
      <c r="AT633" s="702"/>
      <c r="AU633" s="702"/>
      <c r="AV633" s="702"/>
      <c r="AW633" s="702"/>
      <c r="AX633" s="702"/>
    </row>
    <row r="634" spans="1:50" ht="15" customHeight="1" x14ac:dyDescent="0.25">
      <c r="A634" s="85"/>
      <c r="B634" s="677"/>
      <c r="C634" s="628"/>
      <c r="D634" s="213"/>
      <c r="E634" s="190" t="str">
        <f t="shared" ref="E634:AX634" si="178" xml:space="preserve"> E$580</f>
        <v>Government share of profit oil: DROP</v>
      </c>
      <c r="F634" s="242">
        <f t="shared" si="178"/>
        <v>0</v>
      </c>
      <c r="G634" s="190" t="str">
        <f t="shared" si="178"/>
        <v>%</v>
      </c>
      <c r="H634" s="190">
        <f t="shared" si="178"/>
        <v>0</v>
      </c>
      <c r="I634" s="190">
        <f t="shared" si="178"/>
        <v>0</v>
      </c>
      <c r="J634" s="190">
        <f t="shared" si="178"/>
        <v>0</v>
      </c>
      <c r="K634" s="239">
        <f t="shared" ca="1" si="178"/>
        <v>0</v>
      </c>
      <c r="L634" s="239">
        <f t="shared" ca="1" si="178"/>
        <v>0</v>
      </c>
      <c r="M634" s="239">
        <f t="shared" ca="1" si="178"/>
        <v>0</v>
      </c>
      <c r="N634" s="239">
        <f t="shared" ca="1" si="178"/>
        <v>0</v>
      </c>
      <c r="O634" s="239">
        <f t="shared" ca="1" si="178"/>
        <v>0</v>
      </c>
      <c r="P634" s="239">
        <f t="shared" ca="1" si="178"/>
        <v>0</v>
      </c>
      <c r="Q634" s="239">
        <f t="shared" ca="1" si="178"/>
        <v>0</v>
      </c>
      <c r="R634" s="239">
        <f t="shared" ca="1" si="178"/>
        <v>0</v>
      </c>
      <c r="S634" s="239">
        <f t="shared" ca="1" si="178"/>
        <v>0</v>
      </c>
      <c r="T634" s="239">
        <f t="shared" ca="1" si="178"/>
        <v>0</v>
      </c>
      <c r="U634" s="239">
        <f t="shared" ca="1" si="178"/>
        <v>0</v>
      </c>
      <c r="V634" s="239">
        <f t="shared" ca="1" si="178"/>
        <v>0</v>
      </c>
      <c r="W634" s="239">
        <f t="shared" ca="1" si="178"/>
        <v>0</v>
      </c>
      <c r="X634" s="239">
        <f t="shared" ca="1" si="178"/>
        <v>0</v>
      </c>
      <c r="Y634" s="239">
        <f t="shared" ca="1" si="178"/>
        <v>0</v>
      </c>
      <c r="Z634" s="239">
        <f t="shared" ca="1" si="178"/>
        <v>0</v>
      </c>
      <c r="AA634" s="239">
        <f t="shared" ca="1" si="178"/>
        <v>0</v>
      </c>
      <c r="AB634" s="239">
        <f t="shared" ca="1" si="178"/>
        <v>0</v>
      </c>
      <c r="AC634" s="239">
        <f t="shared" ca="1" si="178"/>
        <v>0</v>
      </c>
      <c r="AD634" s="239">
        <f t="shared" ca="1" si="178"/>
        <v>0</v>
      </c>
      <c r="AE634" s="239">
        <f t="shared" ca="1" si="178"/>
        <v>0</v>
      </c>
      <c r="AF634" s="239">
        <f t="shared" ca="1" si="178"/>
        <v>0</v>
      </c>
      <c r="AG634" s="239">
        <f t="shared" ca="1" si="178"/>
        <v>0</v>
      </c>
      <c r="AH634" s="239">
        <f t="shared" ca="1" si="178"/>
        <v>0</v>
      </c>
      <c r="AI634" s="239">
        <f t="shared" ca="1" si="178"/>
        <v>0</v>
      </c>
      <c r="AJ634" s="239">
        <f t="shared" ca="1" si="178"/>
        <v>0</v>
      </c>
      <c r="AK634" s="239">
        <f t="shared" ca="1" si="178"/>
        <v>0</v>
      </c>
      <c r="AL634" s="239">
        <f t="shared" ca="1" si="178"/>
        <v>0</v>
      </c>
      <c r="AM634" s="239">
        <f t="shared" ca="1" si="178"/>
        <v>0</v>
      </c>
      <c r="AN634" s="239">
        <f t="shared" ca="1" si="178"/>
        <v>0</v>
      </c>
      <c r="AO634" s="239">
        <f t="shared" ca="1" si="178"/>
        <v>0</v>
      </c>
      <c r="AP634" s="239">
        <f t="shared" ca="1" si="178"/>
        <v>0</v>
      </c>
      <c r="AQ634" s="239">
        <f t="shared" ca="1" si="178"/>
        <v>0</v>
      </c>
      <c r="AR634" s="239">
        <f t="shared" ca="1" si="178"/>
        <v>0</v>
      </c>
      <c r="AS634" s="239">
        <f t="shared" ca="1" si="178"/>
        <v>0</v>
      </c>
      <c r="AT634" s="239">
        <f t="shared" ca="1" si="178"/>
        <v>0</v>
      </c>
      <c r="AU634" s="239">
        <f t="shared" ca="1" si="178"/>
        <v>0</v>
      </c>
      <c r="AV634" s="239">
        <f t="shared" ca="1" si="178"/>
        <v>0</v>
      </c>
      <c r="AW634" s="239">
        <f t="shared" ca="1" si="178"/>
        <v>0</v>
      </c>
      <c r="AX634" s="239">
        <f t="shared" ca="1" si="178"/>
        <v>0</v>
      </c>
    </row>
    <row r="635" spans="1:50" ht="15" customHeight="1" x14ac:dyDescent="0.25">
      <c r="A635" s="85"/>
      <c r="B635" s="677"/>
      <c r="C635" s="628"/>
      <c r="D635" s="213"/>
      <c r="E635" s="190" t="str">
        <f t="shared" ref="E635:AX635" si="179" xml:space="preserve"> E$628</f>
        <v>Government share of profit oil: R-Factor</v>
      </c>
      <c r="F635" s="242">
        <f t="shared" si="179"/>
        <v>0</v>
      </c>
      <c r="G635" s="190" t="str">
        <f t="shared" si="179"/>
        <v>%</v>
      </c>
      <c r="H635" s="190">
        <f t="shared" si="179"/>
        <v>0</v>
      </c>
      <c r="I635" s="190">
        <f t="shared" si="179"/>
        <v>0</v>
      </c>
      <c r="J635" s="190">
        <f t="shared" si="179"/>
        <v>0</v>
      </c>
      <c r="K635" s="239">
        <f t="shared" ca="1" si="179"/>
        <v>0</v>
      </c>
      <c r="L635" s="239">
        <f t="shared" ca="1" si="179"/>
        <v>0</v>
      </c>
      <c r="M635" s="239">
        <f t="shared" ca="1" si="179"/>
        <v>0</v>
      </c>
      <c r="N635" s="239">
        <f t="shared" ca="1" si="179"/>
        <v>0</v>
      </c>
      <c r="O635" s="239">
        <f t="shared" ca="1" si="179"/>
        <v>0</v>
      </c>
      <c r="P635" s="239">
        <f t="shared" ca="1" si="179"/>
        <v>0</v>
      </c>
      <c r="Q635" s="239">
        <f t="shared" ca="1" si="179"/>
        <v>0</v>
      </c>
      <c r="R635" s="239">
        <f t="shared" ca="1" si="179"/>
        <v>0</v>
      </c>
      <c r="S635" s="239">
        <f t="shared" ca="1" si="179"/>
        <v>0</v>
      </c>
      <c r="T635" s="239">
        <f t="shared" ca="1" si="179"/>
        <v>0</v>
      </c>
      <c r="U635" s="239">
        <f t="shared" ca="1" si="179"/>
        <v>0</v>
      </c>
      <c r="V635" s="239">
        <f t="shared" ca="1" si="179"/>
        <v>0</v>
      </c>
      <c r="W635" s="239">
        <f t="shared" ca="1" si="179"/>
        <v>0</v>
      </c>
      <c r="X635" s="239">
        <f t="shared" ca="1" si="179"/>
        <v>0</v>
      </c>
      <c r="Y635" s="239">
        <f t="shared" ca="1" si="179"/>
        <v>0</v>
      </c>
      <c r="Z635" s="239">
        <f t="shared" ca="1" si="179"/>
        <v>0</v>
      </c>
      <c r="AA635" s="239">
        <f t="shared" ca="1" si="179"/>
        <v>0</v>
      </c>
      <c r="AB635" s="239">
        <f t="shared" ca="1" si="179"/>
        <v>0</v>
      </c>
      <c r="AC635" s="239">
        <f t="shared" ca="1" si="179"/>
        <v>0</v>
      </c>
      <c r="AD635" s="239">
        <f t="shared" ca="1" si="179"/>
        <v>0</v>
      </c>
      <c r="AE635" s="239">
        <f t="shared" ca="1" si="179"/>
        <v>0</v>
      </c>
      <c r="AF635" s="239">
        <f t="shared" ca="1" si="179"/>
        <v>0</v>
      </c>
      <c r="AG635" s="239">
        <f t="shared" ca="1" si="179"/>
        <v>0</v>
      </c>
      <c r="AH635" s="239">
        <f t="shared" ca="1" si="179"/>
        <v>0</v>
      </c>
      <c r="AI635" s="239">
        <f t="shared" ca="1" si="179"/>
        <v>0</v>
      </c>
      <c r="AJ635" s="239">
        <f t="shared" ca="1" si="179"/>
        <v>0</v>
      </c>
      <c r="AK635" s="239">
        <f t="shared" ca="1" si="179"/>
        <v>0</v>
      </c>
      <c r="AL635" s="239">
        <f t="shared" ca="1" si="179"/>
        <v>0</v>
      </c>
      <c r="AM635" s="239">
        <f t="shared" ca="1" si="179"/>
        <v>0</v>
      </c>
      <c r="AN635" s="239">
        <f t="shared" ca="1" si="179"/>
        <v>0</v>
      </c>
      <c r="AO635" s="239">
        <f t="shared" ca="1" si="179"/>
        <v>0</v>
      </c>
      <c r="AP635" s="239">
        <f t="shared" ca="1" si="179"/>
        <v>0</v>
      </c>
      <c r="AQ635" s="239">
        <f t="shared" ca="1" si="179"/>
        <v>0</v>
      </c>
      <c r="AR635" s="239">
        <f t="shared" ca="1" si="179"/>
        <v>0</v>
      </c>
      <c r="AS635" s="239">
        <f t="shared" ca="1" si="179"/>
        <v>0</v>
      </c>
      <c r="AT635" s="239">
        <f t="shared" ca="1" si="179"/>
        <v>0</v>
      </c>
      <c r="AU635" s="239">
        <f t="shared" ca="1" si="179"/>
        <v>0</v>
      </c>
      <c r="AV635" s="239">
        <f t="shared" ca="1" si="179"/>
        <v>0</v>
      </c>
      <c r="AW635" s="239">
        <f t="shared" ca="1" si="179"/>
        <v>0</v>
      </c>
      <c r="AX635" s="239">
        <f t="shared" ca="1" si="179"/>
        <v>0</v>
      </c>
    </row>
    <row r="636" spans="1:50" ht="15" customHeight="1" x14ac:dyDescent="0.25">
      <c r="A636" s="85"/>
      <c r="B636" s="677"/>
      <c r="C636" s="628"/>
      <c r="D636" s="213"/>
      <c r="E636" s="61" t="str">
        <f xml:space="preserve"> Translate!E$617 &amp; ": " &amp; Translate!E$312</f>
        <v>Government share of profit oil: Other1</v>
      </c>
      <c r="F636" s="242"/>
      <c r="G636" s="190"/>
      <c r="H636" s="190"/>
      <c r="I636" s="190"/>
      <c r="J636" s="190"/>
      <c r="K636" s="239"/>
      <c r="L636" s="239"/>
      <c r="M636" s="239"/>
      <c r="N636" s="239"/>
      <c r="O636" s="239"/>
      <c r="P636" s="239"/>
      <c r="Q636" s="239"/>
      <c r="R636" s="239"/>
      <c r="S636" s="239"/>
      <c r="T636" s="239"/>
      <c r="U636" s="239"/>
      <c r="V636" s="239"/>
      <c r="W636" s="239"/>
      <c r="X636" s="239"/>
      <c r="Y636" s="239"/>
      <c r="Z636" s="239"/>
      <c r="AA636" s="239"/>
      <c r="AB636" s="239"/>
      <c r="AC636" s="239"/>
      <c r="AD636" s="239"/>
      <c r="AE636" s="239"/>
      <c r="AF636" s="239"/>
      <c r="AG636" s="239"/>
      <c r="AH636" s="239"/>
      <c r="AI636" s="239"/>
      <c r="AJ636" s="239"/>
      <c r="AK636" s="239"/>
      <c r="AL636" s="239"/>
      <c r="AM636" s="239"/>
      <c r="AN636" s="239"/>
      <c r="AO636" s="239"/>
      <c r="AP636" s="239"/>
      <c r="AQ636" s="239"/>
      <c r="AR636" s="239"/>
      <c r="AS636" s="239"/>
      <c r="AT636" s="239"/>
      <c r="AU636" s="239"/>
      <c r="AV636" s="239"/>
      <c r="AW636" s="239"/>
      <c r="AX636" s="239"/>
    </row>
    <row r="637" spans="1:50" ht="15" customHeight="1" x14ac:dyDescent="0.25">
      <c r="A637" s="85"/>
      <c r="B637" s="677"/>
      <c r="C637" s="628"/>
      <c r="D637" s="213"/>
      <c r="E637" s="61" t="str">
        <f xml:space="preserve"> Translate!E$617 &amp; ": " &amp; Translate!E$313</f>
        <v>Government share of profit oil: Other2</v>
      </c>
      <c r="F637" s="242"/>
      <c r="G637" s="190"/>
      <c r="H637" s="190"/>
      <c r="I637" s="190"/>
      <c r="J637" s="190"/>
      <c r="K637" s="239"/>
      <c r="L637" s="239"/>
      <c r="M637" s="239"/>
      <c r="N637" s="239"/>
      <c r="O637" s="239"/>
      <c r="P637" s="239"/>
      <c r="Q637" s="239"/>
      <c r="R637" s="239"/>
      <c r="S637" s="239"/>
      <c r="T637" s="239"/>
      <c r="U637" s="239"/>
      <c r="V637" s="239"/>
      <c r="W637" s="239"/>
      <c r="X637" s="239"/>
      <c r="Y637" s="239"/>
      <c r="Z637" s="239"/>
      <c r="AA637" s="239"/>
      <c r="AB637" s="239"/>
      <c r="AC637" s="239"/>
      <c r="AD637" s="239"/>
      <c r="AE637" s="239"/>
      <c r="AF637" s="239"/>
      <c r="AG637" s="239"/>
      <c r="AH637" s="239"/>
      <c r="AI637" s="239"/>
      <c r="AJ637" s="239"/>
      <c r="AK637" s="239"/>
      <c r="AL637" s="239"/>
      <c r="AM637" s="239"/>
      <c r="AN637" s="239"/>
      <c r="AO637" s="239"/>
      <c r="AP637" s="239"/>
      <c r="AQ637" s="239"/>
      <c r="AR637" s="239"/>
      <c r="AS637" s="239"/>
      <c r="AT637" s="239"/>
      <c r="AU637" s="239"/>
      <c r="AV637" s="239"/>
      <c r="AW637" s="239"/>
      <c r="AX637" s="239"/>
    </row>
    <row r="638" spans="1:50" s="542" customFormat="1" ht="15" customHeight="1" x14ac:dyDescent="0.25">
      <c r="A638" s="704"/>
      <c r="B638" s="784"/>
      <c r="C638" s="705"/>
      <c r="D638" s="706"/>
      <c r="E638" s="707" t="str">
        <f xml:space="preserve"> Translate!E$796</f>
        <v>end of list</v>
      </c>
      <c r="F638" s="708"/>
      <c r="G638" s="707"/>
      <c r="H638" s="707"/>
      <c r="I638" s="707"/>
      <c r="J638" s="707"/>
      <c r="K638" s="709"/>
      <c r="L638" s="709"/>
      <c r="M638" s="709"/>
      <c r="N638" s="709"/>
      <c r="O638" s="709"/>
      <c r="P638" s="709"/>
      <c r="Q638" s="709"/>
      <c r="R638" s="709"/>
      <c r="S638" s="709"/>
      <c r="T638" s="709"/>
      <c r="U638" s="709"/>
      <c r="V638" s="709"/>
      <c r="W638" s="709"/>
      <c r="X638" s="709"/>
      <c r="Y638" s="709"/>
      <c r="Z638" s="709"/>
      <c r="AA638" s="709"/>
      <c r="AB638" s="709"/>
      <c r="AC638" s="709"/>
      <c r="AD638" s="709"/>
      <c r="AE638" s="709"/>
      <c r="AF638" s="709"/>
      <c r="AG638" s="709"/>
      <c r="AH638" s="709"/>
      <c r="AI638" s="709"/>
      <c r="AJ638" s="709"/>
      <c r="AK638" s="709"/>
      <c r="AL638" s="709"/>
      <c r="AM638" s="709"/>
      <c r="AN638" s="709"/>
      <c r="AO638" s="709"/>
      <c r="AP638" s="709"/>
      <c r="AQ638" s="709"/>
      <c r="AR638" s="709"/>
      <c r="AS638" s="709"/>
      <c r="AT638" s="709"/>
      <c r="AU638" s="709"/>
      <c r="AV638" s="709"/>
      <c r="AW638" s="709"/>
      <c r="AX638" s="709"/>
    </row>
    <row r="639" spans="1:50" ht="15" customHeight="1" x14ac:dyDescent="0.25">
      <c r="A639" s="85"/>
      <c r="B639" s="677"/>
      <c r="C639" s="628"/>
      <c r="D639" s="213"/>
      <c r="E639" s="190"/>
      <c r="F639" s="242"/>
      <c r="G639" s="190"/>
      <c r="H639" s="190"/>
      <c r="I639" s="190"/>
      <c r="J639" s="190"/>
      <c r="K639" s="239"/>
      <c r="L639" s="239"/>
      <c r="M639" s="239"/>
      <c r="N639" s="239"/>
      <c r="O639" s="239"/>
      <c r="P639" s="239"/>
      <c r="Q639" s="239"/>
      <c r="R639" s="239"/>
      <c r="S639" s="239"/>
      <c r="T639" s="239"/>
      <c r="U639" s="239"/>
      <c r="V639" s="239"/>
      <c r="W639" s="239"/>
      <c r="X639" s="239"/>
      <c r="Y639" s="239"/>
      <c r="Z639" s="239"/>
      <c r="AA639" s="239"/>
      <c r="AB639" s="239"/>
      <c r="AC639" s="239"/>
      <c r="AD639" s="239"/>
      <c r="AE639" s="239"/>
      <c r="AF639" s="239"/>
      <c r="AG639" s="239"/>
      <c r="AH639" s="239"/>
      <c r="AI639" s="239"/>
      <c r="AJ639" s="239"/>
      <c r="AK639" s="239"/>
      <c r="AL639" s="239"/>
      <c r="AM639" s="239"/>
      <c r="AN639" s="239"/>
      <c r="AO639" s="239"/>
      <c r="AP639" s="239"/>
      <c r="AQ639" s="239"/>
      <c r="AR639" s="239"/>
      <c r="AS639" s="239"/>
      <c r="AT639" s="239"/>
      <c r="AU639" s="239"/>
      <c r="AV639" s="239"/>
      <c r="AW639" s="239"/>
      <c r="AX639" s="239"/>
    </row>
    <row r="640" spans="1:50" ht="15" customHeight="1" x14ac:dyDescent="0.25">
      <c r="A640" s="86"/>
      <c r="B640" s="677"/>
      <c r="C640" s="604"/>
      <c r="D640" s="162"/>
      <c r="E640" s="406" t="str">
        <f xml:space="preserve"> FiscalModel!E$47</f>
        <v>Selected profit oil sharing method</v>
      </c>
      <c r="F640" s="581">
        <f xml:space="preserve"> FiscalModel!F$47</f>
        <v>0</v>
      </c>
      <c r="G640" s="406" t="str">
        <f xml:space="preserve"> FiscalModel!G$47</f>
        <v>Switch</v>
      </c>
      <c r="H640" s="218"/>
      <c r="I640" s="89"/>
      <c r="J640" s="219"/>
      <c r="K640" s="56"/>
      <c r="L640" s="56"/>
      <c r="M640" s="56"/>
      <c r="N640" s="56"/>
      <c r="O640" s="56"/>
      <c r="P640" s="56"/>
      <c r="Q640" s="56"/>
      <c r="R640" s="56"/>
      <c r="S640" s="56"/>
      <c r="T640" s="56"/>
      <c r="U640" s="56"/>
      <c r="V640" s="56"/>
      <c r="W640" s="56"/>
      <c r="X640" s="56"/>
      <c r="Y640" s="56"/>
      <c r="Z640" s="56"/>
      <c r="AA640" s="56"/>
      <c r="AB640" s="56"/>
      <c r="AC640" s="56"/>
      <c r="AD640" s="56"/>
      <c r="AE640" s="56"/>
      <c r="AF640" s="56"/>
      <c r="AG640" s="56"/>
      <c r="AH640" s="56"/>
      <c r="AI640" s="56"/>
      <c r="AJ640" s="56"/>
      <c r="AK640" s="56"/>
      <c r="AL640" s="56"/>
      <c r="AM640" s="56"/>
      <c r="AN640" s="56"/>
      <c r="AO640" s="56"/>
      <c r="AP640" s="56"/>
      <c r="AQ640" s="56"/>
      <c r="AR640" s="56"/>
      <c r="AS640" s="56"/>
      <c r="AT640" s="56"/>
      <c r="AU640" s="56"/>
      <c r="AV640" s="56"/>
      <c r="AW640" s="56"/>
      <c r="AX640" s="56"/>
    </row>
    <row r="641" spans="1:50" ht="15" customHeight="1" x14ac:dyDescent="0.25">
      <c r="A641" s="86"/>
      <c r="B641" s="677"/>
      <c r="C641" s="604"/>
      <c r="D641" s="162"/>
      <c r="E641" s="710"/>
      <c r="F641" s="699" t="str">
        <f xml:space="preserve"> Translate!E$795</f>
        <v>start of list</v>
      </c>
      <c r="G641" s="710"/>
      <c r="H641" s="218"/>
      <c r="I641" s="89"/>
      <c r="J641" s="219"/>
      <c r="K641" s="56"/>
      <c r="L641" s="56"/>
      <c r="M641" s="56"/>
      <c r="N641" s="56"/>
      <c r="O641" s="56"/>
      <c r="P641" s="56"/>
      <c r="Q641" s="56"/>
      <c r="R641" s="56"/>
      <c r="S641" s="56"/>
      <c r="T641" s="56"/>
      <c r="U641" s="56"/>
      <c r="V641" s="56"/>
      <c r="W641" s="56"/>
      <c r="X641" s="56"/>
      <c r="Y641" s="56"/>
      <c r="Z641" s="56"/>
      <c r="AA641" s="56"/>
      <c r="AB641" s="56"/>
      <c r="AC641" s="56"/>
      <c r="AD641" s="56"/>
      <c r="AE641" s="56"/>
      <c r="AF641" s="56"/>
      <c r="AG641" s="56"/>
      <c r="AH641" s="56"/>
      <c r="AI641" s="56"/>
      <c r="AJ641" s="56"/>
      <c r="AK641" s="56"/>
      <c r="AL641" s="56"/>
      <c r="AM641" s="56"/>
      <c r="AN641" s="56"/>
      <c r="AO641" s="56"/>
      <c r="AP641" s="56"/>
      <c r="AQ641" s="56"/>
      <c r="AR641" s="56"/>
      <c r="AS641" s="56"/>
      <c r="AT641" s="56"/>
      <c r="AU641" s="56"/>
      <c r="AV641" s="56"/>
      <c r="AW641" s="56"/>
      <c r="AX641" s="56"/>
    </row>
    <row r="642" spans="1:50" ht="15" customHeight="1" x14ac:dyDescent="0.25">
      <c r="A642" s="86"/>
      <c r="B642" s="677"/>
      <c r="C642" s="604"/>
      <c r="D642" s="162"/>
      <c r="E642" s="13" t="str">
        <f xml:space="preserve"> Translate!E$103 &amp; " 1"</f>
        <v>Option 1</v>
      </c>
      <c r="F642" s="582" t="str">
        <f xml:space="preserve"> Translate!E$730</f>
        <v>DROP</v>
      </c>
      <c r="G642" s="13" t="str">
        <f xml:space="preserve"> Translate!E$103</f>
        <v>Option</v>
      </c>
      <c r="H642" s="218"/>
      <c r="I642" s="89"/>
      <c r="J642" s="219"/>
      <c r="K642" s="56"/>
      <c r="L642" s="56"/>
      <c r="M642" s="56"/>
      <c r="N642" s="56"/>
      <c r="O642" s="56"/>
      <c r="P642" s="56"/>
      <c r="Q642" s="56"/>
      <c r="R642" s="56"/>
      <c r="S642" s="56"/>
      <c r="T642" s="56"/>
      <c r="U642" s="56"/>
      <c r="V642" s="56"/>
      <c r="W642" s="56"/>
      <c r="X642" s="56"/>
      <c r="Y642" s="56"/>
      <c r="Z642" s="56"/>
      <c r="AA642" s="56"/>
      <c r="AB642" s="56"/>
      <c r="AC642" s="56"/>
      <c r="AD642" s="56"/>
      <c r="AE642" s="56"/>
      <c r="AF642" s="56"/>
      <c r="AG642" s="56"/>
      <c r="AH642" s="56"/>
      <c r="AI642" s="56"/>
      <c r="AJ642" s="56"/>
      <c r="AK642" s="56"/>
      <c r="AL642" s="56"/>
      <c r="AM642" s="56"/>
      <c r="AN642" s="56"/>
      <c r="AO642" s="56"/>
      <c r="AP642" s="56"/>
      <c r="AQ642" s="56"/>
      <c r="AR642" s="56"/>
      <c r="AS642" s="56"/>
      <c r="AT642" s="56"/>
      <c r="AU642" s="56"/>
      <c r="AV642" s="56"/>
      <c r="AW642" s="56"/>
      <c r="AX642" s="56"/>
    </row>
    <row r="643" spans="1:50" ht="15" customHeight="1" x14ac:dyDescent="0.25">
      <c r="A643" s="86"/>
      <c r="B643" s="677"/>
      <c r="C643" s="604"/>
      <c r="D643" s="162"/>
      <c r="E643" s="13" t="str">
        <f xml:space="preserve"> Translate!E$103 &amp; " 2"</f>
        <v>Option 2</v>
      </c>
      <c r="F643" s="582" t="str">
        <f xml:space="preserve"> Translate!E$308</f>
        <v>R-Factor</v>
      </c>
      <c r="G643" s="13" t="str">
        <f xml:space="preserve"> Translate!E$103</f>
        <v>Option</v>
      </c>
      <c r="H643" s="218"/>
      <c r="I643" s="89"/>
      <c r="J643" s="219"/>
      <c r="K643" s="56"/>
      <c r="L643" s="56"/>
      <c r="M643" s="56"/>
      <c r="N643" s="56"/>
      <c r="O643" s="56"/>
      <c r="P643" s="56"/>
      <c r="Q643" s="56"/>
      <c r="R643" s="56"/>
      <c r="S643" s="56"/>
      <c r="T643" s="56"/>
      <c r="U643" s="56"/>
      <c r="V643" s="56"/>
      <c r="W643" s="56"/>
      <c r="X643" s="56"/>
      <c r="Y643" s="56"/>
      <c r="Z643" s="56"/>
      <c r="AA643" s="56"/>
      <c r="AB643" s="56"/>
      <c r="AC643" s="56"/>
      <c r="AD643" s="56"/>
      <c r="AE643" s="56"/>
      <c r="AF643" s="56"/>
      <c r="AG643" s="56"/>
      <c r="AH643" s="56"/>
      <c r="AI643" s="56"/>
      <c r="AJ643" s="56"/>
      <c r="AK643" s="56"/>
      <c r="AL643" s="56"/>
      <c r="AM643" s="56"/>
      <c r="AN643" s="56"/>
      <c r="AO643" s="56"/>
      <c r="AP643" s="56"/>
      <c r="AQ643" s="56"/>
      <c r="AR643" s="56"/>
      <c r="AS643" s="56"/>
      <c r="AT643" s="56"/>
      <c r="AU643" s="56"/>
      <c r="AV643" s="56"/>
      <c r="AW643" s="56"/>
      <c r="AX643" s="56"/>
    </row>
    <row r="644" spans="1:50" ht="15" customHeight="1" x14ac:dyDescent="0.25">
      <c r="A644" s="86"/>
      <c r="B644" s="677"/>
      <c r="C644" s="604"/>
      <c r="D644" s="162"/>
      <c r="E644" s="13" t="str">
        <f xml:space="preserve"> Translate!E$103 &amp; " 3"</f>
        <v>Option 3</v>
      </c>
      <c r="F644" s="582" t="str">
        <f xml:space="preserve"> Translate!E$312</f>
        <v>Other1</v>
      </c>
      <c r="G644" s="13" t="str">
        <f xml:space="preserve"> Translate!E$103</f>
        <v>Option</v>
      </c>
      <c r="H644" s="218" t="str">
        <f>Translate!E520</f>
        <v>User to add</v>
      </c>
      <c r="I644" s="89"/>
      <c r="J644" s="219"/>
      <c r="K644" s="56"/>
      <c r="L644" s="56"/>
      <c r="M644" s="56"/>
      <c r="N644" s="56"/>
      <c r="O644" s="56"/>
      <c r="P644" s="56"/>
      <c r="Q644" s="56"/>
      <c r="R644" s="56"/>
      <c r="S644" s="56"/>
      <c r="T644" s="56"/>
      <c r="U644" s="56"/>
      <c r="V644" s="56"/>
      <c r="W644" s="56"/>
      <c r="X644" s="56"/>
      <c r="Y644" s="56"/>
      <c r="Z644" s="56"/>
      <c r="AA644" s="56"/>
      <c r="AB644" s="56"/>
      <c r="AC644" s="56"/>
      <c r="AD644" s="56"/>
      <c r="AE644" s="56"/>
      <c r="AF644" s="56"/>
      <c r="AG644" s="56"/>
      <c r="AH644" s="56"/>
      <c r="AI644" s="56"/>
      <c r="AJ644" s="56"/>
      <c r="AK644" s="56"/>
      <c r="AL644" s="56"/>
      <c r="AM644" s="56"/>
      <c r="AN644" s="56"/>
      <c r="AO644" s="56"/>
      <c r="AP644" s="56"/>
      <c r="AQ644" s="56"/>
      <c r="AR644" s="56"/>
      <c r="AS644" s="56"/>
      <c r="AT644" s="56"/>
      <c r="AU644" s="56"/>
      <c r="AV644" s="56"/>
      <c r="AW644" s="56"/>
      <c r="AX644" s="56"/>
    </row>
    <row r="645" spans="1:50" ht="15" customHeight="1" x14ac:dyDescent="0.25">
      <c r="A645" s="86"/>
      <c r="B645" s="677"/>
      <c r="C645" s="604"/>
      <c r="D645" s="162"/>
      <c r="E645" s="13" t="str">
        <f xml:space="preserve"> Translate!E$103 &amp; " 4"</f>
        <v>Option 4</v>
      </c>
      <c r="F645" s="582" t="str">
        <f xml:space="preserve"> Translate!E$313</f>
        <v>Other2</v>
      </c>
      <c r="G645" s="13" t="str">
        <f xml:space="preserve"> Translate!E$103</f>
        <v>Option</v>
      </c>
      <c r="H645" s="218" t="str">
        <f>Translate!E520</f>
        <v>User to add</v>
      </c>
      <c r="I645" s="89"/>
      <c r="J645" s="219"/>
      <c r="K645" s="56"/>
      <c r="L645" s="56"/>
      <c r="M645" s="56"/>
      <c r="N645" s="56"/>
      <c r="O645" s="56"/>
      <c r="P645" s="56"/>
      <c r="Q645" s="56"/>
      <c r="R645" s="56"/>
      <c r="S645" s="56"/>
      <c r="T645" s="56"/>
      <c r="U645" s="56"/>
      <c r="V645" s="56"/>
      <c r="W645" s="56"/>
      <c r="X645" s="56"/>
      <c r="Y645" s="56"/>
      <c r="Z645" s="56"/>
      <c r="AA645" s="56"/>
      <c r="AB645" s="56"/>
      <c r="AC645" s="56"/>
      <c r="AD645" s="56"/>
      <c r="AE645" s="56"/>
      <c r="AF645" s="56"/>
      <c r="AG645" s="56"/>
      <c r="AH645" s="56"/>
      <c r="AI645" s="56"/>
      <c r="AJ645" s="56"/>
      <c r="AK645" s="56"/>
      <c r="AL645" s="56"/>
      <c r="AM645" s="56"/>
      <c r="AN645" s="56"/>
      <c r="AO645" s="56"/>
      <c r="AP645" s="56"/>
      <c r="AQ645" s="56"/>
      <c r="AR645" s="56"/>
      <c r="AS645" s="56"/>
      <c r="AT645" s="56"/>
      <c r="AU645" s="56"/>
      <c r="AV645" s="56"/>
      <c r="AW645" s="56"/>
      <c r="AX645" s="56"/>
    </row>
    <row r="646" spans="1:50" ht="15" customHeight="1" x14ac:dyDescent="0.25">
      <c r="A646" s="86"/>
      <c r="B646" s="677"/>
      <c r="C646" s="604"/>
      <c r="D646" s="162"/>
      <c r="E646" s="707"/>
      <c r="F646" s="699" t="str">
        <f xml:space="preserve"> Translate!E$796</f>
        <v>end of list</v>
      </c>
      <c r="G646" s="707"/>
      <c r="H646" s="218"/>
      <c r="I646" s="89"/>
      <c r="J646" s="219"/>
      <c r="K646" s="56"/>
      <c r="L646" s="56"/>
      <c r="M646" s="56"/>
      <c r="N646" s="56"/>
      <c r="O646" s="56"/>
      <c r="P646" s="56"/>
      <c r="Q646" s="56"/>
      <c r="R646" s="56"/>
      <c r="S646" s="56"/>
      <c r="T646" s="56"/>
      <c r="U646" s="56"/>
      <c r="V646" s="56"/>
      <c r="W646" s="56"/>
      <c r="X646" s="56"/>
      <c r="Y646" s="56"/>
      <c r="Z646" s="56"/>
      <c r="AA646" s="56"/>
      <c r="AB646" s="56"/>
      <c r="AC646" s="56"/>
      <c r="AD646" s="56"/>
      <c r="AE646" s="56"/>
      <c r="AF646" s="56"/>
      <c r="AG646" s="56"/>
      <c r="AH646" s="56"/>
      <c r="AI646" s="56"/>
      <c r="AJ646" s="56"/>
      <c r="AK646" s="56"/>
      <c r="AL646" s="56"/>
      <c r="AM646" s="56"/>
      <c r="AN646" s="56"/>
      <c r="AO646" s="56"/>
      <c r="AP646" s="56"/>
      <c r="AQ646" s="56"/>
      <c r="AR646" s="56"/>
      <c r="AS646" s="56"/>
      <c r="AT646" s="56"/>
      <c r="AU646" s="56"/>
      <c r="AV646" s="56"/>
      <c r="AW646" s="56"/>
      <c r="AX646" s="56"/>
    </row>
    <row r="647" spans="1:50" ht="15" customHeight="1" x14ac:dyDescent="0.25">
      <c r="A647" s="86"/>
      <c r="B647" s="677"/>
      <c r="C647" s="604"/>
      <c r="D647" s="162"/>
      <c r="E647" s="190" t="str">
        <f xml:space="preserve"> Translate!E$780</f>
        <v>Option selected</v>
      </c>
      <c r="F647" s="242" t="e">
        <f xml:space="preserve"> MATCH(F640, F641:F646, 0)</f>
        <v>#N/A</v>
      </c>
      <c r="G647" s="190" t="str">
        <f xml:space="preserve"> Translate!E$103</f>
        <v>Option</v>
      </c>
      <c r="H647" s="218"/>
      <c r="I647" s="89"/>
      <c r="J647" s="219"/>
      <c r="K647" s="56"/>
      <c r="L647" s="56"/>
      <c r="M647" s="56"/>
      <c r="N647" s="56"/>
      <c r="O647" s="56"/>
      <c r="P647" s="56"/>
      <c r="Q647" s="56"/>
      <c r="R647" s="56"/>
      <c r="S647" s="56"/>
      <c r="T647" s="56"/>
      <c r="U647" s="56"/>
      <c r="V647" s="56"/>
      <c r="W647" s="56"/>
      <c r="X647" s="56"/>
      <c r="Y647" s="56"/>
      <c r="Z647" s="56"/>
      <c r="AA647" s="56"/>
      <c r="AB647" s="56"/>
      <c r="AC647" s="56"/>
      <c r="AD647" s="56"/>
      <c r="AE647" s="56"/>
      <c r="AF647" s="56"/>
      <c r="AG647" s="56"/>
      <c r="AH647" s="56"/>
      <c r="AI647" s="56"/>
      <c r="AJ647" s="56"/>
      <c r="AK647" s="56"/>
      <c r="AL647" s="56"/>
      <c r="AM647" s="56"/>
      <c r="AN647" s="56"/>
      <c r="AO647" s="56"/>
      <c r="AP647" s="56"/>
      <c r="AQ647" s="56"/>
      <c r="AR647" s="56"/>
      <c r="AS647" s="56"/>
      <c r="AT647" s="56"/>
      <c r="AU647" s="56"/>
      <c r="AV647" s="56"/>
      <c r="AW647" s="56"/>
      <c r="AX647" s="56"/>
    </row>
    <row r="648" spans="1:50" ht="15" customHeight="1" x14ac:dyDescent="0.25">
      <c r="A648" s="86"/>
      <c r="B648" s="677"/>
      <c r="C648" s="604"/>
      <c r="D648" s="162"/>
      <c r="E648" s="190"/>
      <c r="F648" s="540"/>
      <c r="G648" s="190"/>
      <c r="H648" s="218"/>
      <c r="I648" s="89"/>
      <c r="J648" s="219"/>
      <c r="K648" s="56"/>
      <c r="L648" s="56"/>
      <c r="M648" s="56"/>
      <c r="N648" s="56"/>
      <c r="O648" s="56"/>
      <c r="P648" s="56"/>
      <c r="Q648" s="56"/>
      <c r="R648" s="56"/>
      <c r="S648" s="56"/>
      <c r="T648" s="56"/>
      <c r="U648" s="56"/>
      <c r="V648" s="56"/>
      <c r="W648" s="56"/>
      <c r="X648" s="56"/>
      <c r="Y648" s="56"/>
      <c r="Z648" s="56"/>
      <c r="AA648" s="56"/>
      <c r="AB648" s="56"/>
      <c r="AC648" s="56"/>
      <c r="AD648" s="56"/>
      <c r="AE648" s="56"/>
      <c r="AF648" s="56"/>
      <c r="AG648" s="56"/>
      <c r="AH648" s="56"/>
      <c r="AI648" s="56"/>
      <c r="AJ648" s="56"/>
      <c r="AK648" s="56"/>
      <c r="AL648" s="56"/>
      <c r="AM648" s="56"/>
      <c r="AN648" s="56"/>
      <c r="AO648" s="56"/>
      <c r="AP648" s="56"/>
      <c r="AQ648" s="56"/>
      <c r="AR648" s="56"/>
      <c r="AS648" s="56"/>
      <c r="AT648" s="56"/>
      <c r="AU648" s="56"/>
      <c r="AV648" s="56"/>
      <c r="AW648" s="56"/>
      <c r="AX648" s="56"/>
    </row>
    <row r="649" spans="1:50" ht="15" customHeight="1" x14ac:dyDescent="0.25">
      <c r="A649" s="86"/>
      <c r="B649" s="677"/>
      <c r="C649" s="604"/>
      <c r="D649" s="162"/>
      <c r="E649" s="190" t="str">
        <f xml:space="preserve"> E$425</f>
        <v>PSC regime active = 1</v>
      </c>
      <c r="F649" s="190">
        <f xml:space="preserve"> F$425</f>
        <v>0</v>
      </c>
      <c r="G649" s="190" t="str">
        <f xml:space="preserve"> G$425</f>
        <v>option applicable</v>
      </c>
      <c r="H649" s="218"/>
      <c r="I649" s="89"/>
      <c r="J649" s="219"/>
      <c r="K649" s="56"/>
      <c r="L649" s="56"/>
      <c r="M649" s="56"/>
      <c r="N649" s="56"/>
      <c r="O649" s="56"/>
      <c r="P649" s="56"/>
      <c r="Q649" s="56"/>
      <c r="R649" s="56"/>
      <c r="S649" s="56"/>
      <c r="T649" s="56"/>
      <c r="U649" s="56"/>
      <c r="V649" s="56"/>
      <c r="W649" s="56"/>
      <c r="X649" s="56"/>
      <c r="Y649" s="56"/>
      <c r="Z649" s="56"/>
      <c r="AA649" s="56"/>
      <c r="AB649" s="56"/>
      <c r="AC649" s="56"/>
      <c r="AD649" s="56"/>
      <c r="AE649" s="56"/>
      <c r="AF649" s="56"/>
      <c r="AG649" s="56"/>
      <c r="AH649" s="56"/>
      <c r="AI649" s="56"/>
      <c r="AJ649" s="56"/>
      <c r="AK649" s="56"/>
      <c r="AL649" s="56"/>
      <c r="AM649" s="56"/>
      <c r="AN649" s="56"/>
      <c r="AO649" s="56"/>
      <c r="AP649" s="56"/>
      <c r="AQ649" s="56"/>
      <c r="AR649" s="56"/>
      <c r="AS649" s="56"/>
      <c r="AT649" s="56"/>
      <c r="AU649" s="56"/>
      <c r="AV649" s="56"/>
      <c r="AW649" s="56"/>
      <c r="AX649" s="56"/>
    </row>
    <row r="650" spans="1:50" ht="15" customHeight="1" x14ac:dyDescent="0.25">
      <c r="A650" s="86"/>
      <c r="B650" s="677"/>
      <c r="C650" s="604"/>
      <c r="D650" s="162"/>
      <c r="E650" s="190"/>
      <c r="F650" s="540"/>
      <c r="G650" s="190"/>
      <c r="H650" s="218"/>
      <c r="I650" s="89"/>
      <c r="J650" s="219"/>
      <c r="K650" s="56"/>
      <c r="L650" s="56"/>
      <c r="M650" s="56"/>
      <c r="N650" s="56"/>
      <c r="O650" s="56"/>
      <c r="P650" s="56"/>
      <c r="Q650" s="56"/>
      <c r="R650" s="56"/>
      <c r="S650" s="56"/>
      <c r="T650" s="56"/>
      <c r="U650" s="56"/>
      <c r="V650" s="56"/>
      <c r="W650" s="56"/>
      <c r="X650" s="56"/>
      <c r="Y650" s="56"/>
      <c r="Z650" s="56"/>
      <c r="AA650" s="56"/>
      <c r="AB650" s="56"/>
      <c r="AC650" s="56"/>
      <c r="AD650" s="56"/>
      <c r="AE650" s="56"/>
      <c r="AF650" s="56"/>
      <c r="AG650" s="56"/>
      <c r="AH650" s="56"/>
      <c r="AI650" s="56"/>
      <c r="AJ650" s="56"/>
      <c r="AK650" s="56"/>
      <c r="AL650" s="56"/>
      <c r="AM650" s="56"/>
      <c r="AN650" s="56"/>
      <c r="AO650" s="56"/>
      <c r="AP650" s="56"/>
      <c r="AQ650" s="56"/>
      <c r="AR650" s="56"/>
      <c r="AS650" s="56"/>
      <c r="AT650" s="56"/>
      <c r="AU650" s="56"/>
      <c r="AV650" s="56"/>
      <c r="AW650" s="56"/>
      <c r="AX650" s="56"/>
    </row>
    <row r="651" spans="1:50" s="1002" customFormat="1" ht="15" customHeight="1" x14ac:dyDescent="0.25">
      <c r="A651" s="998"/>
      <c r="B651" s="999"/>
      <c r="C651" s="1000"/>
      <c r="D651" s="998"/>
      <c r="E651" s="998" t="str">
        <f>Translate!E617 &amp; ": "    &amp; F640</f>
        <v>Government share of profit oil: 0</v>
      </c>
      <c r="F651" s="1001"/>
      <c r="G651" s="998" t="s">
        <v>24</v>
      </c>
      <c r="H651" s="998"/>
      <c r="I651" s="998"/>
      <c r="J651" s="998"/>
      <c r="K651" s="998">
        <f xml:space="preserve"> IF( $F649 = 0, 0, INDEX( K633:K638, $F647 ))</f>
        <v>0</v>
      </c>
      <c r="L651" s="998">
        <f t="shared" ref="L651:AX651" si="180" xml:space="preserve"> IF( $F649 = 0, 0, INDEX( L633:L638, $F647 ))</f>
        <v>0</v>
      </c>
      <c r="M651" s="998">
        <f t="shared" si="180"/>
        <v>0</v>
      </c>
      <c r="N651" s="998">
        <f t="shared" si="180"/>
        <v>0</v>
      </c>
      <c r="O651" s="998">
        <f t="shared" si="180"/>
        <v>0</v>
      </c>
      <c r="P651" s="998">
        <f t="shared" si="180"/>
        <v>0</v>
      </c>
      <c r="Q651" s="998">
        <f t="shared" si="180"/>
        <v>0</v>
      </c>
      <c r="R651" s="998">
        <f t="shared" si="180"/>
        <v>0</v>
      </c>
      <c r="S651" s="998">
        <f t="shared" si="180"/>
        <v>0</v>
      </c>
      <c r="T651" s="998">
        <f t="shared" si="180"/>
        <v>0</v>
      </c>
      <c r="U651" s="998">
        <f t="shared" si="180"/>
        <v>0</v>
      </c>
      <c r="V651" s="998">
        <f t="shared" si="180"/>
        <v>0</v>
      </c>
      <c r="W651" s="998">
        <f t="shared" si="180"/>
        <v>0</v>
      </c>
      <c r="X651" s="998">
        <f t="shared" si="180"/>
        <v>0</v>
      </c>
      <c r="Y651" s="998">
        <f t="shared" si="180"/>
        <v>0</v>
      </c>
      <c r="Z651" s="998">
        <f t="shared" si="180"/>
        <v>0</v>
      </c>
      <c r="AA651" s="998">
        <f t="shared" si="180"/>
        <v>0</v>
      </c>
      <c r="AB651" s="998">
        <f t="shared" si="180"/>
        <v>0</v>
      </c>
      <c r="AC651" s="998">
        <f t="shared" si="180"/>
        <v>0</v>
      </c>
      <c r="AD651" s="998">
        <f t="shared" si="180"/>
        <v>0</v>
      </c>
      <c r="AE651" s="998">
        <f t="shared" si="180"/>
        <v>0</v>
      </c>
      <c r="AF651" s="998">
        <f t="shared" si="180"/>
        <v>0</v>
      </c>
      <c r="AG651" s="998">
        <f t="shared" si="180"/>
        <v>0</v>
      </c>
      <c r="AH651" s="998">
        <f t="shared" si="180"/>
        <v>0</v>
      </c>
      <c r="AI651" s="998">
        <f t="shared" si="180"/>
        <v>0</v>
      </c>
      <c r="AJ651" s="998">
        <f t="shared" si="180"/>
        <v>0</v>
      </c>
      <c r="AK651" s="998">
        <f t="shared" si="180"/>
        <v>0</v>
      </c>
      <c r="AL651" s="998">
        <f t="shared" si="180"/>
        <v>0</v>
      </c>
      <c r="AM651" s="998">
        <f t="shared" si="180"/>
        <v>0</v>
      </c>
      <c r="AN651" s="998">
        <f t="shared" si="180"/>
        <v>0</v>
      </c>
      <c r="AO651" s="998">
        <f t="shared" si="180"/>
        <v>0</v>
      </c>
      <c r="AP651" s="998">
        <f t="shared" si="180"/>
        <v>0</v>
      </c>
      <c r="AQ651" s="998">
        <f t="shared" si="180"/>
        <v>0</v>
      </c>
      <c r="AR651" s="998">
        <f t="shared" si="180"/>
        <v>0</v>
      </c>
      <c r="AS651" s="998">
        <f t="shared" si="180"/>
        <v>0</v>
      </c>
      <c r="AT651" s="998">
        <f t="shared" si="180"/>
        <v>0</v>
      </c>
      <c r="AU651" s="998">
        <f t="shared" si="180"/>
        <v>0</v>
      </c>
      <c r="AV651" s="998">
        <f t="shared" si="180"/>
        <v>0</v>
      </c>
      <c r="AW651" s="998">
        <f t="shared" si="180"/>
        <v>0</v>
      </c>
      <c r="AX651" s="998">
        <f t="shared" si="180"/>
        <v>0</v>
      </c>
    </row>
    <row r="652" spans="1:50" s="59" customFormat="1" ht="15" customHeight="1" x14ac:dyDescent="0.25">
      <c r="A652" s="251"/>
      <c r="B652" s="676"/>
      <c r="C652" s="626"/>
      <c r="D652" s="61"/>
      <c r="E652" s="61" t="str">
        <f xml:space="preserve"> Translate!E$314</f>
        <v>Joint venture share</v>
      </c>
      <c r="F652" s="253"/>
      <c r="G652" s="61" t="s">
        <v>24</v>
      </c>
      <c r="H652" s="61"/>
      <c r="I652" s="61"/>
      <c r="J652" s="61"/>
      <c r="K652" s="61">
        <f t="shared" ref="K652:AX652" si="181" xml:space="preserve"> 1 - K651</f>
        <v>1</v>
      </c>
      <c r="L652" s="61">
        <f t="shared" si="181"/>
        <v>1</v>
      </c>
      <c r="M652" s="61">
        <f t="shared" si="181"/>
        <v>1</v>
      </c>
      <c r="N652" s="61">
        <f t="shared" si="181"/>
        <v>1</v>
      </c>
      <c r="O652" s="61">
        <f t="shared" si="181"/>
        <v>1</v>
      </c>
      <c r="P652" s="61">
        <f t="shared" si="181"/>
        <v>1</v>
      </c>
      <c r="Q652" s="61">
        <f t="shared" si="181"/>
        <v>1</v>
      </c>
      <c r="R652" s="61">
        <f t="shared" si="181"/>
        <v>1</v>
      </c>
      <c r="S652" s="61">
        <f t="shared" si="181"/>
        <v>1</v>
      </c>
      <c r="T652" s="61">
        <f t="shared" si="181"/>
        <v>1</v>
      </c>
      <c r="U652" s="61">
        <f t="shared" si="181"/>
        <v>1</v>
      </c>
      <c r="V652" s="61">
        <f t="shared" si="181"/>
        <v>1</v>
      </c>
      <c r="W652" s="61">
        <f t="shared" si="181"/>
        <v>1</v>
      </c>
      <c r="X652" s="61">
        <f t="shared" si="181"/>
        <v>1</v>
      </c>
      <c r="Y652" s="61">
        <f t="shared" si="181"/>
        <v>1</v>
      </c>
      <c r="Z652" s="61">
        <f t="shared" si="181"/>
        <v>1</v>
      </c>
      <c r="AA652" s="61">
        <f t="shared" si="181"/>
        <v>1</v>
      </c>
      <c r="AB652" s="61">
        <f t="shared" si="181"/>
        <v>1</v>
      </c>
      <c r="AC652" s="61">
        <f t="shared" si="181"/>
        <v>1</v>
      </c>
      <c r="AD652" s="61">
        <f t="shared" si="181"/>
        <v>1</v>
      </c>
      <c r="AE652" s="61">
        <f t="shared" si="181"/>
        <v>1</v>
      </c>
      <c r="AF652" s="61">
        <f t="shared" si="181"/>
        <v>1</v>
      </c>
      <c r="AG652" s="61">
        <f t="shared" si="181"/>
        <v>1</v>
      </c>
      <c r="AH652" s="61">
        <f t="shared" si="181"/>
        <v>1</v>
      </c>
      <c r="AI652" s="61">
        <f t="shared" si="181"/>
        <v>1</v>
      </c>
      <c r="AJ652" s="61">
        <f t="shared" si="181"/>
        <v>1</v>
      </c>
      <c r="AK652" s="61">
        <f t="shared" si="181"/>
        <v>1</v>
      </c>
      <c r="AL652" s="61">
        <f t="shared" si="181"/>
        <v>1</v>
      </c>
      <c r="AM652" s="61">
        <f t="shared" si="181"/>
        <v>1</v>
      </c>
      <c r="AN652" s="61">
        <f t="shared" si="181"/>
        <v>1</v>
      </c>
      <c r="AO652" s="61">
        <f t="shared" si="181"/>
        <v>1</v>
      </c>
      <c r="AP652" s="61">
        <f t="shared" si="181"/>
        <v>1</v>
      </c>
      <c r="AQ652" s="61">
        <f t="shared" si="181"/>
        <v>1</v>
      </c>
      <c r="AR652" s="61">
        <f t="shared" si="181"/>
        <v>1</v>
      </c>
      <c r="AS652" s="61">
        <f t="shared" si="181"/>
        <v>1</v>
      </c>
      <c r="AT652" s="61">
        <f t="shared" si="181"/>
        <v>1</v>
      </c>
      <c r="AU652" s="61">
        <f t="shared" si="181"/>
        <v>1</v>
      </c>
      <c r="AV652" s="61">
        <f t="shared" si="181"/>
        <v>1</v>
      </c>
      <c r="AW652" s="61">
        <f t="shared" si="181"/>
        <v>1</v>
      </c>
      <c r="AX652" s="61">
        <f t="shared" si="181"/>
        <v>1</v>
      </c>
    </row>
    <row r="653" spans="1:50" ht="15" customHeight="1" x14ac:dyDescent="0.25">
      <c r="A653" s="86"/>
      <c r="B653" s="235"/>
      <c r="C653" s="604"/>
      <c r="D653" s="162"/>
      <c r="E653" s="90"/>
      <c r="F653" s="169"/>
      <c r="G653" s="90"/>
      <c r="H653" s="90"/>
      <c r="I653" s="89"/>
      <c r="J653" s="89"/>
      <c r="K653" s="175"/>
      <c r="L653" s="175"/>
      <c r="M653" s="175"/>
      <c r="N653" s="175"/>
      <c r="O653" s="175"/>
      <c r="P653" s="175"/>
      <c r="Q653" s="175"/>
      <c r="R653" s="175"/>
      <c r="S653" s="175"/>
      <c r="T653" s="175"/>
      <c r="U653" s="175"/>
      <c r="V653" s="175"/>
      <c r="W653" s="175"/>
      <c r="X653" s="175"/>
      <c r="Y653" s="175"/>
      <c r="Z653" s="175"/>
      <c r="AA653" s="175"/>
      <c r="AB653" s="175"/>
      <c r="AC653" s="175"/>
      <c r="AD653" s="175"/>
      <c r="AE653" s="175"/>
      <c r="AF653" s="175"/>
      <c r="AG653" s="175"/>
      <c r="AH653" s="175"/>
      <c r="AI653" s="175"/>
      <c r="AJ653" s="175"/>
      <c r="AK653" s="175"/>
      <c r="AL653" s="175"/>
      <c r="AM653" s="175"/>
      <c r="AN653" s="175"/>
      <c r="AO653" s="175"/>
      <c r="AP653" s="175"/>
      <c r="AQ653" s="175"/>
      <c r="AR653" s="175"/>
      <c r="AS653" s="175"/>
      <c r="AT653" s="175"/>
      <c r="AU653" s="175"/>
      <c r="AV653" s="175"/>
      <c r="AW653" s="175"/>
      <c r="AX653" s="175"/>
    </row>
    <row r="654" spans="1:50" ht="15" customHeight="1" x14ac:dyDescent="0.25">
      <c r="A654" s="86"/>
      <c r="B654" s="235"/>
      <c r="C654" s="604" t="str">
        <f>Translate!$E$501</f>
        <v>Share profit oil between government and JV contractor group</v>
      </c>
      <c r="D654" s="162"/>
      <c r="E654" s="90"/>
      <c r="F654" s="169"/>
      <c r="G654" s="90"/>
      <c r="H654" s="90"/>
      <c r="I654" s="89"/>
      <c r="J654" s="89"/>
      <c r="K654" s="175"/>
      <c r="L654" s="175"/>
      <c r="M654" s="175"/>
      <c r="N654" s="175"/>
      <c r="O654" s="175"/>
      <c r="P654" s="175"/>
      <c r="Q654" s="175"/>
      <c r="R654" s="175"/>
      <c r="S654" s="175"/>
      <c r="T654" s="175"/>
      <c r="U654" s="175"/>
      <c r="V654" s="175"/>
      <c r="W654" s="175"/>
      <c r="X654" s="175"/>
      <c r="Y654" s="175"/>
      <c r="Z654" s="175"/>
      <c r="AA654" s="175"/>
      <c r="AB654" s="175"/>
      <c r="AC654" s="175"/>
      <c r="AD654" s="175"/>
      <c r="AE654" s="175"/>
      <c r="AF654" s="175"/>
      <c r="AG654" s="175"/>
      <c r="AH654" s="175"/>
      <c r="AI654" s="175"/>
      <c r="AJ654" s="175"/>
      <c r="AK654" s="175"/>
      <c r="AL654" s="175"/>
      <c r="AM654" s="175"/>
      <c r="AN654" s="175"/>
      <c r="AO654" s="175"/>
      <c r="AP654" s="175"/>
      <c r="AQ654" s="175"/>
      <c r="AR654" s="175"/>
      <c r="AS654" s="175"/>
      <c r="AT654" s="175"/>
      <c r="AU654" s="175"/>
      <c r="AV654" s="175"/>
      <c r="AW654" s="175"/>
      <c r="AX654" s="175"/>
    </row>
    <row r="655" spans="1:50" ht="15" customHeight="1" x14ac:dyDescent="0.25">
      <c r="A655" s="86"/>
      <c r="B655" s="235"/>
      <c r="C655" s="604"/>
      <c r="D655" s="162"/>
      <c r="E655" s="98" t="str">
        <f t="shared" ref="E655:AX655" si="182" xml:space="preserve"> E$534</f>
        <v>PSC: Profit oil</v>
      </c>
      <c r="F655" s="169">
        <f t="shared" si="182"/>
        <v>0</v>
      </c>
      <c r="G655" s="98" t="str">
        <f t="shared" si="182"/>
        <v>US$ mn</v>
      </c>
      <c r="H655" s="98">
        <f t="shared" si="182"/>
        <v>0</v>
      </c>
      <c r="I655" s="98">
        <f t="shared" ca="1" si="182"/>
        <v>0</v>
      </c>
      <c r="J655" s="98">
        <f t="shared" si="182"/>
        <v>0</v>
      </c>
      <c r="K655" s="98">
        <f t="shared" ca="1" si="182"/>
        <v>0</v>
      </c>
      <c r="L655" s="98">
        <f t="shared" ca="1" si="182"/>
        <v>0</v>
      </c>
      <c r="M655" s="98">
        <f t="shared" ca="1" si="182"/>
        <v>0</v>
      </c>
      <c r="N655" s="98">
        <f t="shared" ca="1" si="182"/>
        <v>0</v>
      </c>
      <c r="O655" s="98">
        <f t="shared" ca="1" si="182"/>
        <v>0</v>
      </c>
      <c r="P655" s="98">
        <f t="shared" ca="1" si="182"/>
        <v>0</v>
      </c>
      <c r="Q655" s="98">
        <f t="shared" ca="1" si="182"/>
        <v>0</v>
      </c>
      <c r="R655" s="98">
        <f t="shared" ca="1" si="182"/>
        <v>0</v>
      </c>
      <c r="S655" s="98">
        <f t="shared" ca="1" si="182"/>
        <v>0</v>
      </c>
      <c r="T655" s="98">
        <f t="shared" ca="1" si="182"/>
        <v>0</v>
      </c>
      <c r="U655" s="98">
        <f t="shared" ca="1" si="182"/>
        <v>0</v>
      </c>
      <c r="V655" s="98">
        <f t="shared" ca="1" si="182"/>
        <v>0</v>
      </c>
      <c r="W655" s="98">
        <f t="shared" ca="1" si="182"/>
        <v>0</v>
      </c>
      <c r="X655" s="98">
        <f t="shared" ca="1" si="182"/>
        <v>0</v>
      </c>
      <c r="Y655" s="98">
        <f t="shared" ca="1" si="182"/>
        <v>0</v>
      </c>
      <c r="Z655" s="98">
        <f t="shared" ca="1" si="182"/>
        <v>0</v>
      </c>
      <c r="AA655" s="98">
        <f t="shared" ca="1" si="182"/>
        <v>0</v>
      </c>
      <c r="AB655" s="98">
        <f t="shared" ca="1" si="182"/>
        <v>0</v>
      </c>
      <c r="AC655" s="98">
        <f t="shared" ca="1" si="182"/>
        <v>0</v>
      </c>
      <c r="AD655" s="98">
        <f t="shared" ca="1" si="182"/>
        <v>0</v>
      </c>
      <c r="AE655" s="98">
        <f t="shared" ca="1" si="182"/>
        <v>0</v>
      </c>
      <c r="AF655" s="98">
        <f t="shared" ca="1" si="182"/>
        <v>0</v>
      </c>
      <c r="AG655" s="98">
        <f t="shared" ca="1" si="182"/>
        <v>0</v>
      </c>
      <c r="AH655" s="98">
        <f t="shared" ca="1" si="182"/>
        <v>0</v>
      </c>
      <c r="AI655" s="98">
        <f t="shared" ca="1" si="182"/>
        <v>0</v>
      </c>
      <c r="AJ655" s="98">
        <f t="shared" ca="1" si="182"/>
        <v>0</v>
      </c>
      <c r="AK655" s="98">
        <f t="shared" ca="1" si="182"/>
        <v>0</v>
      </c>
      <c r="AL655" s="98">
        <f t="shared" ca="1" si="182"/>
        <v>0</v>
      </c>
      <c r="AM655" s="98">
        <f t="shared" ca="1" si="182"/>
        <v>0</v>
      </c>
      <c r="AN655" s="98">
        <f t="shared" ca="1" si="182"/>
        <v>0</v>
      </c>
      <c r="AO655" s="98">
        <f t="shared" ca="1" si="182"/>
        <v>0</v>
      </c>
      <c r="AP655" s="98">
        <f t="shared" ca="1" si="182"/>
        <v>0</v>
      </c>
      <c r="AQ655" s="98">
        <f t="shared" ca="1" si="182"/>
        <v>0</v>
      </c>
      <c r="AR655" s="98">
        <f t="shared" ca="1" si="182"/>
        <v>0</v>
      </c>
      <c r="AS655" s="98">
        <f t="shared" ca="1" si="182"/>
        <v>0</v>
      </c>
      <c r="AT655" s="98">
        <f t="shared" ca="1" si="182"/>
        <v>0</v>
      </c>
      <c r="AU655" s="98">
        <f t="shared" ca="1" si="182"/>
        <v>0</v>
      </c>
      <c r="AV655" s="98">
        <f t="shared" ca="1" si="182"/>
        <v>0</v>
      </c>
      <c r="AW655" s="98">
        <f t="shared" ca="1" si="182"/>
        <v>0</v>
      </c>
      <c r="AX655" s="98">
        <f t="shared" ca="1" si="182"/>
        <v>0</v>
      </c>
    </row>
    <row r="656" spans="1:50" ht="15" customHeight="1" x14ac:dyDescent="0.25">
      <c r="A656" s="86"/>
      <c r="B656" s="677"/>
      <c r="C656" s="604"/>
      <c r="D656" s="217"/>
      <c r="E656" s="13" t="str">
        <f xml:space="preserve"> Translate!E$315</f>
        <v>PSC: Government profit oil</v>
      </c>
      <c r="F656" s="169"/>
      <c r="G656" s="13" t="str">
        <f xml:space="preserve"> Translate!E$603</f>
        <v>US$ mn</v>
      </c>
      <c r="H656" s="13"/>
      <c r="I656" s="217">
        <f ca="1" xml:space="preserve"> SUM(K656:AX656)</f>
        <v>0</v>
      </c>
      <c r="J656" s="56"/>
      <c r="K656" s="98">
        <f t="shared" ref="K656:AX656" ca="1" si="183" xml:space="preserve"> K655 * K651</f>
        <v>0</v>
      </c>
      <c r="L656" s="98">
        <f t="shared" ca="1" si="183"/>
        <v>0</v>
      </c>
      <c r="M656" s="98">
        <f t="shared" ca="1" si="183"/>
        <v>0</v>
      </c>
      <c r="N656" s="98">
        <f t="shared" ca="1" si="183"/>
        <v>0</v>
      </c>
      <c r="O656" s="98">
        <f t="shared" ca="1" si="183"/>
        <v>0</v>
      </c>
      <c r="P656" s="98">
        <f t="shared" ca="1" si="183"/>
        <v>0</v>
      </c>
      <c r="Q656" s="98">
        <f t="shared" ca="1" si="183"/>
        <v>0</v>
      </c>
      <c r="R656" s="98">
        <f t="shared" ca="1" si="183"/>
        <v>0</v>
      </c>
      <c r="S656" s="98">
        <f t="shared" ca="1" si="183"/>
        <v>0</v>
      </c>
      <c r="T656" s="98">
        <f t="shared" ca="1" si="183"/>
        <v>0</v>
      </c>
      <c r="U656" s="98">
        <f t="shared" ca="1" si="183"/>
        <v>0</v>
      </c>
      <c r="V656" s="98">
        <f t="shared" ca="1" si="183"/>
        <v>0</v>
      </c>
      <c r="W656" s="98">
        <f t="shared" ca="1" si="183"/>
        <v>0</v>
      </c>
      <c r="X656" s="98">
        <f t="shared" ca="1" si="183"/>
        <v>0</v>
      </c>
      <c r="Y656" s="98">
        <f t="shared" ca="1" si="183"/>
        <v>0</v>
      </c>
      <c r="Z656" s="98">
        <f t="shared" ca="1" si="183"/>
        <v>0</v>
      </c>
      <c r="AA656" s="98">
        <f t="shared" ca="1" si="183"/>
        <v>0</v>
      </c>
      <c r="AB656" s="98">
        <f t="shared" ca="1" si="183"/>
        <v>0</v>
      </c>
      <c r="AC656" s="98">
        <f t="shared" ca="1" si="183"/>
        <v>0</v>
      </c>
      <c r="AD656" s="98">
        <f t="shared" ca="1" si="183"/>
        <v>0</v>
      </c>
      <c r="AE656" s="98">
        <f t="shared" ca="1" si="183"/>
        <v>0</v>
      </c>
      <c r="AF656" s="98">
        <f t="shared" ca="1" si="183"/>
        <v>0</v>
      </c>
      <c r="AG656" s="98">
        <f t="shared" ca="1" si="183"/>
        <v>0</v>
      </c>
      <c r="AH656" s="98">
        <f t="shared" ca="1" si="183"/>
        <v>0</v>
      </c>
      <c r="AI656" s="98">
        <f t="shared" ca="1" si="183"/>
        <v>0</v>
      </c>
      <c r="AJ656" s="98">
        <f t="shared" ca="1" si="183"/>
        <v>0</v>
      </c>
      <c r="AK656" s="98">
        <f t="shared" ca="1" si="183"/>
        <v>0</v>
      </c>
      <c r="AL656" s="98">
        <f t="shared" ca="1" si="183"/>
        <v>0</v>
      </c>
      <c r="AM656" s="98">
        <f t="shared" ca="1" si="183"/>
        <v>0</v>
      </c>
      <c r="AN656" s="98">
        <f t="shared" ca="1" si="183"/>
        <v>0</v>
      </c>
      <c r="AO656" s="98">
        <f t="shared" ca="1" si="183"/>
        <v>0</v>
      </c>
      <c r="AP656" s="98">
        <f t="shared" ca="1" si="183"/>
        <v>0</v>
      </c>
      <c r="AQ656" s="98">
        <f t="shared" ca="1" si="183"/>
        <v>0</v>
      </c>
      <c r="AR656" s="98">
        <f t="shared" ca="1" si="183"/>
        <v>0</v>
      </c>
      <c r="AS656" s="98">
        <f t="shared" ca="1" si="183"/>
        <v>0</v>
      </c>
      <c r="AT656" s="98">
        <f t="shared" ca="1" si="183"/>
        <v>0</v>
      </c>
      <c r="AU656" s="98">
        <f t="shared" ca="1" si="183"/>
        <v>0</v>
      </c>
      <c r="AV656" s="98">
        <f t="shared" ca="1" si="183"/>
        <v>0</v>
      </c>
      <c r="AW656" s="98">
        <f t="shared" ca="1" si="183"/>
        <v>0</v>
      </c>
      <c r="AX656" s="98">
        <f t="shared" ca="1" si="183"/>
        <v>0</v>
      </c>
    </row>
    <row r="657" spans="1:50" ht="15" customHeight="1" x14ac:dyDescent="0.25">
      <c r="A657" s="86"/>
      <c r="B657" s="677"/>
      <c r="C657" s="604"/>
      <c r="D657" s="217"/>
      <c r="E657" s="13" t="str">
        <f xml:space="preserve"> Translate!E$316</f>
        <v>Joint venture profit oil</v>
      </c>
      <c r="F657" s="169"/>
      <c r="G657" s="13" t="str">
        <f xml:space="preserve"> Translate!E$603</f>
        <v>US$ mn</v>
      </c>
      <c r="H657" s="13"/>
      <c r="I657" s="217">
        <f ca="1" xml:space="preserve"> SUM(K657:AX657)</f>
        <v>0</v>
      </c>
      <c r="J657" s="56"/>
      <c r="K657" s="98">
        <f t="shared" ref="K657:AX657" ca="1" si="184" xml:space="preserve"> K655 * K652</f>
        <v>0</v>
      </c>
      <c r="L657" s="98">
        <f t="shared" ca="1" si="184"/>
        <v>0</v>
      </c>
      <c r="M657" s="98">
        <f t="shared" ca="1" si="184"/>
        <v>0</v>
      </c>
      <c r="N657" s="98">
        <f t="shared" ca="1" si="184"/>
        <v>0</v>
      </c>
      <c r="O657" s="98">
        <f t="shared" ca="1" si="184"/>
        <v>0</v>
      </c>
      <c r="P657" s="98">
        <f t="shared" ca="1" si="184"/>
        <v>0</v>
      </c>
      <c r="Q657" s="98">
        <f t="shared" ca="1" si="184"/>
        <v>0</v>
      </c>
      <c r="R657" s="98">
        <f t="shared" ca="1" si="184"/>
        <v>0</v>
      </c>
      <c r="S657" s="98">
        <f t="shared" ca="1" si="184"/>
        <v>0</v>
      </c>
      <c r="T657" s="98">
        <f t="shared" ca="1" si="184"/>
        <v>0</v>
      </c>
      <c r="U657" s="98">
        <f t="shared" ca="1" si="184"/>
        <v>0</v>
      </c>
      <c r="V657" s="98">
        <f t="shared" ca="1" si="184"/>
        <v>0</v>
      </c>
      <c r="W657" s="98">
        <f t="shared" ca="1" si="184"/>
        <v>0</v>
      </c>
      <c r="X657" s="98">
        <f t="shared" ca="1" si="184"/>
        <v>0</v>
      </c>
      <c r="Y657" s="98">
        <f t="shared" ca="1" si="184"/>
        <v>0</v>
      </c>
      <c r="Z657" s="98">
        <f t="shared" ca="1" si="184"/>
        <v>0</v>
      </c>
      <c r="AA657" s="98">
        <f t="shared" ca="1" si="184"/>
        <v>0</v>
      </c>
      <c r="AB657" s="98">
        <f t="shared" ca="1" si="184"/>
        <v>0</v>
      </c>
      <c r="AC657" s="98">
        <f t="shared" ca="1" si="184"/>
        <v>0</v>
      </c>
      <c r="AD657" s="98">
        <f t="shared" ca="1" si="184"/>
        <v>0</v>
      </c>
      <c r="AE657" s="98">
        <f t="shared" ca="1" si="184"/>
        <v>0</v>
      </c>
      <c r="AF657" s="98">
        <f t="shared" ca="1" si="184"/>
        <v>0</v>
      </c>
      <c r="AG657" s="98">
        <f t="shared" ca="1" si="184"/>
        <v>0</v>
      </c>
      <c r="AH657" s="98">
        <f t="shared" ca="1" si="184"/>
        <v>0</v>
      </c>
      <c r="AI657" s="98">
        <f t="shared" ca="1" si="184"/>
        <v>0</v>
      </c>
      <c r="AJ657" s="98">
        <f t="shared" ca="1" si="184"/>
        <v>0</v>
      </c>
      <c r="AK657" s="98">
        <f t="shared" ca="1" si="184"/>
        <v>0</v>
      </c>
      <c r="AL657" s="98">
        <f t="shared" ca="1" si="184"/>
        <v>0</v>
      </c>
      <c r="AM657" s="98">
        <f t="shared" ca="1" si="184"/>
        <v>0</v>
      </c>
      <c r="AN657" s="98">
        <f t="shared" ca="1" si="184"/>
        <v>0</v>
      </c>
      <c r="AO657" s="98">
        <f t="shared" ca="1" si="184"/>
        <v>0</v>
      </c>
      <c r="AP657" s="98">
        <f t="shared" ca="1" si="184"/>
        <v>0</v>
      </c>
      <c r="AQ657" s="98">
        <f t="shared" ca="1" si="184"/>
        <v>0</v>
      </c>
      <c r="AR657" s="98">
        <f t="shared" ca="1" si="184"/>
        <v>0</v>
      </c>
      <c r="AS657" s="98">
        <f t="shared" ca="1" si="184"/>
        <v>0</v>
      </c>
      <c r="AT657" s="98">
        <f t="shared" ca="1" si="184"/>
        <v>0</v>
      </c>
      <c r="AU657" s="98">
        <f t="shared" ca="1" si="184"/>
        <v>0</v>
      </c>
      <c r="AV657" s="98">
        <f t="shared" ca="1" si="184"/>
        <v>0</v>
      </c>
      <c r="AW657" s="98">
        <f t="shared" ca="1" si="184"/>
        <v>0</v>
      </c>
      <c r="AX657" s="98">
        <f t="shared" ca="1" si="184"/>
        <v>0</v>
      </c>
    </row>
    <row r="658" spans="1:50" ht="15" customHeight="1" x14ac:dyDescent="0.25">
      <c r="A658" s="86"/>
      <c r="B658" s="677"/>
      <c r="C658" s="604"/>
      <c r="D658" s="217"/>
      <c r="E658" s="13"/>
      <c r="F658" s="169"/>
      <c r="G658" s="13"/>
      <c r="H658" s="13"/>
      <c r="I658" s="217"/>
      <c r="J658" s="56"/>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c r="AJ658" s="98"/>
      <c r="AK658" s="98"/>
      <c r="AL658" s="98"/>
      <c r="AM658" s="98"/>
      <c r="AN658" s="98"/>
      <c r="AO658" s="98"/>
      <c r="AP658" s="98"/>
      <c r="AQ658" s="98"/>
      <c r="AR658" s="98"/>
      <c r="AS658" s="98"/>
      <c r="AT658" s="98"/>
      <c r="AU658" s="98"/>
      <c r="AV658" s="98"/>
      <c r="AW658" s="98"/>
      <c r="AX658" s="98"/>
    </row>
    <row r="659" spans="1:50" ht="15" customHeight="1" x14ac:dyDescent="0.25">
      <c r="A659" s="241"/>
      <c r="B659" s="675"/>
      <c r="C659" s="615"/>
      <c r="D659" s="55"/>
      <c r="E659" s="55" t="str">
        <f>Translate!E$601 &amp; ": "  &amp; E655</f>
        <v>Total: PSC: Profit oil</v>
      </c>
      <c r="F659" s="64">
        <f ca="1" xml:space="preserve"> SUM(K655:AX655)</f>
        <v>0</v>
      </c>
      <c r="G659" s="55" t="str">
        <f xml:space="preserve"> G655</f>
        <v>US$ mn</v>
      </c>
      <c r="H659" s="190"/>
      <c r="I659" s="55"/>
      <c r="J659" s="55"/>
      <c r="K659" s="55"/>
      <c r="L659" s="55"/>
      <c r="M659" s="55"/>
      <c r="N659" s="55"/>
      <c r="O659" s="55"/>
      <c r="P659" s="55"/>
      <c r="Q659" s="55"/>
      <c r="R659" s="55"/>
      <c r="S659" s="55"/>
      <c r="T659" s="55"/>
      <c r="U659" s="55"/>
      <c r="V659" s="55"/>
      <c r="W659" s="55"/>
      <c r="X659" s="55"/>
      <c r="Y659" s="55"/>
      <c r="Z659" s="55"/>
      <c r="AA659" s="55"/>
      <c r="AB659" s="55"/>
      <c r="AC659" s="55"/>
      <c r="AD659" s="55"/>
      <c r="AE659" s="55"/>
      <c r="AF659" s="55"/>
      <c r="AG659" s="55"/>
      <c r="AH659" s="55"/>
      <c r="AI659" s="55"/>
      <c r="AJ659" s="55"/>
      <c r="AK659" s="55"/>
      <c r="AL659" s="55"/>
      <c r="AM659" s="55"/>
      <c r="AN659" s="55"/>
      <c r="AO659" s="55"/>
      <c r="AP659" s="55"/>
      <c r="AQ659" s="55"/>
      <c r="AR659" s="55"/>
      <c r="AS659" s="55"/>
      <c r="AT659" s="55"/>
      <c r="AU659" s="55"/>
      <c r="AV659" s="55"/>
      <c r="AW659" s="55"/>
      <c r="AX659" s="55"/>
    </row>
    <row r="660" spans="1:50" ht="15" customHeight="1" x14ac:dyDescent="0.25">
      <c r="A660" s="241"/>
      <c r="B660" s="675"/>
      <c r="C660" s="615"/>
      <c r="D660" s="55"/>
      <c r="E660" s="55" t="str">
        <f>Translate!E$601 &amp; ": "  &amp; E656</f>
        <v>Total: PSC: Government profit oil</v>
      </c>
      <c r="F660" s="64">
        <f ca="1" xml:space="preserve"> SUM(K656:AX656)</f>
        <v>0</v>
      </c>
      <c r="G660" s="55" t="str">
        <f xml:space="preserve"> G656</f>
        <v>US$ mn</v>
      </c>
      <c r="H660" s="190"/>
      <c r="I660" s="55"/>
      <c r="J660" s="55"/>
      <c r="K660" s="55"/>
      <c r="L660" s="55"/>
      <c r="M660" s="55"/>
      <c r="N660" s="55"/>
      <c r="O660" s="55"/>
      <c r="P660" s="55"/>
      <c r="Q660" s="55"/>
      <c r="R660" s="55"/>
      <c r="S660" s="55"/>
      <c r="T660" s="55"/>
      <c r="U660" s="55"/>
      <c r="V660" s="55"/>
      <c r="W660" s="55"/>
      <c r="X660" s="55"/>
      <c r="Y660" s="55"/>
      <c r="Z660" s="55"/>
      <c r="AA660" s="55"/>
      <c r="AB660" s="55"/>
      <c r="AC660" s="55"/>
      <c r="AD660" s="55"/>
      <c r="AE660" s="55"/>
      <c r="AF660" s="55"/>
      <c r="AG660" s="55"/>
      <c r="AH660" s="55"/>
      <c r="AI660" s="55"/>
      <c r="AJ660" s="55"/>
      <c r="AK660" s="55"/>
      <c r="AL660" s="55"/>
      <c r="AM660" s="55"/>
      <c r="AN660" s="55"/>
      <c r="AO660" s="55"/>
      <c r="AP660" s="55"/>
      <c r="AQ660" s="55"/>
      <c r="AR660" s="55"/>
      <c r="AS660" s="55"/>
      <c r="AT660" s="55"/>
      <c r="AU660" s="55"/>
      <c r="AV660" s="55"/>
      <c r="AW660" s="55"/>
      <c r="AX660" s="55"/>
    </row>
    <row r="661" spans="1:50" ht="15" customHeight="1" x14ac:dyDescent="0.25">
      <c r="A661" s="86"/>
      <c r="B661" s="677"/>
      <c r="C661" s="604"/>
      <c r="D661" s="217"/>
      <c r="E661" s="98" t="str">
        <f xml:space="preserve"> Translate!E$317</f>
        <v>Weighted average government share profit oil</v>
      </c>
      <c r="F661" s="253">
        <f ca="1" xml:space="preserve"> IFERROR( F660 / F659, 0)</f>
        <v>0</v>
      </c>
      <c r="G661" s="98" t="s">
        <v>24</v>
      </c>
      <c r="H661" s="13"/>
      <c r="I661" s="217"/>
      <c r="J661" s="56"/>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c r="AJ661" s="98"/>
      <c r="AK661" s="98"/>
      <c r="AL661" s="98"/>
      <c r="AM661" s="98"/>
      <c r="AN661" s="98"/>
      <c r="AO661" s="98"/>
      <c r="AP661" s="98"/>
      <c r="AQ661" s="98"/>
      <c r="AR661" s="98"/>
      <c r="AS661" s="98"/>
      <c r="AT661" s="98"/>
      <c r="AU661" s="98"/>
      <c r="AV661" s="98"/>
      <c r="AW661" s="98"/>
      <c r="AX661" s="98"/>
    </row>
    <row r="662" spans="1:50" ht="15" customHeight="1" x14ac:dyDescent="0.25">
      <c r="A662" s="86"/>
      <c r="B662" s="677"/>
      <c r="C662" s="604"/>
      <c r="D662" s="217"/>
      <c r="E662" s="13"/>
      <c r="F662"/>
      <c r="G662" s="13"/>
      <c r="H662" s="13"/>
      <c r="I662" s="217"/>
      <c r="J662" s="56"/>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c r="AJ662" s="98"/>
      <c r="AK662" s="98"/>
      <c r="AL662" s="98"/>
      <c r="AM662" s="98"/>
      <c r="AN662" s="98"/>
      <c r="AO662" s="98"/>
      <c r="AP662" s="98"/>
      <c r="AQ662" s="98"/>
      <c r="AR662" s="98"/>
      <c r="AS662" s="98"/>
      <c r="AT662" s="98"/>
      <c r="AU662" s="98"/>
      <c r="AV662" s="98"/>
      <c r="AW662" s="98"/>
      <c r="AX662" s="98"/>
    </row>
    <row r="663" spans="1:50" ht="15" customHeight="1" x14ac:dyDescent="0.25">
      <c r="A663" s="86"/>
      <c r="B663" s="677"/>
      <c r="C663" s="604" t="str">
        <f>Translate!$E$502</f>
        <v>Attribute profit oil between SOC and IOC</v>
      </c>
      <c r="D663" s="217"/>
      <c r="E663" s="13"/>
      <c r="F663" s="169"/>
      <c r="G663" s="13"/>
      <c r="H663" s="13"/>
      <c r="I663" s="217"/>
      <c r="J663" s="56"/>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c r="AJ663" s="98"/>
      <c r="AK663" s="98"/>
      <c r="AL663" s="98"/>
      <c r="AM663" s="98"/>
      <c r="AN663" s="98"/>
      <c r="AO663" s="98"/>
      <c r="AP663" s="98"/>
      <c r="AQ663" s="98"/>
      <c r="AR663" s="98"/>
      <c r="AS663" s="98"/>
      <c r="AT663" s="98"/>
      <c r="AU663" s="98"/>
      <c r="AV663" s="98"/>
      <c r="AW663" s="98"/>
      <c r="AX663" s="98"/>
    </row>
    <row r="664" spans="1:50" ht="15" customHeight="1" x14ac:dyDescent="0.25">
      <c r="A664" s="86"/>
      <c r="B664" s="677"/>
      <c r="C664" s="604"/>
      <c r="D664" s="217"/>
      <c r="E664" s="402" t="str">
        <f xml:space="preserve"> FiscalModel!E$77</f>
        <v>State participation</v>
      </c>
      <c r="F664" s="534">
        <f xml:space="preserve"> FiscalModel!F$77</f>
        <v>0.2</v>
      </c>
      <c r="G664" s="402" t="str">
        <f xml:space="preserve"> FiscalModel!G$77</f>
        <v>%</v>
      </c>
      <c r="H664" s="13"/>
      <c r="I664" s="217"/>
      <c r="J664" s="56"/>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c r="AJ664" s="98"/>
      <c r="AK664" s="98"/>
      <c r="AL664" s="98"/>
      <c r="AM664" s="98"/>
      <c r="AN664" s="98"/>
      <c r="AO664" s="98"/>
      <c r="AP664" s="98"/>
      <c r="AQ664" s="98"/>
      <c r="AR664" s="98"/>
      <c r="AS664" s="98"/>
      <c r="AT664" s="98"/>
      <c r="AU664" s="98"/>
      <c r="AV664" s="98"/>
      <c r="AW664" s="98"/>
      <c r="AX664" s="98"/>
    </row>
    <row r="665" spans="1:50" ht="15" customHeight="1" x14ac:dyDescent="0.25">
      <c r="A665" s="86"/>
      <c r="B665" s="235"/>
      <c r="C665" s="604"/>
      <c r="D665" s="217"/>
      <c r="E665" s="13" t="str">
        <f xml:space="preserve"> Translate!E$318</f>
        <v>PSC: Profit oil to IOC</v>
      </c>
      <c r="F665" s="577"/>
      <c r="G665" s="13" t="str">
        <f xml:space="preserve"> Translate!E$603</f>
        <v>US$ mn</v>
      </c>
      <c r="H665" s="13"/>
      <c r="I665" s="217">
        <f ca="1" xml:space="preserve"> SUM(K665:AX665)</f>
        <v>0</v>
      </c>
      <c r="J665" s="89"/>
      <c r="K665" s="98">
        <f t="shared" ref="K665:AX665" ca="1" si="185" xml:space="preserve"> K657 * ( 1 - $F664)</f>
        <v>0</v>
      </c>
      <c r="L665" s="98">
        <f t="shared" ca="1" si="185"/>
        <v>0</v>
      </c>
      <c r="M665" s="98">
        <f t="shared" ca="1" si="185"/>
        <v>0</v>
      </c>
      <c r="N665" s="98">
        <f t="shared" ca="1" si="185"/>
        <v>0</v>
      </c>
      <c r="O665" s="98">
        <f t="shared" ca="1" si="185"/>
        <v>0</v>
      </c>
      <c r="P665" s="98">
        <f t="shared" ca="1" si="185"/>
        <v>0</v>
      </c>
      <c r="Q665" s="98">
        <f t="shared" ca="1" si="185"/>
        <v>0</v>
      </c>
      <c r="R665" s="98">
        <f t="shared" ca="1" si="185"/>
        <v>0</v>
      </c>
      <c r="S665" s="98">
        <f t="shared" ca="1" si="185"/>
        <v>0</v>
      </c>
      <c r="T665" s="98">
        <f t="shared" ca="1" si="185"/>
        <v>0</v>
      </c>
      <c r="U665" s="98">
        <f t="shared" ca="1" si="185"/>
        <v>0</v>
      </c>
      <c r="V665" s="98">
        <f t="shared" ca="1" si="185"/>
        <v>0</v>
      </c>
      <c r="W665" s="98">
        <f t="shared" ca="1" si="185"/>
        <v>0</v>
      </c>
      <c r="X665" s="98">
        <f t="shared" ca="1" si="185"/>
        <v>0</v>
      </c>
      <c r="Y665" s="98">
        <f t="shared" ca="1" si="185"/>
        <v>0</v>
      </c>
      <c r="Z665" s="98">
        <f t="shared" ca="1" si="185"/>
        <v>0</v>
      </c>
      <c r="AA665" s="98">
        <f t="shared" ca="1" si="185"/>
        <v>0</v>
      </c>
      <c r="AB665" s="98">
        <f t="shared" ca="1" si="185"/>
        <v>0</v>
      </c>
      <c r="AC665" s="98">
        <f t="shared" ca="1" si="185"/>
        <v>0</v>
      </c>
      <c r="AD665" s="98">
        <f t="shared" ca="1" si="185"/>
        <v>0</v>
      </c>
      <c r="AE665" s="98">
        <f t="shared" ca="1" si="185"/>
        <v>0</v>
      </c>
      <c r="AF665" s="98">
        <f t="shared" ca="1" si="185"/>
        <v>0</v>
      </c>
      <c r="AG665" s="98">
        <f t="shared" ca="1" si="185"/>
        <v>0</v>
      </c>
      <c r="AH665" s="98">
        <f t="shared" ca="1" si="185"/>
        <v>0</v>
      </c>
      <c r="AI665" s="98">
        <f t="shared" ca="1" si="185"/>
        <v>0</v>
      </c>
      <c r="AJ665" s="98">
        <f t="shared" ca="1" si="185"/>
        <v>0</v>
      </c>
      <c r="AK665" s="98">
        <f t="shared" ca="1" si="185"/>
        <v>0</v>
      </c>
      <c r="AL665" s="98">
        <f t="shared" ca="1" si="185"/>
        <v>0</v>
      </c>
      <c r="AM665" s="98">
        <f t="shared" ca="1" si="185"/>
        <v>0</v>
      </c>
      <c r="AN665" s="98">
        <f t="shared" ca="1" si="185"/>
        <v>0</v>
      </c>
      <c r="AO665" s="98">
        <f t="shared" ca="1" si="185"/>
        <v>0</v>
      </c>
      <c r="AP665" s="98">
        <f t="shared" ca="1" si="185"/>
        <v>0</v>
      </c>
      <c r="AQ665" s="98">
        <f t="shared" ca="1" si="185"/>
        <v>0</v>
      </c>
      <c r="AR665" s="98">
        <f t="shared" ca="1" si="185"/>
        <v>0</v>
      </c>
      <c r="AS665" s="98">
        <f t="shared" ca="1" si="185"/>
        <v>0</v>
      </c>
      <c r="AT665" s="98">
        <f t="shared" ca="1" si="185"/>
        <v>0</v>
      </c>
      <c r="AU665" s="98">
        <f t="shared" ca="1" si="185"/>
        <v>0</v>
      </c>
      <c r="AV665" s="98">
        <f t="shared" ca="1" si="185"/>
        <v>0</v>
      </c>
      <c r="AW665" s="98">
        <f t="shared" ca="1" si="185"/>
        <v>0</v>
      </c>
      <c r="AX665" s="98">
        <f t="shared" ca="1" si="185"/>
        <v>0</v>
      </c>
    </row>
    <row r="666" spans="1:50" ht="15" customHeight="1" x14ac:dyDescent="0.25">
      <c r="A666" s="89"/>
      <c r="B666" s="235"/>
      <c r="C666" s="604"/>
      <c r="D666" s="217"/>
      <c r="E666" s="13" t="str">
        <f xml:space="preserve"> Translate!E$319</f>
        <v>PSC: Profit oil to SOC</v>
      </c>
      <c r="F666" s="577"/>
      <c r="G666" s="13" t="str">
        <f xml:space="preserve"> Translate!E$603</f>
        <v>US$ mn</v>
      </c>
      <c r="H666" s="13"/>
      <c r="I666" s="217">
        <f ca="1" xml:space="preserve"> SUM(K666:AX666)</f>
        <v>0</v>
      </c>
      <c r="J666" s="89"/>
      <c r="K666" s="98">
        <f t="shared" ref="K666:AX666" ca="1" si="186" xml:space="preserve"> K657 * $F664</f>
        <v>0</v>
      </c>
      <c r="L666" s="98">
        <f t="shared" ca="1" si="186"/>
        <v>0</v>
      </c>
      <c r="M666" s="98">
        <f t="shared" ca="1" si="186"/>
        <v>0</v>
      </c>
      <c r="N666" s="98">
        <f t="shared" ca="1" si="186"/>
        <v>0</v>
      </c>
      <c r="O666" s="98">
        <f t="shared" ca="1" si="186"/>
        <v>0</v>
      </c>
      <c r="P666" s="98">
        <f t="shared" ca="1" si="186"/>
        <v>0</v>
      </c>
      <c r="Q666" s="98">
        <f t="shared" ca="1" si="186"/>
        <v>0</v>
      </c>
      <c r="R666" s="98">
        <f t="shared" ca="1" si="186"/>
        <v>0</v>
      </c>
      <c r="S666" s="98">
        <f t="shared" ca="1" si="186"/>
        <v>0</v>
      </c>
      <c r="T666" s="98">
        <f t="shared" ca="1" si="186"/>
        <v>0</v>
      </c>
      <c r="U666" s="98">
        <f t="shared" ca="1" si="186"/>
        <v>0</v>
      </c>
      <c r="V666" s="98">
        <f t="shared" ca="1" si="186"/>
        <v>0</v>
      </c>
      <c r="W666" s="98">
        <f t="shared" ca="1" si="186"/>
        <v>0</v>
      </c>
      <c r="X666" s="98">
        <f t="shared" ca="1" si="186"/>
        <v>0</v>
      </c>
      <c r="Y666" s="98">
        <f t="shared" ca="1" si="186"/>
        <v>0</v>
      </c>
      <c r="Z666" s="98">
        <f t="shared" ca="1" si="186"/>
        <v>0</v>
      </c>
      <c r="AA666" s="98">
        <f t="shared" ca="1" si="186"/>
        <v>0</v>
      </c>
      <c r="AB666" s="98">
        <f t="shared" ca="1" si="186"/>
        <v>0</v>
      </c>
      <c r="AC666" s="98">
        <f t="shared" ca="1" si="186"/>
        <v>0</v>
      </c>
      <c r="AD666" s="98">
        <f t="shared" ca="1" si="186"/>
        <v>0</v>
      </c>
      <c r="AE666" s="98">
        <f t="shared" ca="1" si="186"/>
        <v>0</v>
      </c>
      <c r="AF666" s="98">
        <f t="shared" ca="1" si="186"/>
        <v>0</v>
      </c>
      <c r="AG666" s="98">
        <f t="shared" ca="1" si="186"/>
        <v>0</v>
      </c>
      <c r="AH666" s="98">
        <f t="shared" ca="1" si="186"/>
        <v>0</v>
      </c>
      <c r="AI666" s="98">
        <f t="shared" ca="1" si="186"/>
        <v>0</v>
      </c>
      <c r="AJ666" s="98">
        <f t="shared" ca="1" si="186"/>
        <v>0</v>
      </c>
      <c r="AK666" s="98">
        <f t="shared" ca="1" si="186"/>
        <v>0</v>
      </c>
      <c r="AL666" s="98">
        <f t="shared" ca="1" si="186"/>
        <v>0</v>
      </c>
      <c r="AM666" s="98">
        <f t="shared" ca="1" si="186"/>
        <v>0</v>
      </c>
      <c r="AN666" s="98">
        <f t="shared" ca="1" si="186"/>
        <v>0</v>
      </c>
      <c r="AO666" s="98">
        <f t="shared" ca="1" si="186"/>
        <v>0</v>
      </c>
      <c r="AP666" s="98">
        <f t="shared" ca="1" si="186"/>
        <v>0</v>
      </c>
      <c r="AQ666" s="98">
        <f t="shared" ca="1" si="186"/>
        <v>0</v>
      </c>
      <c r="AR666" s="98">
        <f t="shared" ca="1" si="186"/>
        <v>0</v>
      </c>
      <c r="AS666" s="98">
        <f t="shared" ca="1" si="186"/>
        <v>0</v>
      </c>
      <c r="AT666" s="98">
        <f t="shared" ca="1" si="186"/>
        <v>0</v>
      </c>
      <c r="AU666" s="98">
        <f t="shared" ca="1" si="186"/>
        <v>0</v>
      </c>
      <c r="AV666" s="98">
        <f t="shared" ca="1" si="186"/>
        <v>0</v>
      </c>
      <c r="AW666" s="98">
        <f t="shared" ca="1" si="186"/>
        <v>0</v>
      </c>
      <c r="AX666" s="98">
        <f t="shared" ca="1" si="186"/>
        <v>0</v>
      </c>
    </row>
    <row r="667" spans="1:50" ht="15" customHeight="1" x14ac:dyDescent="0.25">
      <c r="A667" s="89"/>
      <c r="B667" s="235"/>
      <c r="C667" s="604"/>
      <c r="D667" s="217"/>
      <c r="E667" s="13"/>
      <c r="F667" s="577"/>
      <c r="G667" s="13"/>
      <c r="H667" s="13"/>
      <c r="I667" s="217"/>
      <c r="J667" s="89"/>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c r="AJ667" s="98"/>
      <c r="AK667" s="98"/>
      <c r="AL667" s="98"/>
      <c r="AM667" s="98"/>
      <c r="AN667" s="98"/>
      <c r="AO667" s="98"/>
      <c r="AP667" s="98"/>
      <c r="AQ667" s="98"/>
      <c r="AR667" s="98"/>
      <c r="AS667" s="98"/>
      <c r="AT667" s="98"/>
      <c r="AU667" s="98"/>
      <c r="AV667" s="98"/>
      <c r="AW667" s="98"/>
      <c r="AX667" s="98"/>
    </row>
    <row r="668" spans="1:50" ht="15" customHeight="1" x14ac:dyDescent="0.25">
      <c r="A668" s="48"/>
      <c r="B668" s="675"/>
      <c r="C668" s="615"/>
      <c r="D668" s="55"/>
      <c r="E668" s="190" t="str">
        <f xml:space="preserve"> Translate!E$601 &amp; ": "  &amp; E665</f>
        <v>Total: PSC: Profit oil to IOC</v>
      </c>
      <c r="F668" s="147">
        <f ca="1" xml:space="preserve"> SUM(K665:AX665)</f>
        <v>0</v>
      </c>
      <c r="G668" s="190" t="str">
        <f>G665</f>
        <v>US$ mn</v>
      </c>
      <c r="H668" s="190"/>
      <c r="I668" s="55"/>
      <c r="J668" s="48"/>
      <c r="K668" s="55"/>
      <c r="L668" s="55"/>
      <c r="M668" s="55"/>
      <c r="N668" s="55"/>
      <c r="O668" s="55"/>
      <c r="P668" s="55"/>
      <c r="Q668" s="55"/>
      <c r="R668" s="55"/>
      <c r="S668" s="55"/>
      <c r="T668" s="55"/>
      <c r="U668" s="55"/>
      <c r="V668" s="55"/>
      <c r="W668" s="55"/>
      <c r="X668" s="55"/>
      <c r="Y668" s="55"/>
      <c r="Z668" s="55"/>
      <c r="AA668" s="55"/>
      <c r="AB668" s="55"/>
      <c r="AC668" s="55"/>
      <c r="AD668" s="55"/>
      <c r="AE668" s="55"/>
      <c r="AF668" s="55"/>
      <c r="AG668" s="55"/>
      <c r="AH668" s="55"/>
      <c r="AI668" s="55"/>
      <c r="AJ668" s="55"/>
      <c r="AK668" s="55"/>
      <c r="AL668" s="55"/>
      <c r="AM668" s="55"/>
      <c r="AN668" s="55"/>
      <c r="AO668" s="55"/>
      <c r="AP668" s="55"/>
      <c r="AQ668" s="55"/>
      <c r="AR668" s="55"/>
      <c r="AS668" s="55"/>
      <c r="AT668" s="55"/>
      <c r="AU668" s="55"/>
      <c r="AV668" s="55"/>
      <c r="AW668" s="55"/>
      <c r="AX668" s="55"/>
    </row>
    <row r="669" spans="1:50" ht="15" customHeight="1" x14ac:dyDescent="0.25">
      <c r="A669" s="48"/>
      <c r="B669" s="675"/>
      <c r="C669" s="615"/>
      <c r="D669" s="55"/>
      <c r="E669" s="190" t="str">
        <f xml:space="preserve"> Translate!E$601 &amp; ": "  &amp; E666</f>
        <v>Total: PSC: Profit oil to SOC</v>
      </c>
      <c r="F669" s="147">
        <f ca="1" xml:space="preserve"> SUM(K666:AX666)</f>
        <v>0</v>
      </c>
      <c r="G669" s="190" t="str">
        <f>G666</f>
        <v>US$ mn</v>
      </c>
      <c r="H669" s="190"/>
      <c r="I669" s="55"/>
      <c r="J669" s="48"/>
      <c r="K669" s="55"/>
      <c r="L669" s="55"/>
      <c r="M669" s="55"/>
      <c r="N669" s="55"/>
      <c r="O669" s="55"/>
      <c r="P669" s="55"/>
      <c r="Q669" s="55"/>
      <c r="R669" s="55"/>
      <c r="S669" s="55"/>
      <c r="T669" s="55"/>
      <c r="U669" s="55"/>
      <c r="V669" s="55"/>
      <c r="W669" s="55"/>
      <c r="X669" s="55"/>
      <c r="Y669" s="55"/>
      <c r="Z669" s="55"/>
      <c r="AA669" s="55"/>
      <c r="AB669" s="55"/>
      <c r="AC669" s="55"/>
      <c r="AD669" s="55"/>
      <c r="AE669" s="55"/>
      <c r="AF669" s="55"/>
      <c r="AG669" s="55"/>
      <c r="AH669" s="55"/>
      <c r="AI669" s="55"/>
      <c r="AJ669" s="55"/>
      <c r="AK669" s="55"/>
      <c r="AL669" s="55"/>
      <c r="AM669" s="55"/>
      <c r="AN669" s="55"/>
      <c r="AO669" s="55"/>
      <c r="AP669" s="55"/>
      <c r="AQ669" s="55"/>
      <c r="AR669" s="55"/>
      <c r="AS669" s="55"/>
      <c r="AT669" s="55"/>
      <c r="AU669" s="55"/>
      <c r="AV669" s="55"/>
      <c r="AW669" s="55"/>
      <c r="AX669" s="55"/>
    </row>
    <row r="670" spans="1:50" ht="15" customHeight="1" x14ac:dyDescent="0.25">
      <c r="A670" s="89"/>
      <c r="B670" s="235"/>
      <c r="C670" s="604"/>
      <c r="D670" s="217"/>
      <c r="E670" s="13" t="str">
        <f xml:space="preserve"> Translate!E$755 &amp; " " &amp; Translate!E$434</f>
        <v>Check:  Profit oil</v>
      </c>
      <c r="F670" s="157">
        <f ca="1" xml:space="preserve"> IF( ABS( F659 - F660 - F668 - F669) &gt; CHK_TOL, 1, 0)</f>
        <v>0</v>
      </c>
      <c r="G670" s="13" t="str">
        <f xml:space="preserve"> Translate!E$604</f>
        <v>Check</v>
      </c>
      <c r="H670" s="13"/>
      <c r="I670" s="217"/>
      <c r="J670" s="89"/>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c r="AJ670" s="98"/>
      <c r="AK670" s="98"/>
      <c r="AL670" s="98"/>
      <c r="AM670" s="98"/>
      <c r="AN670" s="98"/>
      <c r="AO670" s="98"/>
      <c r="AP670" s="98"/>
      <c r="AQ670" s="98"/>
      <c r="AR670" s="98"/>
      <c r="AS670" s="98"/>
      <c r="AT670" s="98"/>
      <c r="AU670" s="98"/>
      <c r="AV670" s="98"/>
      <c r="AW670" s="98"/>
      <c r="AX670" s="98"/>
    </row>
    <row r="671" spans="1:50" ht="15" customHeight="1" x14ac:dyDescent="0.25">
      <c r="A671" s="48"/>
      <c r="B671" s="235"/>
      <c r="C671" s="604"/>
      <c r="D671" s="217"/>
      <c r="E671" s="13"/>
      <c r="F671" s="577"/>
      <c r="G671" s="13"/>
      <c r="H671" s="13"/>
      <c r="I671" s="217"/>
      <c r="J671" s="89"/>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c r="AJ671" s="98"/>
      <c r="AK671" s="98"/>
      <c r="AL671" s="98"/>
      <c r="AM671" s="98"/>
      <c r="AN671" s="98"/>
      <c r="AO671" s="98"/>
      <c r="AP671" s="98"/>
      <c r="AQ671" s="98"/>
      <c r="AR671" s="98"/>
      <c r="AS671" s="98"/>
      <c r="AT671" s="98"/>
      <c r="AU671" s="98"/>
      <c r="AV671" s="98"/>
      <c r="AW671" s="98"/>
      <c r="AX671" s="98"/>
    </row>
    <row r="672" spans="1:50" ht="15" customHeight="1" x14ac:dyDescent="0.25">
      <c r="A672" s="48"/>
      <c r="B672" s="235"/>
      <c r="C672" s="604"/>
      <c r="D672" s="217"/>
      <c r="E672" s="13"/>
      <c r="F672" s="577"/>
      <c r="G672" s="13"/>
      <c r="H672" s="13"/>
      <c r="I672" s="217"/>
      <c r="J672" s="89"/>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c r="AJ672" s="98"/>
      <c r="AK672" s="98"/>
      <c r="AL672" s="98"/>
      <c r="AM672" s="98"/>
      <c r="AN672" s="98"/>
      <c r="AO672" s="98"/>
      <c r="AP672" s="98"/>
      <c r="AQ672" s="98"/>
      <c r="AR672" s="98"/>
      <c r="AS672" s="98"/>
      <c r="AT672" s="98"/>
      <c r="AU672" s="98"/>
      <c r="AV672" s="98"/>
      <c r="AW672" s="98"/>
      <c r="AX672" s="98"/>
    </row>
    <row r="673" spans="1:50" ht="15" customHeight="1" x14ac:dyDescent="0.25">
      <c r="A673" s="202" t="str">
        <f>Translate!$E$473</f>
        <v>PSC reconciliation</v>
      </c>
      <c r="B673" s="781"/>
      <c r="C673" s="610"/>
      <c r="D673" s="204"/>
      <c r="E673" s="202"/>
      <c r="F673" s="204"/>
      <c r="G673" s="202"/>
      <c r="H673" s="202"/>
      <c r="I673" s="202"/>
      <c r="J673" s="202"/>
      <c r="K673" s="202"/>
      <c r="L673" s="202"/>
      <c r="M673" s="202"/>
      <c r="N673" s="202"/>
      <c r="O673" s="202"/>
      <c r="P673" s="202"/>
      <c r="Q673" s="202"/>
      <c r="R673" s="202"/>
      <c r="S673" s="202"/>
      <c r="T673" s="202"/>
      <c r="U673" s="202"/>
      <c r="V673" s="202"/>
      <c r="W673" s="202"/>
      <c r="X673" s="202"/>
      <c r="Y673" s="202"/>
      <c r="Z673" s="202"/>
      <c r="AA673" s="202"/>
      <c r="AB673" s="202"/>
      <c r="AC673" s="202"/>
      <c r="AD673" s="202"/>
      <c r="AE673" s="202"/>
      <c r="AF673" s="202"/>
      <c r="AG673" s="202"/>
      <c r="AH673" s="202"/>
      <c r="AI673" s="202"/>
      <c r="AJ673" s="202"/>
      <c r="AK673" s="202"/>
      <c r="AL673" s="202"/>
      <c r="AM673" s="202"/>
      <c r="AN673" s="202"/>
      <c r="AO673" s="202"/>
      <c r="AP673" s="202"/>
      <c r="AQ673" s="202"/>
      <c r="AR673" s="202"/>
      <c r="AS673" s="202"/>
      <c r="AT673" s="202"/>
      <c r="AU673" s="202"/>
      <c r="AV673" s="202"/>
      <c r="AW673" s="202"/>
      <c r="AX673" s="202"/>
    </row>
    <row r="674" spans="1:50" ht="15" customHeight="1" x14ac:dyDescent="0.25">
      <c r="A674" s="48"/>
      <c r="B674" s="235"/>
      <c r="C674" s="604"/>
      <c r="D674" s="217"/>
      <c r="E674" s="13"/>
      <c r="F674" s="577"/>
      <c r="G674" s="13"/>
      <c r="H674" s="13"/>
      <c r="I674" s="217"/>
      <c r="J674" s="89"/>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c r="AJ674" s="98"/>
      <c r="AK674" s="98"/>
      <c r="AL674" s="98"/>
      <c r="AM674" s="98"/>
      <c r="AN674" s="98"/>
      <c r="AO674" s="98"/>
      <c r="AP674" s="98"/>
      <c r="AQ674" s="98"/>
      <c r="AR674" s="98"/>
      <c r="AS674" s="98"/>
      <c r="AT674" s="98"/>
      <c r="AU674" s="98"/>
      <c r="AV674" s="98"/>
      <c r="AW674" s="98"/>
      <c r="AX674" s="98"/>
    </row>
    <row r="675" spans="1:50" ht="15" customHeight="1" x14ac:dyDescent="0.25">
      <c r="A675" s="48"/>
      <c r="B675" s="683" t="str">
        <f>Translate!$E$438</f>
        <v>Production sharing: Cost oil reconciliation</v>
      </c>
    </row>
    <row r="676" spans="1:50" ht="15" customHeight="1" x14ac:dyDescent="0.25">
      <c r="A676" s="48"/>
      <c r="B676" s="235"/>
      <c r="C676" s="604"/>
      <c r="D676" s="217"/>
      <c r="E676" s="48" t="str">
        <f t="shared" ref="E676:AX676" si="187" xml:space="preserve"> E$521</f>
        <v>PSC: Costs recovered (cost oil)</v>
      </c>
      <c r="F676" s="147">
        <f t="shared" si="187"/>
        <v>0</v>
      </c>
      <c r="G676" s="48" t="str">
        <f t="shared" si="187"/>
        <v>US$ mn</v>
      </c>
      <c r="H676" s="48">
        <f t="shared" si="187"/>
        <v>0</v>
      </c>
      <c r="I676" s="48">
        <f t="shared" ca="1" si="187"/>
        <v>0</v>
      </c>
      <c r="J676" s="48">
        <f t="shared" si="187"/>
        <v>0</v>
      </c>
      <c r="K676" s="48">
        <f t="shared" ca="1" si="187"/>
        <v>0</v>
      </c>
      <c r="L676" s="48">
        <f t="shared" ca="1" si="187"/>
        <v>0</v>
      </c>
      <c r="M676" s="48">
        <f t="shared" ca="1" si="187"/>
        <v>0</v>
      </c>
      <c r="N676" s="48">
        <f t="shared" ca="1" si="187"/>
        <v>0</v>
      </c>
      <c r="O676" s="48">
        <f t="shared" ca="1" si="187"/>
        <v>0</v>
      </c>
      <c r="P676" s="48">
        <f t="shared" ca="1" si="187"/>
        <v>0</v>
      </c>
      <c r="Q676" s="48">
        <f t="shared" ca="1" si="187"/>
        <v>0</v>
      </c>
      <c r="R676" s="48">
        <f t="shared" ca="1" si="187"/>
        <v>0</v>
      </c>
      <c r="S676" s="48">
        <f t="shared" ca="1" si="187"/>
        <v>0</v>
      </c>
      <c r="T676" s="48">
        <f t="shared" ca="1" si="187"/>
        <v>0</v>
      </c>
      <c r="U676" s="48">
        <f t="shared" ca="1" si="187"/>
        <v>0</v>
      </c>
      <c r="V676" s="48">
        <f t="shared" ca="1" si="187"/>
        <v>0</v>
      </c>
      <c r="W676" s="48">
        <f t="shared" ca="1" si="187"/>
        <v>0</v>
      </c>
      <c r="X676" s="48">
        <f t="shared" ca="1" si="187"/>
        <v>0</v>
      </c>
      <c r="Y676" s="48">
        <f t="shared" ca="1" si="187"/>
        <v>0</v>
      </c>
      <c r="Z676" s="48">
        <f t="shared" ca="1" si="187"/>
        <v>0</v>
      </c>
      <c r="AA676" s="48">
        <f t="shared" ca="1" si="187"/>
        <v>0</v>
      </c>
      <c r="AB676" s="48">
        <f t="shared" ca="1" si="187"/>
        <v>0</v>
      </c>
      <c r="AC676" s="48">
        <f t="shared" ca="1" si="187"/>
        <v>0</v>
      </c>
      <c r="AD676" s="48">
        <f t="shared" ca="1" si="187"/>
        <v>0</v>
      </c>
      <c r="AE676" s="48">
        <f t="shared" ca="1" si="187"/>
        <v>0</v>
      </c>
      <c r="AF676" s="48">
        <f t="shared" ca="1" si="187"/>
        <v>0</v>
      </c>
      <c r="AG676" s="48">
        <f t="shared" ca="1" si="187"/>
        <v>0</v>
      </c>
      <c r="AH676" s="48">
        <f t="shared" ca="1" si="187"/>
        <v>0</v>
      </c>
      <c r="AI676" s="48">
        <f t="shared" ca="1" si="187"/>
        <v>0</v>
      </c>
      <c r="AJ676" s="48">
        <f t="shared" ca="1" si="187"/>
        <v>0</v>
      </c>
      <c r="AK676" s="48">
        <f t="shared" ca="1" si="187"/>
        <v>0</v>
      </c>
      <c r="AL676" s="48">
        <f t="shared" ca="1" si="187"/>
        <v>0</v>
      </c>
      <c r="AM676" s="48">
        <f t="shared" ca="1" si="187"/>
        <v>0</v>
      </c>
      <c r="AN676" s="48">
        <f t="shared" ca="1" si="187"/>
        <v>0</v>
      </c>
      <c r="AO676" s="48">
        <f t="shared" ca="1" si="187"/>
        <v>0</v>
      </c>
      <c r="AP676" s="48">
        <f t="shared" ca="1" si="187"/>
        <v>0</v>
      </c>
      <c r="AQ676" s="48">
        <f t="shared" ca="1" si="187"/>
        <v>0</v>
      </c>
      <c r="AR676" s="48">
        <f t="shared" ca="1" si="187"/>
        <v>0</v>
      </c>
      <c r="AS676" s="48">
        <f t="shared" ca="1" si="187"/>
        <v>0</v>
      </c>
      <c r="AT676" s="48">
        <f t="shared" ca="1" si="187"/>
        <v>0</v>
      </c>
      <c r="AU676" s="48">
        <f t="shared" ca="1" si="187"/>
        <v>0</v>
      </c>
      <c r="AV676" s="48">
        <f t="shared" ca="1" si="187"/>
        <v>0</v>
      </c>
      <c r="AW676" s="48">
        <f t="shared" ca="1" si="187"/>
        <v>0</v>
      </c>
      <c r="AX676" s="48">
        <f t="shared" ca="1" si="187"/>
        <v>0</v>
      </c>
    </row>
    <row r="677" spans="1:50" ht="15" customHeight="1" x14ac:dyDescent="0.25">
      <c r="A677" s="48"/>
      <c r="B677" s="675"/>
      <c r="C677" s="615"/>
      <c r="D677" s="64"/>
      <c r="E677" s="48" t="str">
        <f t="shared" ref="E677:AX677" si="188" xml:space="preserve"> E$543</f>
        <v>PSC: Cost oil to SOC</v>
      </c>
      <c r="F677" s="147">
        <f t="shared" si="188"/>
        <v>0</v>
      </c>
      <c r="G677" s="48" t="str">
        <f t="shared" si="188"/>
        <v>US$ mn</v>
      </c>
      <c r="H677" s="48">
        <f t="shared" si="188"/>
        <v>0</v>
      </c>
      <c r="I677" s="48">
        <f t="shared" ca="1" si="188"/>
        <v>0</v>
      </c>
      <c r="J677" s="48">
        <f t="shared" si="188"/>
        <v>0</v>
      </c>
      <c r="K677" s="48">
        <f t="shared" ca="1" si="188"/>
        <v>0</v>
      </c>
      <c r="L677" s="48">
        <f t="shared" ca="1" si="188"/>
        <v>0</v>
      </c>
      <c r="M677" s="48">
        <f t="shared" ca="1" si="188"/>
        <v>0</v>
      </c>
      <c r="N677" s="48">
        <f t="shared" ca="1" si="188"/>
        <v>0</v>
      </c>
      <c r="O677" s="48">
        <f t="shared" ca="1" si="188"/>
        <v>0</v>
      </c>
      <c r="P677" s="48">
        <f t="shared" ca="1" si="188"/>
        <v>0</v>
      </c>
      <c r="Q677" s="48">
        <f t="shared" ca="1" si="188"/>
        <v>0</v>
      </c>
      <c r="R677" s="48">
        <f t="shared" ca="1" si="188"/>
        <v>0</v>
      </c>
      <c r="S677" s="48">
        <f t="shared" ca="1" si="188"/>
        <v>0</v>
      </c>
      <c r="T677" s="48">
        <f t="shared" ca="1" si="188"/>
        <v>0</v>
      </c>
      <c r="U677" s="48">
        <f t="shared" ca="1" si="188"/>
        <v>0</v>
      </c>
      <c r="V677" s="48">
        <f t="shared" ca="1" si="188"/>
        <v>0</v>
      </c>
      <c r="W677" s="48">
        <f t="shared" ca="1" si="188"/>
        <v>0</v>
      </c>
      <c r="X677" s="48">
        <f t="shared" ca="1" si="188"/>
        <v>0</v>
      </c>
      <c r="Y677" s="48">
        <f t="shared" ca="1" si="188"/>
        <v>0</v>
      </c>
      <c r="Z677" s="48">
        <f t="shared" ca="1" si="188"/>
        <v>0</v>
      </c>
      <c r="AA677" s="48">
        <f t="shared" ca="1" si="188"/>
        <v>0</v>
      </c>
      <c r="AB677" s="48">
        <f t="shared" ca="1" si="188"/>
        <v>0</v>
      </c>
      <c r="AC677" s="48">
        <f t="shared" ca="1" si="188"/>
        <v>0</v>
      </c>
      <c r="AD677" s="48">
        <f t="shared" ca="1" si="188"/>
        <v>0</v>
      </c>
      <c r="AE677" s="48">
        <f t="shared" ca="1" si="188"/>
        <v>0</v>
      </c>
      <c r="AF677" s="48">
        <f t="shared" ca="1" si="188"/>
        <v>0</v>
      </c>
      <c r="AG677" s="48">
        <f t="shared" ca="1" si="188"/>
        <v>0</v>
      </c>
      <c r="AH677" s="48">
        <f t="shared" ca="1" si="188"/>
        <v>0</v>
      </c>
      <c r="AI677" s="48">
        <f t="shared" ca="1" si="188"/>
        <v>0</v>
      </c>
      <c r="AJ677" s="48">
        <f t="shared" ca="1" si="188"/>
        <v>0</v>
      </c>
      <c r="AK677" s="48">
        <f t="shared" ca="1" si="188"/>
        <v>0</v>
      </c>
      <c r="AL677" s="48">
        <f t="shared" ca="1" si="188"/>
        <v>0</v>
      </c>
      <c r="AM677" s="48">
        <f t="shared" ca="1" si="188"/>
        <v>0</v>
      </c>
      <c r="AN677" s="48">
        <f t="shared" ca="1" si="188"/>
        <v>0</v>
      </c>
      <c r="AO677" s="48">
        <f t="shared" ca="1" si="188"/>
        <v>0</v>
      </c>
      <c r="AP677" s="48">
        <f t="shared" ca="1" si="188"/>
        <v>0</v>
      </c>
      <c r="AQ677" s="48">
        <f t="shared" ca="1" si="188"/>
        <v>0</v>
      </c>
      <c r="AR677" s="48">
        <f t="shared" ca="1" si="188"/>
        <v>0</v>
      </c>
      <c r="AS677" s="48">
        <f t="shared" ca="1" si="188"/>
        <v>0</v>
      </c>
      <c r="AT677" s="48">
        <f t="shared" ca="1" si="188"/>
        <v>0</v>
      </c>
      <c r="AU677" s="48">
        <f t="shared" ca="1" si="188"/>
        <v>0</v>
      </c>
      <c r="AV677" s="48">
        <f t="shared" ca="1" si="188"/>
        <v>0</v>
      </c>
      <c r="AW677" s="48">
        <f t="shared" ca="1" si="188"/>
        <v>0</v>
      </c>
      <c r="AX677" s="48">
        <f t="shared" ca="1" si="188"/>
        <v>0</v>
      </c>
    </row>
    <row r="678" spans="1:50" ht="15" customHeight="1" x14ac:dyDescent="0.25">
      <c r="A678" s="48"/>
      <c r="B678" s="235"/>
      <c r="C678" s="604"/>
      <c r="D678" s="217"/>
      <c r="E678" s="48" t="str">
        <f t="shared" ref="E678:AX678" si="189" xml:space="preserve"> E$544</f>
        <v>PSC: Cost oil to IOC</v>
      </c>
      <c r="F678" s="147">
        <f t="shared" si="189"/>
        <v>0</v>
      </c>
      <c r="G678" s="48" t="str">
        <f t="shared" si="189"/>
        <v>US$ mn</v>
      </c>
      <c r="H678" s="48">
        <f t="shared" si="189"/>
        <v>0</v>
      </c>
      <c r="I678" s="48">
        <f t="shared" ca="1" si="189"/>
        <v>0</v>
      </c>
      <c r="J678" s="48">
        <f t="shared" si="189"/>
        <v>0</v>
      </c>
      <c r="K678" s="48">
        <f t="shared" ca="1" si="189"/>
        <v>0</v>
      </c>
      <c r="L678" s="48">
        <f t="shared" ca="1" si="189"/>
        <v>0</v>
      </c>
      <c r="M678" s="48">
        <f t="shared" ca="1" si="189"/>
        <v>0</v>
      </c>
      <c r="N678" s="48">
        <f t="shared" ca="1" si="189"/>
        <v>0</v>
      </c>
      <c r="O678" s="48">
        <f t="shared" ca="1" si="189"/>
        <v>0</v>
      </c>
      <c r="P678" s="48">
        <f t="shared" ca="1" si="189"/>
        <v>0</v>
      </c>
      <c r="Q678" s="48">
        <f t="shared" ca="1" si="189"/>
        <v>0</v>
      </c>
      <c r="R678" s="48">
        <f t="shared" ca="1" si="189"/>
        <v>0</v>
      </c>
      <c r="S678" s="48">
        <f t="shared" ca="1" si="189"/>
        <v>0</v>
      </c>
      <c r="T678" s="48">
        <f t="shared" ca="1" si="189"/>
        <v>0</v>
      </c>
      <c r="U678" s="48">
        <f t="shared" ca="1" si="189"/>
        <v>0</v>
      </c>
      <c r="V678" s="48">
        <f t="shared" ca="1" si="189"/>
        <v>0</v>
      </c>
      <c r="W678" s="48">
        <f t="shared" ca="1" si="189"/>
        <v>0</v>
      </c>
      <c r="X678" s="48">
        <f t="shared" ca="1" si="189"/>
        <v>0</v>
      </c>
      <c r="Y678" s="48">
        <f t="shared" ca="1" si="189"/>
        <v>0</v>
      </c>
      <c r="Z678" s="48">
        <f t="shared" ca="1" si="189"/>
        <v>0</v>
      </c>
      <c r="AA678" s="48">
        <f t="shared" ca="1" si="189"/>
        <v>0</v>
      </c>
      <c r="AB678" s="48">
        <f t="shared" ca="1" si="189"/>
        <v>0</v>
      </c>
      <c r="AC678" s="48">
        <f t="shared" ca="1" si="189"/>
        <v>0</v>
      </c>
      <c r="AD678" s="48">
        <f t="shared" ca="1" si="189"/>
        <v>0</v>
      </c>
      <c r="AE678" s="48">
        <f t="shared" ca="1" si="189"/>
        <v>0</v>
      </c>
      <c r="AF678" s="48">
        <f t="shared" ca="1" si="189"/>
        <v>0</v>
      </c>
      <c r="AG678" s="48">
        <f t="shared" ca="1" si="189"/>
        <v>0</v>
      </c>
      <c r="AH678" s="48">
        <f t="shared" ca="1" si="189"/>
        <v>0</v>
      </c>
      <c r="AI678" s="48">
        <f t="shared" ca="1" si="189"/>
        <v>0</v>
      </c>
      <c r="AJ678" s="48">
        <f t="shared" ca="1" si="189"/>
        <v>0</v>
      </c>
      <c r="AK678" s="48">
        <f t="shared" ca="1" si="189"/>
        <v>0</v>
      </c>
      <c r="AL678" s="48">
        <f t="shared" ca="1" si="189"/>
        <v>0</v>
      </c>
      <c r="AM678" s="48">
        <f t="shared" ca="1" si="189"/>
        <v>0</v>
      </c>
      <c r="AN678" s="48">
        <f t="shared" ca="1" si="189"/>
        <v>0</v>
      </c>
      <c r="AO678" s="48">
        <f t="shared" ca="1" si="189"/>
        <v>0</v>
      </c>
      <c r="AP678" s="48">
        <f t="shared" ca="1" si="189"/>
        <v>0</v>
      </c>
      <c r="AQ678" s="48">
        <f t="shared" ca="1" si="189"/>
        <v>0</v>
      </c>
      <c r="AR678" s="48">
        <f t="shared" ca="1" si="189"/>
        <v>0</v>
      </c>
      <c r="AS678" s="48">
        <f t="shared" ca="1" si="189"/>
        <v>0</v>
      </c>
      <c r="AT678" s="48">
        <f t="shared" ca="1" si="189"/>
        <v>0</v>
      </c>
      <c r="AU678" s="48">
        <f t="shared" ca="1" si="189"/>
        <v>0</v>
      </c>
      <c r="AV678" s="48">
        <f t="shared" ca="1" si="189"/>
        <v>0</v>
      </c>
      <c r="AW678" s="48">
        <f t="shared" ca="1" si="189"/>
        <v>0</v>
      </c>
      <c r="AX678" s="48">
        <f t="shared" ca="1" si="189"/>
        <v>0</v>
      </c>
    </row>
    <row r="679" spans="1:50" ht="15" customHeight="1" x14ac:dyDescent="0.25">
      <c r="A679" s="48"/>
      <c r="B679" s="675"/>
      <c r="C679" s="615"/>
      <c r="D679" s="55"/>
      <c r="E679" s="190" t="str">
        <f xml:space="preserve"> Translate!E$755 &amp; " "  &amp; B675</f>
        <v>Check:  Production sharing: Cost oil reconciliation</v>
      </c>
      <c r="F679" s="157">
        <f ca="1" xml:space="preserve"> MIN( 1, SUM(K679:AX679))</f>
        <v>0</v>
      </c>
      <c r="G679" s="190" t="str">
        <f xml:space="preserve"> Translate!E$604</f>
        <v>Check</v>
      </c>
      <c r="H679" s="190"/>
      <c r="I679" s="55">
        <f ca="1" xml:space="preserve"> SUM(K679:AX679)</f>
        <v>0</v>
      </c>
      <c r="J679" s="48"/>
      <c r="K679" s="71">
        <f t="shared" ref="K679:AX679" ca="1" si="190" xml:space="preserve"> IF( ABS(K676 - K677 - K678) &gt; CHK_TOL, 1, 0)</f>
        <v>0</v>
      </c>
      <c r="L679" s="71">
        <f t="shared" ca="1" si="190"/>
        <v>0</v>
      </c>
      <c r="M679" s="71">
        <f t="shared" ca="1" si="190"/>
        <v>0</v>
      </c>
      <c r="N679" s="71">
        <f t="shared" ca="1" si="190"/>
        <v>0</v>
      </c>
      <c r="O679" s="71">
        <f t="shared" ca="1" si="190"/>
        <v>0</v>
      </c>
      <c r="P679" s="71">
        <f t="shared" ca="1" si="190"/>
        <v>0</v>
      </c>
      <c r="Q679" s="71">
        <f t="shared" ca="1" si="190"/>
        <v>0</v>
      </c>
      <c r="R679" s="71">
        <f t="shared" ca="1" si="190"/>
        <v>0</v>
      </c>
      <c r="S679" s="71">
        <f t="shared" ca="1" si="190"/>
        <v>0</v>
      </c>
      <c r="T679" s="71">
        <f t="shared" ca="1" si="190"/>
        <v>0</v>
      </c>
      <c r="U679" s="71">
        <f t="shared" ca="1" si="190"/>
        <v>0</v>
      </c>
      <c r="V679" s="71">
        <f t="shared" ca="1" si="190"/>
        <v>0</v>
      </c>
      <c r="W679" s="71">
        <f t="shared" ca="1" si="190"/>
        <v>0</v>
      </c>
      <c r="X679" s="71">
        <f t="shared" ca="1" si="190"/>
        <v>0</v>
      </c>
      <c r="Y679" s="71">
        <f t="shared" ca="1" si="190"/>
        <v>0</v>
      </c>
      <c r="Z679" s="71">
        <f t="shared" ca="1" si="190"/>
        <v>0</v>
      </c>
      <c r="AA679" s="71">
        <f t="shared" ca="1" si="190"/>
        <v>0</v>
      </c>
      <c r="AB679" s="71">
        <f t="shared" ca="1" si="190"/>
        <v>0</v>
      </c>
      <c r="AC679" s="71">
        <f t="shared" ca="1" si="190"/>
        <v>0</v>
      </c>
      <c r="AD679" s="71">
        <f t="shared" ca="1" si="190"/>
        <v>0</v>
      </c>
      <c r="AE679" s="71">
        <f t="shared" ca="1" si="190"/>
        <v>0</v>
      </c>
      <c r="AF679" s="71">
        <f t="shared" ca="1" si="190"/>
        <v>0</v>
      </c>
      <c r="AG679" s="71">
        <f t="shared" ca="1" si="190"/>
        <v>0</v>
      </c>
      <c r="AH679" s="71">
        <f t="shared" ca="1" si="190"/>
        <v>0</v>
      </c>
      <c r="AI679" s="71">
        <f t="shared" ca="1" si="190"/>
        <v>0</v>
      </c>
      <c r="AJ679" s="71">
        <f t="shared" ca="1" si="190"/>
        <v>0</v>
      </c>
      <c r="AK679" s="71">
        <f t="shared" ca="1" si="190"/>
        <v>0</v>
      </c>
      <c r="AL679" s="71">
        <f t="shared" ca="1" si="190"/>
        <v>0</v>
      </c>
      <c r="AM679" s="71">
        <f t="shared" ca="1" si="190"/>
        <v>0</v>
      </c>
      <c r="AN679" s="71">
        <f t="shared" ca="1" si="190"/>
        <v>0</v>
      </c>
      <c r="AO679" s="71">
        <f t="shared" ca="1" si="190"/>
        <v>0</v>
      </c>
      <c r="AP679" s="71">
        <f t="shared" ca="1" si="190"/>
        <v>0</v>
      </c>
      <c r="AQ679" s="71">
        <f t="shared" ca="1" si="190"/>
        <v>0</v>
      </c>
      <c r="AR679" s="71">
        <f t="shared" ca="1" si="190"/>
        <v>0</v>
      </c>
      <c r="AS679" s="71">
        <f t="shared" ca="1" si="190"/>
        <v>0</v>
      </c>
      <c r="AT679" s="71">
        <f t="shared" ca="1" si="190"/>
        <v>0</v>
      </c>
      <c r="AU679" s="71">
        <f t="shared" ca="1" si="190"/>
        <v>0</v>
      </c>
      <c r="AV679" s="71">
        <f t="shared" ca="1" si="190"/>
        <v>0</v>
      </c>
      <c r="AW679" s="71">
        <f t="shared" ca="1" si="190"/>
        <v>0</v>
      </c>
      <c r="AX679" s="71">
        <f t="shared" ca="1" si="190"/>
        <v>0</v>
      </c>
    </row>
    <row r="680" spans="1:50" ht="15" customHeight="1" x14ac:dyDescent="0.25">
      <c r="A680" s="48"/>
    </row>
    <row r="681" spans="1:50" ht="15" customHeight="1" x14ac:dyDescent="0.25">
      <c r="A681" s="48"/>
      <c r="B681" s="683" t="str">
        <f>Translate!$E$439</f>
        <v>Production sharing: Profit oil reconciliation</v>
      </c>
    </row>
    <row r="682" spans="1:50" ht="15" customHeight="1" x14ac:dyDescent="0.25">
      <c r="A682" s="48"/>
      <c r="B682" s="235"/>
      <c r="C682" s="604"/>
      <c r="D682" s="217"/>
      <c r="E682" s="48" t="str">
        <f t="shared" ref="E682:AX682" si="191" xml:space="preserve"> E$534</f>
        <v>PSC: Profit oil</v>
      </c>
      <c r="F682" s="147">
        <f t="shared" si="191"/>
        <v>0</v>
      </c>
      <c r="G682" s="48" t="str">
        <f t="shared" si="191"/>
        <v>US$ mn</v>
      </c>
      <c r="H682" s="48">
        <f t="shared" si="191"/>
        <v>0</v>
      </c>
      <c r="I682" s="48">
        <f t="shared" ca="1" si="191"/>
        <v>0</v>
      </c>
      <c r="J682" s="48">
        <f t="shared" si="191"/>
        <v>0</v>
      </c>
      <c r="K682" s="48">
        <f t="shared" ca="1" si="191"/>
        <v>0</v>
      </c>
      <c r="L682" s="48">
        <f t="shared" ca="1" si="191"/>
        <v>0</v>
      </c>
      <c r="M682" s="48">
        <f t="shared" ca="1" si="191"/>
        <v>0</v>
      </c>
      <c r="N682" s="48">
        <f t="shared" ca="1" si="191"/>
        <v>0</v>
      </c>
      <c r="O682" s="48">
        <f t="shared" ca="1" si="191"/>
        <v>0</v>
      </c>
      <c r="P682" s="48">
        <f t="shared" ca="1" si="191"/>
        <v>0</v>
      </c>
      <c r="Q682" s="48">
        <f t="shared" ca="1" si="191"/>
        <v>0</v>
      </c>
      <c r="R682" s="48">
        <f t="shared" ca="1" si="191"/>
        <v>0</v>
      </c>
      <c r="S682" s="48">
        <f t="shared" ca="1" si="191"/>
        <v>0</v>
      </c>
      <c r="T682" s="48">
        <f t="shared" ca="1" si="191"/>
        <v>0</v>
      </c>
      <c r="U682" s="48">
        <f t="shared" ca="1" si="191"/>
        <v>0</v>
      </c>
      <c r="V682" s="48">
        <f t="shared" ca="1" si="191"/>
        <v>0</v>
      </c>
      <c r="W682" s="48">
        <f t="shared" ca="1" si="191"/>
        <v>0</v>
      </c>
      <c r="X682" s="48">
        <f t="shared" ca="1" si="191"/>
        <v>0</v>
      </c>
      <c r="Y682" s="48">
        <f t="shared" ca="1" si="191"/>
        <v>0</v>
      </c>
      <c r="Z682" s="48">
        <f t="shared" ca="1" si="191"/>
        <v>0</v>
      </c>
      <c r="AA682" s="48">
        <f t="shared" ca="1" si="191"/>
        <v>0</v>
      </c>
      <c r="AB682" s="48">
        <f t="shared" ca="1" si="191"/>
        <v>0</v>
      </c>
      <c r="AC682" s="48">
        <f t="shared" ca="1" si="191"/>
        <v>0</v>
      </c>
      <c r="AD682" s="48">
        <f t="shared" ca="1" si="191"/>
        <v>0</v>
      </c>
      <c r="AE682" s="48">
        <f t="shared" ca="1" si="191"/>
        <v>0</v>
      </c>
      <c r="AF682" s="48">
        <f t="shared" ca="1" si="191"/>
        <v>0</v>
      </c>
      <c r="AG682" s="48">
        <f t="shared" ca="1" si="191"/>
        <v>0</v>
      </c>
      <c r="AH682" s="48">
        <f t="shared" ca="1" si="191"/>
        <v>0</v>
      </c>
      <c r="AI682" s="48">
        <f t="shared" ca="1" si="191"/>
        <v>0</v>
      </c>
      <c r="AJ682" s="48">
        <f t="shared" ca="1" si="191"/>
        <v>0</v>
      </c>
      <c r="AK682" s="48">
        <f t="shared" ca="1" si="191"/>
        <v>0</v>
      </c>
      <c r="AL682" s="48">
        <f t="shared" ca="1" si="191"/>
        <v>0</v>
      </c>
      <c r="AM682" s="48">
        <f t="shared" ca="1" si="191"/>
        <v>0</v>
      </c>
      <c r="AN682" s="48">
        <f t="shared" ca="1" si="191"/>
        <v>0</v>
      </c>
      <c r="AO682" s="48">
        <f t="shared" ca="1" si="191"/>
        <v>0</v>
      </c>
      <c r="AP682" s="48">
        <f t="shared" ca="1" si="191"/>
        <v>0</v>
      </c>
      <c r="AQ682" s="48">
        <f t="shared" ca="1" si="191"/>
        <v>0</v>
      </c>
      <c r="AR682" s="48">
        <f t="shared" ca="1" si="191"/>
        <v>0</v>
      </c>
      <c r="AS682" s="48">
        <f t="shared" ca="1" si="191"/>
        <v>0</v>
      </c>
      <c r="AT682" s="48">
        <f t="shared" ca="1" si="191"/>
        <v>0</v>
      </c>
      <c r="AU682" s="48">
        <f t="shared" ca="1" si="191"/>
        <v>0</v>
      </c>
      <c r="AV682" s="48">
        <f t="shared" ca="1" si="191"/>
        <v>0</v>
      </c>
      <c r="AW682" s="48">
        <f t="shared" ca="1" si="191"/>
        <v>0</v>
      </c>
      <c r="AX682" s="48">
        <f t="shared" ca="1" si="191"/>
        <v>0</v>
      </c>
    </row>
    <row r="683" spans="1:50" ht="15" customHeight="1" x14ac:dyDescent="0.25">
      <c r="A683" s="48"/>
      <c r="B683" s="235"/>
      <c r="C683" s="604"/>
      <c r="D683" s="217"/>
      <c r="E683" s="48" t="str">
        <f t="shared" ref="E683:AX683" si="192" xml:space="preserve"> E$656</f>
        <v>PSC: Government profit oil</v>
      </c>
      <c r="F683" s="147">
        <f t="shared" si="192"/>
        <v>0</v>
      </c>
      <c r="G683" s="48" t="str">
        <f t="shared" si="192"/>
        <v>US$ mn</v>
      </c>
      <c r="H683" s="48">
        <f t="shared" si="192"/>
        <v>0</v>
      </c>
      <c r="I683" s="48">
        <f t="shared" ca="1" si="192"/>
        <v>0</v>
      </c>
      <c r="J683" s="48">
        <f t="shared" si="192"/>
        <v>0</v>
      </c>
      <c r="K683" s="48">
        <f t="shared" ca="1" si="192"/>
        <v>0</v>
      </c>
      <c r="L683" s="48">
        <f t="shared" ca="1" si="192"/>
        <v>0</v>
      </c>
      <c r="M683" s="48">
        <f t="shared" ca="1" si="192"/>
        <v>0</v>
      </c>
      <c r="N683" s="48">
        <f t="shared" ca="1" si="192"/>
        <v>0</v>
      </c>
      <c r="O683" s="48">
        <f t="shared" ca="1" si="192"/>
        <v>0</v>
      </c>
      <c r="P683" s="48">
        <f t="shared" ca="1" si="192"/>
        <v>0</v>
      </c>
      <c r="Q683" s="48">
        <f t="shared" ca="1" si="192"/>
        <v>0</v>
      </c>
      <c r="R683" s="48">
        <f t="shared" ca="1" si="192"/>
        <v>0</v>
      </c>
      <c r="S683" s="48">
        <f t="shared" ca="1" si="192"/>
        <v>0</v>
      </c>
      <c r="T683" s="48">
        <f t="shared" ca="1" si="192"/>
        <v>0</v>
      </c>
      <c r="U683" s="48">
        <f t="shared" ca="1" si="192"/>
        <v>0</v>
      </c>
      <c r="V683" s="48">
        <f t="shared" ca="1" si="192"/>
        <v>0</v>
      </c>
      <c r="W683" s="48">
        <f t="shared" ca="1" si="192"/>
        <v>0</v>
      </c>
      <c r="X683" s="48">
        <f t="shared" ca="1" si="192"/>
        <v>0</v>
      </c>
      <c r="Y683" s="48">
        <f t="shared" ca="1" si="192"/>
        <v>0</v>
      </c>
      <c r="Z683" s="48">
        <f t="shared" ca="1" si="192"/>
        <v>0</v>
      </c>
      <c r="AA683" s="48">
        <f t="shared" ca="1" si="192"/>
        <v>0</v>
      </c>
      <c r="AB683" s="48">
        <f t="shared" ca="1" si="192"/>
        <v>0</v>
      </c>
      <c r="AC683" s="48">
        <f t="shared" ca="1" si="192"/>
        <v>0</v>
      </c>
      <c r="AD683" s="48">
        <f t="shared" ca="1" si="192"/>
        <v>0</v>
      </c>
      <c r="AE683" s="48">
        <f t="shared" ca="1" si="192"/>
        <v>0</v>
      </c>
      <c r="AF683" s="48">
        <f t="shared" ca="1" si="192"/>
        <v>0</v>
      </c>
      <c r="AG683" s="48">
        <f t="shared" ca="1" si="192"/>
        <v>0</v>
      </c>
      <c r="AH683" s="48">
        <f t="shared" ca="1" si="192"/>
        <v>0</v>
      </c>
      <c r="AI683" s="48">
        <f t="shared" ca="1" si="192"/>
        <v>0</v>
      </c>
      <c r="AJ683" s="48">
        <f t="shared" ca="1" si="192"/>
        <v>0</v>
      </c>
      <c r="AK683" s="48">
        <f t="shared" ca="1" si="192"/>
        <v>0</v>
      </c>
      <c r="AL683" s="48">
        <f t="shared" ca="1" si="192"/>
        <v>0</v>
      </c>
      <c r="AM683" s="48">
        <f t="shared" ca="1" si="192"/>
        <v>0</v>
      </c>
      <c r="AN683" s="48">
        <f t="shared" ca="1" si="192"/>
        <v>0</v>
      </c>
      <c r="AO683" s="48">
        <f t="shared" ca="1" si="192"/>
        <v>0</v>
      </c>
      <c r="AP683" s="48">
        <f t="shared" ca="1" si="192"/>
        <v>0</v>
      </c>
      <c r="AQ683" s="48">
        <f t="shared" ca="1" si="192"/>
        <v>0</v>
      </c>
      <c r="AR683" s="48">
        <f t="shared" ca="1" si="192"/>
        <v>0</v>
      </c>
      <c r="AS683" s="48">
        <f t="shared" ca="1" si="192"/>
        <v>0</v>
      </c>
      <c r="AT683" s="48">
        <f t="shared" ca="1" si="192"/>
        <v>0</v>
      </c>
      <c r="AU683" s="48">
        <f t="shared" ca="1" si="192"/>
        <v>0</v>
      </c>
      <c r="AV683" s="48">
        <f t="shared" ca="1" si="192"/>
        <v>0</v>
      </c>
      <c r="AW683" s="48">
        <f t="shared" ca="1" si="192"/>
        <v>0</v>
      </c>
      <c r="AX683" s="48">
        <f t="shared" ca="1" si="192"/>
        <v>0</v>
      </c>
    </row>
    <row r="684" spans="1:50" ht="15" customHeight="1" x14ac:dyDescent="0.25">
      <c r="A684" s="48"/>
      <c r="B684" s="675"/>
      <c r="C684" s="615"/>
      <c r="D684" s="64"/>
      <c r="E684" s="48" t="str">
        <f t="shared" ref="E684:AX684" si="193" xml:space="preserve"> E$666</f>
        <v>PSC: Profit oil to SOC</v>
      </c>
      <c r="F684" s="147">
        <f t="shared" si="193"/>
        <v>0</v>
      </c>
      <c r="G684" s="48" t="str">
        <f t="shared" si="193"/>
        <v>US$ mn</v>
      </c>
      <c r="H684" s="48">
        <f t="shared" si="193"/>
        <v>0</v>
      </c>
      <c r="I684" s="48">
        <f t="shared" ca="1" si="193"/>
        <v>0</v>
      </c>
      <c r="J684" s="48">
        <f t="shared" si="193"/>
        <v>0</v>
      </c>
      <c r="K684" s="48">
        <f t="shared" ca="1" si="193"/>
        <v>0</v>
      </c>
      <c r="L684" s="48">
        <f t="shared" ca="1" si="193"/>
        <v>0</v>
      </c>
      <c r="M684" s="48">
        <f t="shared" ca="1" si="193"/>
        <v>0</v>
      </c>
      <c r="N684" s="48">
        <f t="shared" ca="1" si="193"/>
        <v>0</v>
      </c>
      <c r="O684" s="48">
        <f t="shared" ca="1" si="193"/>
        <v>0</v>
      </c>
      <c r="P684" s="48">
        <f t="shared" ca="1" si="193"/>
        <v>0</v>
      </c>
      <c r="Q684" s="48">
        <f t="shared" ca="1" si="193"/>
        <v>0</v>
      </c>
      <c r="R684" s="48">
        <f t="shared" ca="1" si="193"/>
        <v>0</v>
      </c>
      <c r="S684" s="48">
        <f t="shared" ca="1" si="193"/>
        <v>0</v>
      </c>
      <c r="T684" s="48">
        <f t="shared" ca="1" si="193"/>
        <v>0</v>
      </c>
      <c r="U684" s="48">
        <f t="shared" ca="1" si="193"/>
        <v>0</v>
      </c>
      <c r="V684" s="48">
        <f t="shared" ca="1" si="193"/>
        <v>0</v>
      </c>
      <c r="W684" s="48">
        <f t="shared" ca="1" si="193"/>
        <v>0</v>
      </c>
      <c r="X684" s="48">
        <f t="shared" ca="1" si="193"/>
        <v>0</v>
      </c>
      <c r="Y684" s="48">
        <f t="shared" ca="1" si="193"/>
        <v>0</v>
      </c>
      <c r="Z684" s="48">
        <f t="shared" ca="1" si="193"/>
        <v>0</v>
      </c>
      <c r="AA684" s="48">
        <f t="shared" ca="1" si="193"/>
        <v>0</v>
      </c>
      <c r="AB684" s="48">
        <f t="shared" ca="1" si="193"/>
        <v>0</v>
      </c>
      <c r="AC684" s="48">
        <f t="shared" ca="1" si="193"/>
        <v>0</v>
      </c>
      <c r="AD684" s="48">
        <f t="shared" ca="1" si="193"/>
        <v>0</v>
      </c>
      <c r="AE684" s="48">
        <f t="shared" ca="1" si="193"/>
        <v>0</v>
      </c>
      <c r="AF684" s="48">
        <f t="shared" ca="1" si="193"/>
        <v>0</v>
      </c>
      <c r="AG684" s="48">
        <f t="shared" ca="1" si="193"/>
        <v>0</v>
      </c>
      <c r="AH684" s="48">
        <f t="shared" ca="1" si="193"/>
        <v>0</v>
      </c>
      <c r="AI684" s="48">
        <f t="shared" ca="1" si="193"/>
        <v>0</v>
      </c>
      <c r="AJ684" s="48">
        <f t="shared" ca="1" si="193"/>
        <v>0</v>
      </c>
      <c r="AK684" s="48">
        <f t="shared" ca="1" si="193"/>
        <v>0</v>
      </c>
      <c r="AL684" s="48">
        <f t="shared" ca="1" si="193"/>
        <v>0</v>
      </c>
      <c r="AM684" s="48">
        <f t="shared" ca="1" si="193"/>
        <v>0</v>
      </c>
      <c r="AN684" s="48">
        <f t="shared" ca="1" si="193"/>
        <v>0</v>
      </c>
      <c r="AO684" s="48">
        <f t="shared" ca="1" si="193"/>
        <v>0</v>
      </c>
      <c r="AP684" s="48">
        <f t="shared" ca="1" si="193"/>
        <v>0</v>
      </c>
      <c r="AQ684" s="48">
        <f t="shared" ca="1" si="193"/>
        <v>0</v>
      </c>
      <c r="AR684" s="48">
        <f t="shared" ca="1" si="193"/>
        <v>0</v>
      </c>
      <c r="AS684" s="48">
        <f t="shared" ca="1" si="193"/>
        <v>0</v>
      </c>
      <c r="AT684" s="48">
        <f t="shared" ca="1" si="193"/>
        <v>0</v>
      </c>
      <c r="AU684" s="48">
        <f t="shared" ca="1" si="193"/>
        <v>0</v>
      </c>
      <c r="AV684" s="48">
        <f t="shared" ca="1" si="193"/>
        <v>0</v>
      </c>
      <c r="AW684" s="48">
        <f t="shared" ca="1" si="193"/>
        <v>0</v>
      </c>
      <c r="AX684" s="48">
        <f t="shared" ca="1" si="193"/>
        <v>0</v>
      </c>
    </row>
    <row r="685" spans="1:50" ht="15" customHeight="1" x14ac:dyDescent="0.25">
      <c r="A685" s="48"/>
      <c r="B685" s="235"/>
      <c r="C685" s="604"/>
      <c r="D685" s="217"/>
      <c r="E685" s="48" t="str">
        <f t="shared" ref="E685:AX685" si="194" xml:space="preserve"> E$665</f>
        <v>PSC: Profit oil to IOC</v>
      </c>
      <c r="F685" s="147">
        <f t="shared" si="194"/>
        <v>0</v>
      </c>
      <c r="G685" s="48" t="str">
        <f t="shared" si="194"/>
        <v>US$ mn</v>
      </c>
      <c r="H685" s="48">
        <f t="shared" si="194"/>
        <v>0</v>
      </c>
      <c r="I685" s="48">
        <f t="shared" ca="1" si="194"/>
        <v>0</v>
      </c>
      <c r="J685" s="48">
        <f t="shared" si="194"/>
        <v>0</v>
      </c>
      <c r="K685" s="48">
        <f t="shared" ca="1" si="194"/>
        <v>0</v>
      </c>
      <c r="L685" s="48">
        <f t="shared" ca="1" si="194"/>
        <v>0</v>
      </c>
      <c r="M685" s="48">
        <f t="shared" ca="1" si="194"/>
        <v>0</v>
      </c>
      <c r="N685" s="48">
        <f t="shared" ca="1" si="194"/>
        <v>0</v>
      </c>
      <c r="O685" s="48">
        <f t="shared" ca="1" si="194"/>
        <v>0</v>
      </c>
      <c r="P685" s="48">
        <f t="shared" ca="1" si="194"/>
        <v>0</v>
      </c>
      <c r="Q685" s="48">
        <f t="shared" ca="1" si="194"/>
        <v>0</v>
      </c>
      <c r="R685" s="48">
        <f t="shared" ca="1" si="194"/>
        <v>0</v>
      </c>
      <c r="S685" s="48">
        <f t="shared" ca="1" si="194"/>
        <v>0</v>
      </c>
      <c r="T685" s="48">
        <f t="shared" ca="1" si="194"/>
        <v>0</v>
      </c>
      <c r="U685" s="48">
        <f t="shared" ca="1" si="194"/>
        <v>0</v>
      </c>
      <c r="V685" s="48">
        <f t="shared" ca="1" si="194"/>
        <v>0</v>
      </c>
      <c r="W685" s="48">
        <f t="shared" ca="1" si="194"/>
        <v>0</v>
      </c>
      <c r="X685" s="48">
        <f t="shared" ca="1" si="194"/>
        <v>0</v>
      </c>
      <c r="Y685" s="48">
        <f t="shared" ca="1" si="194"/>
        <v>0</v>
      </c>
      <c r="Z685" s="48">
        <f t="shared" ca="1" si="194"/>
        <v>0</v>
      </c>
      <c r="AA685" s="48">
        <f t="shared" ca="1" si="194"/>
        <v>0</v>
      </c>
      <c r="AB685" s="48">
        <f t="shared" ca="1" si="194"/>
        <v>0</v>
      </c>
      <c r="AC685" s="48">
        <f t="shared" ca="1" si="194"/>
        <v>0</v>
      </c>
      <c r="AD685" s="48">
        <f t="shared" ca="1" si="194"/>
        <v>0</v>
      </c>
      <c r="AE685" s="48">
        <f t="shared" ca="1" si="194"/>
        <v>0</v>
      </c>
      <c r="AF685" s="48">
        <f t="shared" ca="1" si="194"/>
        <v>0</v>
      </c>
      <c r="AG685" s="48">
        <f t="shared" ca="1" si="194"/>
        <v>0</v>
      </c>
      <c r="AH685" s="48">
        <f t="shared" ca="1" si="194"/>
        <v>0</v>
      </c>
      <c r="AI685" s="48">
        <f t="shared" ca="1" si="194"/>
        <v>0</v>
      </c>
      <c r="AJ685" s="48">
        <f t="shared" ca="1" si="194"/>
        <v>0</v>
      </c>
      <c r="AK685" s="48">
        <f t="shared" ca="1" si="194"/>
        <v>0</v>
      </c>
      <c r="AL685" s="48">
        <f t="shared" ca="1" si="194"/>
        <v>0</v>
      </c>
      <c r="AM685" s="48">
        <f t="shared" ca="1" si="194"/>
        <v>0</v>
      </c>
      <c r="AN685" s="48">
        <f t="shared" ca="1" si="194"/>
        <v>0</v>
      </c>
      <c r="AO685" s="48">
        <f t="shared" ca="1" si="194"/>
        <v>0</v>
      </c>
      <c r="AP685" s="48">
        <f t="shared" ca="1" si="194"/>
        <v>0</v>
      </c>
      <c r="AQ685" s="48">
        <f t="shared" ca="1" si="194"/>
        <v>0</v>
      </c>
      <c r="AR685" s="48">
        <f t="shared" ca="1" si="194"/>
        <v>0</v>
      </c>
      <c r="AS685" s="48">
        <f t="shared" ca="1" si="194"/>
        <v>0</v>
      </c>
      <c r="AT685" s="48">
        <f t="shared" ca="1" si="194"/>
        <v>0</v>
      </c>
      <c r="AU685" s="48">
        <f t="shared" ca="1" si="194"/>
        <v>0</v>
      </c>
      <c r="AV685" s="48">
        <f t="shared" ca="1" si="194"/>
        <v>0</v>
      </c>
      <c r="AW685" s="48">
        <f t="shared" ca="1" si="194"/>
        <v>0</v>
      </c>
      <c r="AX685" s="48">
        <f t="shared" ca="1" si="194"/>
        <v>0</v>
      </c>
    </row>
    <row r="686" spans="1:50" ht="15" customHeight="1" x14ac:dyDescent="0.25">
      <c r="A686" s="48"/>
      <c r="B686" s="675"/>
      <c r="C686" s="615"/>
      <c r="D686" s="55"/>
      <c r="E686" s="190" t="str">
        <f xml:space="preserve"> Translate!E$755 &amp; " " &amp; B681</f>
        <v>Check:  Production sharing: Profit oil reconciliation</v>
      </c>
      <c r="F686" s="157">
        <f ca="1" xml:space="preserve"> MIN( 1, SUM(K686:AX686))</f>
        <v>0</v>
      </c>
      <c r="G686" s="190" t="str">
        <f xml:space="preserve"> Translate!E$604</f>
        <v>Check</v>
      </c>
      <c r="H686" s="190"/>
      <c r="I686" s="55">
        <f ca="1" xml:space="preserve"> SUM(K686:AX686)</f>
        <v>0</v>
      </c>
      <c r="J686" s="48"/>
      <c r="K686" s="71">
        <f t="shared" ref="K686:AX686" ca="1" si="195" xml:space="preserve"> IF( ABS(K682 - K683 - K684 - K685) &gt; CHK_TOL, 1, 0)</f>
        <v>0</v>
      </c>
      <c r="L686" s="71">
        <f t="shared" ca="1" si="195"/>
        <v>0</v>
      </c>
      <c r="M686" s="71">
        <f t="shared" ca="1" si="195"/>
        <v>0</v>
      </c>
      <c r="N686" s="71">
        <f t="shared" ca="1" si="195"/>
        <v>0</v>
      </c>
      <c r="O686" s="71">
        <f t="shared" ca="1" si="195"/>
        <v>0</v>
      </c>
      <c r="P686" s="71">
        <f t="shared" ca="1" si="195"/>
        <v>0</v>
      </c>
      <c r="Q686" s="71">
        <f t="shared" ca="1" si="195"/>
        <v>0</v>
      </c>
      <c r="R686" s="71">
        <f t="shared" ca="1" si="195"/>
        <v>0</v>
      </c>
      <c r="S686" s="71">
        <f t="shared" ca="1" si="195"/>
        <v>0</v>
      </c>
      <c r="T686" s="71">
        <f t="shared" ca="1" si="195"/>
        <v>0</v>
      </c>
      <c r="U686" s="71">
        <f t="shared" ca="1" si="195"/>
        <v>0</v>
      </c>
      <c r="V686" s="71">
        <f t="shared" ca="1" si="195"/>
        <v>0</v>
      </c>
      <c r="W686" s="71">
        <f t="shared" ca="1" si="195"/>
        <v>0</v>
      </c>
      <c r="X686" s="71">
        <f t="shared" ca="1" si="195"/>
        <v>0</v>
      </c>
      <c r="Y686" s="71">
        <f t="shared" ca="1" si="195"/>
        <v>0</v>
      </c>
      <c r="Z686" s="71">
        <f t="shared" ca="1" si="195"/>
        <v>0</v>
      </c>
      <c r="AA686" s="71">
        <f t="shared" ca="1" si="195"/>
        <v>0</v>
      </c>
      <c r="AB686" s="71">
        <f t="shared" ca="1" si="195"/>
        <v>0</v>
      </c>
      <c r="AC686" s="71">
        <f t="shared" ca="1" si="195"/>
        <v>0</v>
      </c>
      <c r="AD686" s="71">
        <f t="shared" ca="1" si="195"/>
        <v>0</v>
      </c>
      <c r="AE686" s="71">
        <f t="shared" ca="1" si="195"/>
        <v>0</v>
      </c>
      <c r="AF686" s="71">
        <f t="shared" ca="1" si="195"/>
        <v>0</v>
      </c>
      <c r="AG686" s="71">
        <f t="shared" ca="1" si="195"/>
        <v>0</v>
      </c>
      <c r="AH686" s="71">
        <f t="shared" ca="1" si="195"/>
        <v>0</v>
      </c>
      <c r="AI686" s="71">
        <f t="shared" ca="1" si="195"/>
        <v>0</v>
      </c>
      <c r="AJ686" s="71">
        <f t="shared" ca="1" si="195"/>
        <v>0</v>
      </c>
      <c r="AK686" s="71">
        <f t="shared" ca="1" si="195"/>
        <v>0</v>
      </c>
      <c r="AL686" s="71">
        <f t="shared" ca="1" si="195"/>
        <v>0</v>
      </c>
      <c r="AM686" s="71">
        <f t="shared" ca="1" si="195"/>
        <v>0</v>
      </c>
      <c r="AN686" s="71">
        <f t="shared" ca="1" si="195"/>
        <v>0</v>
      </c>
      <c r="AO686" s="71">
        <f t="shared" ca="1" si="195"/>
        <v>0</v>
      </c>
      <c r="AP686" s="71">
        <f t="shared" ca="1" si="195"/>
        <v>0</v>
      </c>
      <c r="AQ686" s="71">
        <f t="shared" ca="1" si="195"/>
        <v>0</v>
      </c>
      <c r="AR686" s="71">
        <f t="shared" ca="1" si="195"/>
        <v>0</v>
      </c>
      <c r="AS686" s="71">
        <f t="shared" ca="1" si="195"/>
        <v>0</v>
      </c>
      <c r="AT686" s="71">
        <f t="shared" ca="1" si="195"/>
        <v>0</v>
      </c>
      <c r="AU686" s="71">
        <f t="shared" ca="1" si="195"/>
        <v>0</v>
      </c>
      <c r="AV686" s="71">
        <f t="shared" ca="1" si="195"/>
        <v>0</v>
      </c>
      <c r="AW686" s="71">
        <f t="shared" ca="1" si="195"/>
        <v>0</v>
      </c>
      <c r="AX686" s="71">
        <f t="shared" ca="1" si="195"/>
        <v>0</v>
      </c>
    </row>
    <row r="687" spans="1:50" ht="15" customHeight="1" x14ac:dyDescent="0.25">
      <c r="A687" s="48"/>
      <c r="B687" s="235"/>
      <c r="C687" s="604"/>
      <c r="D687" s="217"/>
      <c r="E687" s="13"/>
      <c r="F687" s="577"/>
      <c r="G687" s="13"/>
      <c r="H687" s="13"/>
      <c r="I687" s="217"/>
      <c r="J687" s="89"/>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c r="AJ687" s="98"/>
      <c r="AK687" s="98"/>
      <c r="AL687" s="98"/>
      <c r="AM687" s="98"/>
      <c r="AN687" s="98"/>
      <c r="AO687" s="98"/>
      <c r="AP687" s="98"/>
      <c r="AQ687" s="98"/>
      <c r="AR687" s="98"/>
      <c r="AS687" s="98"/>
      <c r="AT687" s="98"/>
      <c r="AU687" s="98"/>
      <c r="AV687" s="98"/>
      <c r="AW687" s="98"/>
      <c r="AX687" s="98"/>
    </row>
    <row r="688" spans="1:50" ht="15" customHeight="1" x14ac:dyDescent="0.25">
      <c r="A688" s="48"/>
      <c r="B688" s="235"/>
      <c r="C688" s="604"/>
      <c r="D688" s="217"/>
      <c r="E688" s="13"/>
      <c r="F688" s="577"/>
      <c r="G688" s="13"/>
      <c r="H688" s="13"/>
      <c r="I688" s="217"/>
      <c r="J688" s="89"/>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c r="AJ688" s="98"/>
      <c r="AK688" s="98"/>
      <c r="AL688" s="98"/>
      <c r="AM688" s="98"/>
      <c r="AN688" s="98"/>
      <c r="AO688" s="98"/>
      <c r="AP688" s="98"/>
      <c r="AQ688" s="98"/>
      <c r="AR688" s="98"/>
      <c r="AS688" s="98"/>
      <c r="AT688" s="98"/>
      <c r="AU688" s="98"/>
      <c r="AV688" s="98"/>
      <c r="AW688" s="98"/>
      <c r="AX688" s="98"/>
    </row>
    <row r="689" spans="1:50" ht="15" customHeight="1" x14ac:dyDescent="0.25">
      <c r="A689" s="202" t="str">
        <f>Translate!$E$474</f>
        <v>Summary revenues</v>
      </c>
      <c r="B689" s="781"/>
      <c r="C689" s="610"/>
      <c r="D689" s="204"/>
      <c r="E689" s="202"/>
      <c r="F689" s="204"/>
      <c r="G689" s="202"/>
      <c r="H689" s="202"/>
      <c r="I689" s="202"/>
      <c r="J689" s="202"/>
      <c r="K689" s="202"/>
      <c r="L689" s="202"/>
      <c r="M689" s="202"/>
      <c r="N689" s="202"/>
      <c r="O689" s="202"/>
      <c r="P689" s="202"/>
      <c r="Q689" s="202"/>
      <c r="R689" s="202"/>
      <c r="S689" s="202"/>
      <c r="T689" s="202"/>
      <c r="U689" s="202"/>
      <c r="V689" s="202"/>
      <c r="W689" s="202"/>
      <c r="X689" s="202"/>
      <c r="Y689" s="202"/>
      <c r="Z689" s="202"/>
      <c r="AA689" s="202"/>
      <c r="AB689" s="202"/>
      <c r="AC689" s="202"/>
      <c r="AD689" s="202"/>
      <c r="AE689" s="202"/>
      <c r="AF689" s="202"/>
      <c r="AG689" s="202"/>
      <c r="AH689" s="202"/>
      <c r="AI689" s="202"/>
      <c r="AJ689" s="202"/>
      <c r="AK689" s="202"/>
      <c r="AL689" s="202"/>
      <c r="AM689" s="202"/>
      <c r="AN689" s="202"/>
      <c r="AO689" s="202"/>
      <c r="AP689" s="202"/>
      <c r="AQ689" s="202"/>
      <c r="AR689" s="202"/>
      <c r="AS689" s="202"/>
      <c r="AT689" s="202"/>
      <c r="AU689" s="202"/>
      <c r="AV689" s="202"/>
      <c r="AW689" s="202"/>
      <c r="AX689" s="202"/>
    </row>
    <row r="690" spans="1:50" ht="15" customHeight="1" x14ac:dyDescent="0.25">
      <c r="A690" s="48"/>
      <c r="B690" s="235"/>
      <c r="C690" s="604"/>
      <c r="D690" s="217"/>
      <c r="E690" s="13"/>
      <c r="F690" s="577"/>
      <c r="G690" s="13"/>
      <c r="H690" s="13"/>
      <c r="I690" s="217"/>
      <c r="J690" s="89"/>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c r="AJ690" s="98"/>
      <c r="AK690" s="98"/>
      <c r="AL690" s="98"/>
      <c r="AM690" s="98"/>
      <c r="AN690" s="98"/>
      <c r="AO690" s="98"/>
      <c r="AP690" s="98"/>
      <c r="AQ690" s="98"/>
      <c r="AR690" s="98"/>
      <c r="AS690" s="98"/>
      <c r="AT690" s="98"/>
      <c r="AU690" s="98"/>
      <c r="AV690" s="98"/>
      <c r="AW690" s="98"/>
      <c r="AX690" s="98"/>
    </row>
    <row r="691" spans="1:50" ht="15" customHeight="1" x14ac:dyDescent="0.25">
      <c r="A691" s="48"/>
      <c r="B691" s="235" t="str">
        <f>Translate!$E$440</f>
        <v>SOC and IOC revenues</v>
      </c>
      <c r="C691" s="604"/>
      <c r="D691" s="217"/>
      <c r="E691" s="13"/>
      <c r="F691" s="577"/>
      <c r="G691" s="13"/>
      <c r="H691" s="13"/>
      <c r="I691" s="217"/>
      <c r="J691" s="89"/>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c r="AJ691" s="98"/>
      <c r="AK691" s="98"/>
      <c r="AL691" s="98"/>
      <c r="AM691" s="98"/>
      <c r="AN691" s="98"/>
      <c r="AO691" s="98"/>
      <c r="AP691" s="98"/>
      <c r="AQ691" s="98"/>
      <c r="AR691" s="98"/>
      <c r="AS691" s="98"/>
      <c r="AT691" s="98"/>
      <c r="AU691" s="98"/>
      <c r="AV691" s="98"/>
      <c r="AW691" s="98"/>
      <c r="AX691" s="98"/>
    </row>
    <row r="692" spans="1:50" s="398" customFormat="1" ht="15" customHeight="1" x14ac:dyDescent="0.25">
      <c r="B692" s="235"/>
      <c r="C692" s="627"/>
      <c r="D692" s="414"/>
      <c r="E692" s="398" t="str">
        <f t="shared" ref="E692:AX692" si="196" xml:space="preserve"> E$434</f>
        <v>T&amp;R: Share of gross revenue to SOC</v>
      </c>
      <c r="F692" s="398">
        <f t="shared" si="196"/>
        <v>0</v>
      </c>
      <c r="G692" s="398" t="str">
        <f t="shared" si="196"/>
        <v>US$ mn</v>
      </c>
      <c r="H692" s="398">
        <f t="shared" si="196"/>
        <v>0</v>
      </c>
      <c r="I692" s="398">
        <f t="shared" ca="1" si="196"/>
        <v>11433.708703682507</v>
      </c>
      <c r="J692" s="398">
        <f t="shared" si="196"/>
        <v>0</v>
      </c>
      <c r="K692" s="398">
        <f t="shared" ca="1" si="196"/>
        <v>0</v>
      </c>
      <c r="L692" s="398">
        <f t="shared" ca="1" si="196"/>
        <v>0</v>
      </c>
      <c r="M692" s="398">
        <f t="shared" ca="1" si="196"/>
        <v>0</v>
      </c>
      <c r="N692" s="398">
        <f t="shared" ca="1" si="196"/>
        <v>0</v>
      </c>
      <c r="O692" s="398">
        <f t="shared" ca="1" si="196"/>
        <v>41.49143412196964</v>
      </c>
      <c r="P692" s="398">
        <f t="shared" ca="1" si="196"/>
        <v>332.46633186360003</v>
      </c>
      <c r="Q692" s="398">
        <f t="shared" ca="1" si="196"/>
        <v>678.23131700174417</v>
      </c>
      <c r="R692" s="398">
        <f t="shared" ca="1" si="196"/>
        <v>691.79594334177898</v>
      </c>
      <c r="S692" s="398">
        <f t="shared" ca="1" si="196"/>
        <v>705.63186220861462</v>
      </c>
      <c r="T692" s="398">
        <f t="shared" ca="1" si="196"/>
        <v>719.74449945278684</v>
      </c>
      <c r="U692" s="398">
        <f t="shared" ca="1" si="196"/>
        <v>734.13938944184258</v>
      </c>
      <c r="V692" s="398">
        <f t="shared" ca="1" si="196"/>
        <v>748.82217723067947</v>
      </c>
      <c r="W692" s="398">
        <f t="shared" ca="1" si="196"/>
        <v>763.7986207752931</v>
      </c>
      <c r="X692" s="398">
        <f t="shared" ca="1" si="196"/>
        <v>779.07459319079885</v>
      </c>
      <c r="Y692" s="398">
        <f t="shared" ca="1" si="196"/>
        <v>794.65608505461489</v>
      </c>
      <c r="Z692" s="398">
        <f t="shared" ca="1" si="196"/>
        <v>810.54920675570725</v>
      </c>
      <c r="AA692" s="398">
        <f t="shared" ca="1" si="196"/>
        <v>669.67575462156549</v>
      </c>
      <c r="AB692" s="398">
        <f t="shared" ca="1" si="196"/>
        <v>553.28610846833749</v>
      </c>
      <c r="AC692" s="398">
        <f t="shared" ca="1" si="196"/>
        <v>457.12498281654047</v>
      </c>
      <c r="AD692" s="398">
        <f t="shared" ca="1" si="196"/>
        <v>377.67666080302581</v>
      </c>
      <c r="AE692" s="398">
        <f t="shared" ca="1" si="196"/>
        <v>312.03645715545991</v>
      </c>
      <c r="AF692" s="398">
        <f t="shared" ca="1" si="196"/>
        <v>257.80452090184104</v>
      </c>
      <c r="AG692" s="398">
        <f t="shared" ca="1" si="196"/>
        <v>212.99809516910111</v>
      </c>
      <c r="AH692" s="398">
        <f t="shared" ca="1" si="196"/>
        <v>175.97902622871132</v>
      </c>
      <c r="AI692" s="398">
        <f t="shared" ca="1" si="196"/>
        <v>145.39387147016132</v>
      </c>
      <c r="AJ692" s="398">
        <f t="shared" ca="1" si="196"/>
        <v>120.12441660864727</v>
      </c>
      <c r="AK692" s="398">
        <f t="shared" ca="1" si="196"/>
        <v>99.246793002064393</v>
      </c>
      <c r="AL692" s="398">
        <f t="shared" ca="1" si="196"/>
        <v>81.997700378305581</v>
      </c>
      <c r="AM692" s="398">
        <f t="shared" ca="1" si="196"/>
        <v>67.746500052556087</v>
      </c>
      <c r="AN692" s="398">
        <f t="shared" ca="1" si="196"/>
        <v>55.972158343421839</v>
      </c>
      <c r="AO692" s="398">
        <f t="shared" ca="1" si="196"/>
        <v>46.244197223335135</v>
      </c>
      <c r="AP692" s="398">
        <f t="shared" ca="1" si="196"/>
        <v>0</v>
      </c>
      <c r="AQ692" s="398">
        <f t="shared" ca="1" si="196"/>
        <v>0</v>
      </c>
      <c r="AR692" s="398">
        <f t="shared" ca="1" si="196"/>
        <v>0</v>
      </c>
      <c r="AS692" s="398">
        <f t="shared" ca="1" si="196"/>
        <v>0</v>
      </c>
      <c r="AT692" s="398">
        <f t="shared" ca="1" si="196"/>
        <v>0</v>
      </c>
      <c r="AU692" s="398">
        <f t="shared" ca="1" si="196"/>
        <v>0</v>
      </c>
      <c r="AV692" s="398">
        <f t="shared" ca="1" si="196"/>
        <v>0</v>
      </c>
      <c r="AW692" s="398">
        <f t="shared" ca="1" si="196"/>
        <v>0</v>
      </c>
      <c r="AX692" s="398">
        <f t="shared" ca="1" si="196"/>
        <v>0</v>
      </c>
    </row>
    <row r="693" spans="1:50" ht="15" customHeight="1" x14ac:dyDescent="0.25">
      <c r="A693" s="48"/>
      <c r="B693" s="675"/>
      <c r="C693" s="615"/>
      <c r="D693" s="64"/>
      <c r="E693" s="48" t="str">
        <f t="shared" ref="E693:AX693" si="197" xml:space="preserve"> E$543</f>
        <v>PSC: Cost oil to SOC</v>
      </c>
      <c r="F693" s="147">
        <f t="shared" si="197"/>
        <v>0</v>
      </c>
      <c r="G693" s="48" t="str">
        <f t="shared" si="197"/>
        <v>US$ mn</v>
      </c>
      <c r="H693" s="48">
        <f t="shared" si="197"/>
        <v>0</v>
      </c>
      <c r="I693" s="48">
        <f t="shared" ca="1" si="197"/>
        <v>0</v>
      </c>
      <c r="J693" s="48">
        <f t="shared" si="197"/>
        <v>0</v>
      </c>
      <c r="K693" s="48">
        <f t="shared" ca="1" si="197"/>
        <v>0</v>
      </c>
      <c r="L693" s="48">
        <f t="shared" ca="1" si="197"/>
        <v>0</v>
      </c>
      <c r="M693" s="48">
        <f t="shared" ca="1" si="197"/>
        <v>0</v>
      </c>
      <c r="N693" s="48">
        <f t="shared" ca="1" si="197"/>
        <v>0</v>
      </c>
      <c r="O693" s="48">
        <f t="shared" ca="1" si="197"/>
        <v>0</v>
      </c>
      <c r="P693" s="48">
        <f t="shared" ca="1" si="197"/>
        <v>0</v>
      </c>
      <c r="Q693" s="48">
        <f t="shared" ca="1" si="197"/>
        <v>0</v>
      </c>
      <c r="R693" s="48">
        <f t="shared" ca="1" si="197"/>
        <v>0</v>
      </c>
      <c r="S693" s="48">
        <f t="shared" ca="1" si="197"/>
        <v>0</v>
      </c>
      <c r="T693" s="48">
        <f t="shared" ca="1" si="197"/>
        <v>0</v>
      </c>
      <c r="U693" s="48">
        <f t="shared" ca="1" si="197"/>
        <v>0</v>
      </c>
      <c r="V693" s="48">
        <f t="shared" ca="1" si="197"/>
        <v>0</v>
      </c>
      <c r="W693" s="48">
        <f t="shared" ca="1" si="197"/>
        <v>0</v>
      </c>
      <c r="X693" s="48">
        <f t="shared" ca="1" si="197"/>
        <v>0</v>
      </c>
      <c r="Y693" s="48">
        <f t="shared" ca="1" si="197"/>
        <v>0</v>
      </c>
      <c r="Z693" s="48">
        <f t="shared" ca="1" si="197"/>
        <v>0</v>
      </c>
      <c r="AA693" s="48">
        <f t="shared" ca="1" si="197"/>
        <v>0</v>
      </c>
      <c r="AB693" s="48">
        <f t="shared" ca="1" si="197"/>
        <v>0</v>
      </c>
      <c r="AC693" s="48">
        <f t="shared" ca="1" si="197"/>
        <v>0</v>
      </c>
      <c r="AD693" s="48">
        <f t="shared" ca="1" si="197"/>
        <v>0</v>
      </c>
      <c r="AE693" s="48">
        <f t="shared" ca="1" si="197"/>
        <v>0</v>
      </c>
      <c r="AF693" s="48">
        <f t="shared" ca="1" si="197"/>
        <v>0</v>
      </c>
      <c r="AG693" s="48">
        <f t="shared" ca="1" si="197"/>
        <v>0</v>
      </c>
      <c r="AH693" s="48">
        <f t="shared" ca="1" si="197"/>
        <v>0</v>
      </c>
      <c r="AI693" s="48">
        <f t="shared" ca="1" si="197"/>
        <v>0</v>
      </c>
      <c r="AJ693" s="48">
        <f t="shared" ca="1" si="197"/>
        <v>0</v>
      </c>
      <c r="AK693" s="48">
        <f t="shared" ca="1" si="197"/>
        <v>0</v>
      </c>
      <c r="AL693" s="48">
        <f t="shared" ca="1" si="197"/>
        <v>0</v>
      </c>
      <c r="AM693" s="48">
        <f t="shared" ca="1" si="197"/>
        <v>0</v>
      </c>
      <c r="AN693" s="48">
        <f t="shared" ca="1" si="197"/>
        <v>0</v>
      </c>
      <c r="AO693" s="48">
        <f t="shared" ca="1" si="197"/>
        <v>0</v>
      </c>
      <c r="AP693" s="48">
        <f t="shared" ca="1" si="197"/>
        <v>0</v>
      </c>
      <c r="AQ693" s="48">
        <f t="shared" ca="1" si="197"/>
        <v>0</v>
      </c>
      <c r="AR693" s="48">
        <f t="shared" ca="1" si="197"/>
        <v>0</v>
      </c>
      <c r="AS693" s="48">
        <f t="shared" ca="1" si="197"/>
        <v>0</v>
      </c>
      <c r="AT693" s="48">
        <f t="shared" ca="1" si="197"/>
        <v>0</v>
      </c>
      <c r="AU693" s="48">
        <f t="shared" ca="1" si="197"/>
        <v>0</v>
      </c>
      <c r="AV693" s="48">
        <f t="shared" ca="1" si="197"/>
        <v>0</v>
      </c>
      <c r="AW693" s="48">
        <f t="shared" ca="1" si="197"/>
        <v>0</v>
      </c>
      <c r="AX693" s="48">
        <f t="shared" ca="1" si="197"/>
        <v>0</v>
      </c>
    </row>
    <row r="694" spans="1:50" ht="15" customHeight="1" x14ac:dyDescent="0.25">
      <c r="A694" s="48"/>
      <c r="B694" s="675"/>
      <c r="C694" s="615"/>
      <c r="D694" s="64"/>
      <c r="E694" s="48" t="str">
        <f t="shared" ref="E694:AX694" si="198" xml:space="preserve"> E$666</f>
        <v>PSC: Profit oil to SOC</v>
      </c>
      <c r="F694" s="147">
        <f t="shared" si="198"/>
        <v>0</v>
      </c>
      <c r="G694" s="48" t="str">
        <f t="shared" si="198"/>
        <v>US$ mn</v>
      </c>
      <c r="H694" s="48">
        <f t="shared" si="198"/>
        <v>0</v>
      </c>
      <c r="I694" s="48">
        <f t="shared" ca="1" si="198"/>
        <v>0</v>
      </c>
      <c r="J694" s="48">
        <f t="shared" si="198"/>
        <v>0</v>
      </c>
      <c r="K694" s="48">
        <f t="shared" ca="1" si="198"/>
        <v>0</v>
      </c>
      <c r="L694" s="48">
        <f t="shared" ca="1" si="198"/>
        <v>0</v>
      </c>
      <c r="M694" s="48">
        <f t="shared" ca="1" si="198"/>
        <v>0</v>
      </c>
      <c r="N694" s="48">
        <f t="shared" ca="1" si="198"/>
        <v>0</v>
      </c>
      <c r="O694" s="48">
        <f t="shared" ca="1" si="198"/>
        <v>0</v>
      </c>
      <c r="P694" s="48">
        <f t="shared" ca="1" si="198"/>
        <v>0</v>
      </c>
      <c r="Q694" s="48">
        <f t="shared" ca="1" si="198"/>
        <v>0</v>
      </c>
      <c r="R694" s="48">
        <f t="shared" ca="1" si="198"/>
        <v>0</v>
      </c>
      <c r="S694" s="48">
        <f t="shared" ca="1" si="198"/>
        <v>0</v>
      </c>
      <c r="T694" s="48">
        <f t="shared" ca="1" si="198"/>
        <v>0</v>
      </c>
      <c r="U694" s="48">
        <f t="shared" ca="1" si="198"/>
        <v>0</v>
      </c>
      <c r="V694" s="48">
        <f t="shared" ca="1" si="198"/>
        <v>0</v>
      </c>
      <c r="W694" s="48">
        <f t="shared" ca="1" si="198"/>
        <v>0</v>
      </c>
      <c r="X694" s="48">
        <f t="shared" ca="1" si="198"/>
        <v>0</v>
      </c>
      <c r="Y694" s="48">
        <f t="shared" ca="1" si="198"/>
        <v>0</v>
      </c>
      <c r="Z694" s="48">
        <f t="shared" ca="1" si="198"/>
        <v>0</v>
      </c>
      <c r="AA694" s="48">
        <f t="shared" ca="1" si="198"/>
        <v>0</v>
      </c>
      <c r="AB694" s="48">
        <f t="shared" ca="1" si="198"/>
        <v>0</v>
      </c>
      <c r="AC694" s="48">
        <f t="shared" ca="1" si="198"/>
        <v>0</v>
      </c>
      <c r="AD694" s="48">
        <f t="shared" ca="1" si="198"/>
        <v>0</v>
      </c>
      <c r="AE694" s="48">
        <f t="shared" ca="1" si="198"/>
        <v>0</v>
      </c>
      <c r="AF694" s="48">
        <f t="shared" ca="1" si="198"/>
        <v>0</v>
      </c>
      <c r="AG694" s="48">
        <f t="shared" ca="1" si="198"/>
        <v>0</v>
      </c>
      <c r="AH694" s="48">
        <f t="shared" ca="1" si="198"/>
        <v>0</v>
      </c>
      <c r="AI694" s="48">
        <f t="shared" ca="1" si="198"/>
        <v>0</v>
      </c>
      <c r="AJ694" s="48">
        <f t="shared" ca="1" si="198"/>
        <v>0</v>
      </c>
      <c r="AK694" s="48">
        <f t="shared" ca="1" si="198"/>
        <v>0</v>
      </c>
      <c r="AL694" s="48">
        <f t="shared" ca="1" si="198"/>
        <v>0</v>
      </c>
      <c r="AM694" s="48">
        <f t="shared" ca="1" si="198"/>
        <v>0</v>
      </c>
      <c r="AN694" s="48">
        <f t="shared" ca="1" si="198"/>
        <v>0</v>
      </c>
      <c r="AO694" s="48">
        <f t="shared" ca="1" si="198"/>
        <v>0</v>
      </c>
      <c r="AP694" s="48">
        <f t="shared" ca="1" si="198"/>
        <v>0</v>
      </c>
      <c r="AQ694" s="48">
        <f t="shared" ca="1" si="198"/>
        <v>0</v>
      </c>
      <c r="AR694" s="48">
        <f t="shared" ca="1" si="198"/>
        <v>0</v>
      </c>
      <c r="AS694" s="48">
        <f t="shared" ca="1" si="198"/>
        <v>0</v>
      </c>
      <c r="AT694" s="48">
        <f t="shared" ca="1" si="198"/>
        <v>0</v>
      </c>
      <c r="AU694" s="48">
        <f t="shared" ca="1" si="198"/>
        <v>0</v>
      </c>
      <c r="AV694" s="48">
        <f t="shared" ca="1" si="198"/>
        <v>0</v>
      </c>
      <c r="AW694" s="48">
        <f t="shared" ca="1" si="198"/>
        <v>0</v>
      </c>
      <c r="AX694" s="48">
        <f t="shared" ca="1" si="198"/>
        <v>0</v>
      </c>
    </row>
    <row r="695" spans="1:50" s="485" customFormat="1" ht="15" customHeight="1" x14ac:dyDescent="0.25">
      <c r="A695" s="502"/>
      <c r="B695" s="684"/>
      <c r="C695" s="645"/>
      <c r="D695" s="504"/>
      <c r="E695" s="482" t="str">
        <f xml:space="preserve"> Translate!E$320</f>
        <v>SOC share of revenues</v>
      </c>
      <c r="F695" s="504"/>
      <c r="G695" s="482" t="str">
        <f xml:space="preserve"> Translate!E$603</f>
        <v>US$ mn</v>
      </c>
      <c r="H695" s="482"/>
      <c r="I695" s="482">
        <f ca="1" xml:space="preserve"> SUM(K695:AX695)</f>
        <v>11433.708703682507</v>
      </c>
      <c r="J695" s="482"/>
      <c r="K695" s="482">
        <f t="shared" ref="K695:AX695" ca="1" si="199">SUM(K692:K694)</f>
        <v>0</v>
      </c>
      <c r="L695" s="482">
        <f t="shared" ca="1" si="199"/>
        <v>0</v>
      </c>
      <c r="M695" s="482">
        <f t="shared" ca="1" si="199"/>
        <v>0</v>
      </c>
      <c r="N695" s="482">
        <f t="shared" ca="1" si="199"/>
        <v>0</v>
      </c>
      <c r="O695" s="482">
        <f t="shared" ca="1" si="199"/>
        <v>41.49143412196964</v>
      </c>
      <c r="P695" s="482">
        <f t="shared" ca="1" si="199"/>
        <v>332.46633186360003</v>
      </c>
      <c r="Q695" s="482">
        <f t="shared" ca="1" si="199"/>
        <v>678.23131700174417</v>
      </c>
      <c r="R695" s="482">
        <f t="shared" ca="1" si="199"/>
        <v>691.79594334177898</v>
      </c>
      <c r="S695" s="482">
        <f t="shared" ca="1" si="199"/>
        <v>705.63186220861462</v>
      </c>
      <c r="T695" s="482">
        <f t="shared" ca="1" si="199"/>
        <v>719.74449945278684</v>
      </c>
      <c r="U695" s="482">
        <f t="shared" ca="1" si="199"/>
        <v>734.13938944184258</v>
      </c>
      <c r="V695" s="482">
        <f t="shared" ca="1" si="199"/>
        <v>748.82217723067947</v>
      </c>
      <c r="W695" s="482">
        <f t="shared" ca="1" si="199"/>
        <v>763.7986207752931</v>
      </c>
      <c r="X695" s="482">
        <f t="shared" ca="1" si="199"/>
        <v>779.07459319079885</v>
      </c>
      <c r="Y695" s="482">
        <f t="shared" ca="1" si="199"/>
        <v>794.65608505461489</v>
      </c>
      <c r="Z695" s="482">
        <f t="shared" ca="1" si="199"/>
        <v>810.54920675570725</v>
      </c>
      <c r="AA695" s="482">
        <f t="shared" ca="1" si="199"/>
        <v>669.67575462156549</v>
      </c>
      <c r="AB695" s="482">
        <f t="shared" ca="1" si="199"/>
        <v>553.28610846833749</v>
      </c>
      <c r="AC695" s="482">
        <f t="shared" ca="1" si="199"/>
        <v>457.12498281654047</v>
      </c>
      <c r="AD695" s="482">
        <f t="shared" ca="1" si="199"/>
        <v>377.67666080302581</v>
      </c>
      <c r="AE695" s="482">
        <f t="shared" ca="1" si="199"/>
        <v>312.03645715545991</v>
      </c>
      <c r="AF695" s="482">
        <f t="shared" ca="1" si="199"/>
        <v>257.80452090184104</v>
      </c>
      <c r="AG695" s="482">
        <f t="shared" ca="1" si="199"/>
        <v>212.99809516910111</v>
      </c>
      <c r="AH695" s="482">
        <f t="shared" ca="1" si="199"/>
        <v>175.97902622871132</v>
      </c>
      <c r="AI695" s="482">
        <f t="shared" ca="1" si="199"/>
        <v>145.39387147016132</v>
      </c>
      <c r="AJ695" s="482">
        <f t="shared" ca="1" si="199"/>
        <v>120.12441660864727</v>
      </c>
      <c r="AK695" s="482">
        <f t="shared" ca="1" si="199"/>
        <v>99.246793002064393</v>
      </c>
      <c r="AL695" s="482">
        <f t="shared" ca="1" si="199"/>
        <v>81.997700378305581</v>
      </c>
      <c r="AM695" s="482">
        <f t="shared" ca="1" si="199"/>
        <v>67.746500052556087</v>
      </c>
      <c r="AN695" s="482">
        <f t="shared" ca="1" si="199"/>
        <v>55.972158343421839</v>
      </c>
      <c r="AO695" s="482">
        <f t="shared" ca="1" si="199"/>
        <v>46.244197223335135</v>
      </c>
      <c r="AP695" s="482">
        <f t="shared" ca="1" si="199"/>
        <v>0</v>
      </c>
      <c r="AQ695" s="482">
        <f t="shared" ca="1" si="199"/>
        <v>0</v>
      </c>
      <c r="AR695" s="482">
        <f t="shared" ca="1" si="199"/>
        <v>0</v>
      </c>
      <c r="AS695" s="482">
        <f t="shared" ca="1" si="199"/>
        <v>0</v>
      </c>
      <c r="AT695" s="482">
        <f t="shared" ca="1" si="199"/>
        <v>0</v>
      </c>
      <c r="AU695" s="482">
        <f t="shared" ca="1" si="199"/>
        <v>0</v>
      </c>
      <c r="AV695" s="482">
        <f t="shared" ca="1" si="199"/>
        <v>0</v>
      </c>
      <c r="AW695" s="482">
        <f t="shared" ca="1" si="199"/>
        <v>0</v>
      </c>
      <c r="AX695" s="482">
        <f t="shared" ca="1" si="199"/>
        <v>0</v>
      </c>
    </row>
    <row r="696" spans="1:50" ht="15" customHeight="1" x14ac:dyDescent="0.25">
      <c r="A696" s="48"/>
      <c r="B696" s="235"/>
      <c r="C696" s="604"/>
      <c r="D696" s="217"/>
      <c r="E696" s="13"/>
      <c r="F696" s="577"/>
      <c r="G696" s="13"/>
      <c r="H696" s="13"/>
      <c r="I696" s="217"/>
      <c r="J696" s="89"/>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c r="AJ696" s="98"/>
      <c r="AK696" s="98"/>
      <c r="AL696" s="98"/>
      <c r="AM696" s="98"/>
      <c r="AN696" s="98"/>
      <c r="AO696" s="98"/>
      <c r="AP696" s="98"/>
      <c r="AQ696" s="98"/>
      <c r="AR696" s="98"/>
      <c r="AS696" s="98"/>
      <c r="AT696" s="98"/>
      <c r="AU696" s="98"/>
      <c r="AV696" s="98"/>
      <c r="AW696" s="98"/>
      <c r="AX696" s="98"/>
    </row>
    <row r="697" spans="1:50" s="48" customFormat="1" ht="15" customHeight="1" x14ac:dyDescent="0.25">
      <c r="B697" s="235"/>
      <c r="C697" s="604"/>
      <c r="D697" s="217"/>
      <c r="E697" s="48" t="str">
        <f t="shared" ref="E697:AX697" si="200" xml:space="preserve"> E$435</f>
        <v>T&amp;R: Share of gross revenue to IOC</v>
      </c>
      <c r="F697" s="48">
        <f t="shared" si="200"/>
        <v>0</v>
      </c>
      <c r="G697" s="48" t="str">
        <f t="shared" si="200"/>
        <v>US$ mn</v>
      </c>
      <c r="H697" s="48">
        <f t="shared" si="200"/>
        <v>0</v>
      </c>
      <c r="I697" s="48">
        <f t="shared" ca="1" si="200"/>
        <v>45734.834814730028</v>
      </c>
      <c r="J697" s="48">
        <f t="shared" si="200"/>
        <v>0</v>
      </c>
      <c r="K697" s="48">
        <f t="shared" ca="1" si="200"/>
        <v>0</v>
      </c>
      <c r="L697" s="48">
        <f t="shared" ca="1" si="200"/>
        <v>0</v>
      </c>
      <c r="M697" s="48">
        <f t="shared" ca="1" si="200"/>
        <v>0</v>
      </c>
      <c r="N697" s="48">
        <f t="shared" ca="1" si="200"/>
        <v>0</v>
      </c>
      <c r="O697" s="48">
        <f t="shared" ca="1" si="200"/>
        <v>165.96573648787856</v>
      </c>
      <c r="P697" s="48">
        <f t="shared" ca="1" si="200"/>
        <v>1329.8653274544001</v>
      </c>
      <c r="Q697" s="48">
        <f t="shared" ca="1" si="200"/>
        <v>2712.9252680069767</v>
      </c>
      <c r="R697" s="48">
        <f t="shared" ca="1" si="200"/>
        <v>2767.1837733671159</v>
      </c>
      <c r="S697" s="48">
        <f t="shared" ca="1" si="200"/>
        <v>2822.5274488344585</v>
      </c>
      <c r="T697" s="48">
        <f t="shared" ca="1" si="200"/>
        <v>2878.9779978111474</v>
      </c>
      <c r="U697" s="48">
        <f t="shared" ca="1" si="200"/>
        <v>2936.5575577673703</v>
      </c>
      <c r="V697" s="48">
        <f t="shared" ca="1" si="200"/>
        <v>2995.2887089227179</v>
      </c>
      <c r="W697" s="48">
        <f t="shared" ca="1" si="200"/>
        <v>3055.1944831011724</v>
      </c>
      <c r="X697" s="48">
        <f t="shared" ca="1" si="200"/>
        <v>3116.2983727631954</v>
      </c>
      <c r="Y697" s="48">
        <f t="shared" ca="1" si="200"/>
        <v>3178.6243402184596</v>
      </c>
      <c r="Z697" s="48">
        <f t="shared" ca="1" si="200"/>
        <v>3242.196827022829</v>
      </c>
      <c r="AA697" s="48">
        <f t="shared" ca="1" si="200"/>
        <v>2678.703018486262</v>
      </c>
      <c r="AB697" s="48">
        <f t="shared" ca="1" si="200"/>
        <v>2213.14443387335</v>
      </c>
      <c r="AC697" s="48">
        <f t="shared" ca="1" si="200"/>
        <v>1828.4999312661619</v>
      </c>
      <c r="AD697" s="48">
        <f t="shared" ca="1" si="200"/>
        <v>1510.7066432121032</v>
      </c>
      <c r="AE697" s="48">
        <f t="shared" ca="1" si="200"/>
        <v>1248.1458286218397</v>
      </c>
      <c r="AF697" s="48">
        <f t="shared" ca="1" si="200"/>
        <v>1031.2180836073642</v>
      </c>
      <c r="AG697" s="48">
        <f t="shared" ca="1" si="200"/>
        <v>851.99238067640442</v>
      </c>
      <c r="AH697" s="48">
        <f t="shared" ca="1" si="200"/>
        <v>703.91610491484528</v>
      </c>
      <c r="AI697" s="48">
        <f t="shared" ca="1" si="200"/>
        <v>581.57548588064526</v>
      </c>
      <c r="AJ697" s="48">
        <f t="shared" ca="1" si="200"/>
        <v>480.49766643458906</v>
      </c>
      <c r="AK697" s="48">
        <f t="shared" ca="1" si="200"/>
        <v>396.98717200825757</v>
      </c>
      <c r="AL697" s="48">
        <f t="shared" ca="1" si="200"/>
        <v>327.99080151322232</v>
      </c>
      <c r="AM697" s="48">
        <f t="shared" ca="1" si="200"/>
        <v>270.98600021022435</v>
      </c>
      <c r="AN697" s="48">
        <f t="shared" ca="1" si="200"/>
        <v>223.88863337368736</v>
      </c>
      <c r="AO697" s="48">
        <f t="shared" ca="1" si="200"/>
        <v>184.97678889334054</v>
      </c>
      <c r="AP697" s="48">
        <f t="shared" ca="1" si="200"/>
        <v>0</v>
      </c>
      <c r="AQ697" s="48">
        <f t="shared" ca="1" si="200"/>
        <v>0</v>
      </c>
      <c r="AR697" s="48">
        <f t="shared" ca="1" si="200"/>
        <v>0</v>
      </c>
      <c r="AS697" s="48">
        <f t="shared" ca="1" si="200"/>
        <v>0</v>
      </c>
      <c r="AT697" s="48">
        <f t="shared" ca="1" si="200"/>
        <v>0</v>
      </c>
      <c r="AU697" s="48">
        <f t="shared" ca="1" si="200"/>
        <v>0</v>
      </c>
      <c r="AV697" s="48">
        <f t="shared" ca="1" si="200"/>
        <v>0</v>
      </c>
      <c r="AW697" s="48">
        <f t="shared" ca="1" si="200"/>
        <v>0</v>
      </c>
      <c r="AX697" s="48">
        <f t="shared" ca="1" si="200"/>
        <v>0</v>
      </c>
    </row>
    <row r="698" spans="1:50" ht="15" customHeight="1" x14ac:dyDescent="0.25">
      <c r="A698" s="241"/>
      <c r="B698" s="675"/>
      <c r="C698" s="615"/>
      <c r="D698" s="64"/>
      <c r="E698" s="55" t="str">
        <f t="shared" ref="E698:AX698" si="201" xml:space="preserve"> E$544</f>
        <v>PSC: Cost oil to IOC</v>
      </c>
      <c r="F698" s="64">
        <f t="shared" si="201"/>
        <v>0</v>
      </c>
      <c r="G698" s="55" t="str">
        <f t="shared" si="201"/>
        <v>US$ mn</v>
      </c>
      <c r="H698" s="55">
        <f t="shared" si="201"/>
        <v>0</v>
      </c>
      <c r="I698" s="55">
        <f t="shared" ca="1" si="201"/>
        <v>0</v>
      </c>
      <c r="J698" s="55">
        <f t="shared" si="201"/>
        <v>0</v>
      </c>
      <c r="K698" s="55">
        <f t="shared" ca="1" si="201"/>
        <v>0</v>
      </c>
      <c r="L698" s="55">
        <f t="shared" ca="1" si="201"/>
        <v>0</v>
      </c>
      <c r="M698" s="55">
        <f t="shared" ca="1" si="201"/>
        <v>0</v>
      </c>
      <c r="N698" s="55">
        <f t="shared" ca="1" si="201"/>
        <v>0</v>
      </c>
      <c r="O698" s="55">
        <f t="shared" ca="1" si="201"/>
        <v>0</v>
      </c>
      <c r="P698" s="55">
        <f t="shared" ca="1" si="201"/>
        <v>0</v>
      </c>
      <c r="Q698" s="55">
        <f t="shared" ca="1" si="201"/>
        <v>0</v>
      </c>
      <c r="R698" s="55">
        <f t="shared" ca="1" si="201"/>
        <v>0</v>
      </c>
      <c r="S698" s="55">
        <f t="shared" ca="1" si="201"/>
        <v>0</v>
      </c>
      <c r="T698" s="55">
        <f t="shared" ca="1" si="201"/>
        <v>0</v>
      </c>
      <c r="U698" s="55">
        <f t="shared" ca="1" si="201"/>
        <v>0</v>
      </c>
      <c r="V698" s="55">
        <f t="shared" ca="1" si="201"/>
        <v>0</v>
      </c>
      <c r="W698" s="55">
        <f t="shared" ca="1" si="201"/>
        <v>0</v>
      </c>
      <c r="X698" s="55">
        <f t="shared" ca="1" si="201"/>
        <v>0</v>
      </c>
      <c r="Y698" s="55">
        <f t="shared" ca="1" si="201"/>
        <v>0</v>
      </c>
      <c r="Z698" s="55">
        <f t="shared" ca="1" si="201"/>
        <v>0</v>
      </c>
      <c r="AA698" s="55">
        <f t="shared" ca="1" si="201"/>
        <v>0</v>
      </c>
      <c r="AB698" s="55">
        <f t="shared" ca="1" si="201"/>
        <v>0</v>
      </c>
      <c r="AC698" s="55">
        <f t="shared" ca="1" si="201"/>
        <v>0</v>
      </c>
      <c r="AD698" s="55">
        <f t="shared" ca="1" si="201"/>
        <v>0</v>
      </c>
      <c r="AE698" s="55">
        <f t="shared" ca="1" si="201"/>
        <v>0</v>
      </c>
      <c r="AF698" s="55">
        <f t="shared" ca="1" si="201"/>
        <v>0</v>
      </c>
      <c r="AG698" s="55">
        <f t="shared" ca="1" si="201"/>
        <v>0</v>
      </c>
      <c r="AH698" s="55">
        <f t="shared" ca="1" si="201"/>
        <v>0</v>
      </c>
      <c r="AI698" s="55">
        <f t="shared" ca="1" si="201"/>
        <v>0</v>
      </c>
      <c r="AJ698" s="55">
        <f t="shared" ca="1" si="201"/>
        <v>0</v>
      </c>
      <c r="AK698" s="55">
        <f t="shared" ca="1" si="201"/>
        <v>0</v>
      </c>
      <c r="AL698" s="55">
        <f t="shared" ca="1" si="201"/>
        <v>0</v>
      </c>
      <c r="AM698" s="55">
        <f t="shared" ca="1" si="201"/>
        <v>0</v>
      </c>
      <c r="AN698" s="55">
        <f t="shared" ca="1" si="201"/>
        <v>0</v>
      </c>
      <c r="AO698" s="55">
        <f t="shared" ca="1" si="201"/>
        <v>0</v>
      </c>
      <c r="AP698" s="55">
        <f t="shared" ca="1" si="201"/>
        <v>0</v>
      </c>
      <c r="AQ698" s="55">
        <f t="shared" ca="1" si="201"/>
        <v>0</v>
      </c>
      <c r="AR698" s="55">
        <f t="shared" ca="1" si="201"/>
        <v>0</v>
      </c>
      <c r="AS698" s="55">
        <f t="shared" ca="1" si="201"/>
        <v>0</v>
      </c>
      <c r="AT698" s="55">
        <f t="shared" ca="1" si="201"/>
        <v>0</v>
      </c>
      <c r="AU698" s="55">
        <f t="shared" ca="1" si="201"/>
        <v>0</v>
      </c>
      <c r="AV698" s="55">
        <f t="shared" ca="1" si="201"/>
        <v>0</v>
      </c>
      <c r="AW698" s="55">
        <f t="shared" ca="1" si="201"/>
        <v>0</v>
      </c>
      <c r="AX698" s="55">
        <f t="shared" ca="1" si="201"/>
        <v>0</v>
      </c>
    </row>
    <row r="699" spans="1:50" ht="15" customHeight="1" x14ac:dyDescent="0.25">
      <c r="A699" s="241"/>
      <c r="B699" s="675"/>
      <c r="C699" s="615"/>
      <c r="D699" s="64"/>
      <c r="E699" s="55" t="str">
        <f t="shared" ref="E699:AX699" si="202" xml:space="preserve"> E$665</f>
        <v>PSC: Profit oil to IOC</v>
      </c>
      <c r="F699" s="64">
        <f t="shared" si="202"/>
        <v>0</v>
      </c>
      <c r="G699" s="55" t="str">
        <f t="shared" si="202"/>
        <v>US$ mn</v>
      </c>
      <c r="H699" s="55">
        <f t="shared" si="202"/>
        <v>0</v>
      </c>
      <c r="I699" s="55">
        <f t="shared" ca="1" si="202"/>
        <v>0</v>
      </c>
      <c r="J699" s="55">
        <f t="shared" si="202"/>
        <v>0</v>
      </c>
      <c r="K699" s="55">
        <f t="shared" ca="1" si="202"/>
        <v>0</v>
      </c>
      <c r="L699" s="55">
        <f t="shared" ca="1" si="202"/>
        <v>0</v>
      </c>
      <c r="M699" s="55">
        <f t="shared" ca="1" si="202"/>
        <v>0</v>
      </c>
      <c r="N699" s="55">
        <f t="shared" ca="1" si="202"/>
        <v>0</v>
      </c>
      <c r="O699" s="55">
        <f t="shared" ca="1" si="202"/>
        <v>0</v>
      </c>
      <c r="P699" s="55">
        <f t="shared" ca="1" si="202"/>
        <v>0</v>
      </c>
      <c r="Q699" s="55">
        <f t="shared" ca="1" si="202"/>
        <v>0</v>
      </c>
      <c r="R699" s="55">
        <f t="shared" ca="1" si="202"/>
        <v>0</v>
      </c>
      <c r="S699" s="55">
        <f t="shared" ca="1" si="202"/>
        <v>0</v>
      </c>
      <c r="T699" s="55">
        <f t="shared" ca="1" si="202"/>
        <v>0</v>
      </c>
      <c r="U699" s="55">
        <f t="shared" ca="1" si="202"/>
        <v>0</v>
      </c>
      <c r="V699" s="55">
        <f t="shared" ca="1" si="202"/>
        <v>0</v>
      </c>
      <c r="W699" s="55">
        <f t="shared" ca="1" si="202"/>
        <v>0</v>
      </c>
      <c r="X699" s="55">
        <f t="shared" ca="1" si="202"/>
        <v>0</v>
      </c>
      <c r="Y699" s="55">
        <f t="shared" ca="1" si="202"/>
        <v>0</v>
      </c>
      <c r="Z699" s="55">
        <f t="shared" ca="1" si="202"/>
        <v>0</v>
      </c>
      <c r="AA699" s="55">
        <f t="shared" ca="1" si="202"/>
        <v>0</v>
      </c>
      <c r="AB699" s="55">
        <f t="shared" ca="1" si="202"/>
        <v>0</v>
      </c>
      <c r="AC699" s="55">
        <f t="shared" ca="1" si="202"/>
        <v>0</v>
      </c>
      <c r="AD699" s="55">
        <f t="shared" ca="1" si="202"/>
        <v>0</v>
      </c>
      <c r="AE699" s="55">
        <f t="shared" ca="1" si="202"/>
        <v>0</v>
      </c>
      <c r="AF699" s="55">
        <f t="shared" ca="1" si="202"/>
        <v>0</v>
      </c>
      <c r="AG699" s="55">
        <f t="shared" ca="1" si="202"/>
        <v>0</v>
      </c>
      <c r="AH699" s="55">
        <f t="shared" ca="1" si="202"/>
        <v>0</v>
      </c>
      <c r="AI699" s="55">
        <f t="shared" ca="1" si="202"/>
        <v>0</v>
      </c>
      <c r="AJ699" s="55">
        <f t="shared" ca="1" si="202"/>
        <v>0</v>
      </c>
      <c r="AK699" s="55">
        <f t="shared" ca="1" si="202"/>
        <v>0</v>
      </c>
      <c r="AL699" s="55">
        <f t="shared" ca="1" si="202"/>
        <v>0</v>
      </c>
      <c r="AM699" s="55">
        <f t="shared" ca="1" si="202"/>
        <v>0</v>
      </c>
      <c r="AN699" s="55">
        <f t="shared" ca="1" si="202"/>
        <v>0</v>
      </c>
      <c r="AO699" s="55">
        <f t="shared" ca="1" si="202"/>
        <v>0</v>
      </c>
      <c r="AP699" s="55">
        <f t="shared" ca="1" si="202"/>
        <v>0</v>
      </c>
      <c r="AQ699" s="55">
        <f t="shared" ca="1" si="202"/>
        <v>0</v>
      </c>
      <c r="AR699" s="55">
        <f t="shared" ca="1" si="202"/>
        <v>0</v>
      </c>
      <c r="AS699" s="55">
        <f t="shared" ca="1" si="202"/>
        <v>0</v>
      </c>
      <c r="AT699" s="55">
        <f t="shared" ca="1" si="202"/>
        <v>0</v>
      </c>
      <c r="AU699" s="55">
        <f t="shared" ca="1" si="202"/>
        <v>0</v>
      </c>
      <c r="AV699" s="55">
        <f t="shared" ca="1" si="202"/>
        <v>0</v>
      </c>
      <c r="AW699" s="55">
        <f t="shared" ca="1" si="202"/>
        <v>0</v>
      </c>
      <c r="AX699" s="55">
        <f t="shared" ca="1" si="202"/>
        <v>0</v>
      </c>
    </row>
    <row r="700" spans="1:50" s="485" customFormat="1" ht="15" customHeight="1" x14ac:dyDescent="0.25">
      <c r="A700" s="502"/>
      <c r="B700" s="684"/>
      <c r="C700" s="645"/>
      <c r="D700" s="504"/>
      <c r="E700" s="482" t="str">
        <f xml:space="preserve"> Translate!E$321</f>
        <v>IOC share of revenues</v>
      </c>
      <c r="F700" s="504"/>
      <c r="G700" s="482" t="str">
        <f xml:space="preserve"> Translate!E$603</f>
        <v>US$ mn</v>
      </c>
      <c r="H700" s="482"/>
      <c r="I700" s="482">
        <f ca="1" xml:space="preserve"> SUM(K700:AX700)</f>
        <v>45734.834814730028</v>
      </c>
      <c r="J700" s="482"/>
      <c r="K700" s="482">
        <f t="shared" ref="K700:AX700" ca="1" si="203">SUM(K697:K699)</f>
        <v>0</v>
      </c>
      <c r="L700" s="482">
        <f t="shared" ca="1" si="203"/>
        <v>0</v>
      </c>
      <c r="M700" s="482">
        <f t="shared" ca="1" si="203"/>
        <v>0</v>
      </c>
      <c r="N700" s="482">
        <f t="shared" ca="1" si="203"/>
        <v>0</v>
      </c>
      <c r="O700" s="482">
        <f t="shared" ca="1" si="203"/>
        <v>165.96573648787856</v>
      </c>
      <c r="P700" s="482">
        <f t="shared" ca="1" si="203"/>
        <v>1329.8653274544001</v>
      </c>
      <c r="Q700" s="482">
        <f t="shared" ca="1" si="203"/>
        <v>2712.9252680069767</v>
      </c>
      <c r="R700" s="482">
        <f t="shared" ca="1" si="203"/>
        <v>2767.1837733671159</v>
      </c>
      <c r="S700" s="482">
        <f t="shared" ca="1" si="203"/>
        <v>2822.5274488344585</v>
      </c>
      <c r="T700" s="482">
        <f t="shared" ca="1" si="203"/>
        <v>2878.9779978111474</v>
      </c>
      <c r="U700" s="482">
        <f t="shared" ca="1" si="203"/>
        <v>2936.5575577673703</v>
      </c>
      <c r="V700" s="482">
        <f t="shared" ca="1" si="203"/>
        <v>2995.2887089227179</v>
      </c>
      <c r="W700" s="482">
        <f t="shared" ca="1" si="203"/>
        <v>3055.1944831011724</v>
      </c>
      <c r="X700" s="482">
        <f t="shared" ca="1" si="203"/>
        <v>3116.2983727631954</v>
      </c>
      <c r="Y700" s="482">
        <f t="shared" ca="1" si="203"/>
        <v>3178.6243402184596</v>
      </c>
      <c r="Z700" s="482">
        <f t="shared" ca="1" si="203"/>
        <v>3242.196827022829</v>
      </c>
      <c r="AA700" s="482">
        <f t="shared" ca="1" si="203"/>
        <v>2678.703018486262</v>
      </c>
      <c r="AB700" s="482">
        <f t="shared" ca="1" si="203"/>
        <v>2213.14443387335</v>
      </c>
      <c r="AC700" s="482">
        <f t="shared" ca="1" si="203"/>
        <v>1828.4999312661619</v>
      </c>
      <c r="AD700" s="482">
        <f t="shared" ca="1" si="203"/>
        <v>1510.7066432121032</v>
      </c>
      <c r="AE700" s="482">
        <f t="shared" ca="1" si="203"/>
        <v>1248.1458286218397</v>
      </c>
      <c r="AF700" s="482">
        <f t="shared" ca="1" si="203"/>
        <v>1031.2180836073642</v>
      </c>
      <c r="AG700" s="482">
        <f t="shared" ca="1" si="203"/>
        <v>851.99238067640442</v>
      </c>
      <c r="AH700" s="482">
        <f t="shared" ca="1" si="203"/>
        <v>703.91610491484528</v>
      </c>
      <c r="AI700" s="482">
        <f t="shared" ca="1" si="203"/>
        <v>581.57548588064526</v>
      </c>
      <c r="AJ700" s="482">
        <f t="shared" ca="1" si="203"/>
        <v>480.49766643458906</v>
      </c>
      <c r="AK700" s="482">
        <f t="shared" ca="1" si="203"/>
        <v>396.98717200825757</v>
      </c>
      <c r="AL700" s="482">
        <f t="shared" ca="1" si="203"/>
        <v>327.99080151322232</v>
      </c>
      <c r="AM700" s="482">
        <f t="shared" ca="1" si="203"/>
        <v>270.98600021022435</v>
      </c>
      <c r="AN700" s="482">
        <f t="shared" ca="1" si="203"/>
        <v>223.88863337368736</v>
      </c>
      <c r="AO700" s="482">
        <f t="shared" ca="1" si="203"/>
        <v>184.97678889334054</v>
      </c>
      <c r="AP700" s="482">
        <f t="shared" ca="1" si="203"/>
        <v>0</v>
      </c>
      <c r="AQ700" s="482">
        <f t="shared" ca="1" si="203"/>
        <v>0</v>
      </c>
      <c r="AR700" s="482">
        <f t="shared" ca="1" si="203"/>
        <v>0</v>
      </c>
      <c r="AS700" s="482">
        <f t="shared" ca="1" si="203"/>
        <v>0</v>
      </c>
      <c r="AT700" s="482">
        <f t="shared" ca="1" si="203"/>
        <v>0</v>
      </c>
      <c r="AU700" s="482">
        <f t="shared" ca="1" si="203"/>
        <v>0</v>
      </c>
      <c r="AV700" s="482">
        <f t="shared" ca="1" si="203"/>
        <v>0</v>
      </c>
      <c r="AW700" s="482">
        <f t="shared" ca="1" si="203"/>
        <v>0</v>
      </c>
      <c r="AX700" s="482">
        <f t="shared" ca="1" si="203"/>
        <v>0</v>
      </c>
    </row>
    <row r="701" spans="1:50" ht="15" customHeight="1" x14ac:dyDescent="0.25">
      <c r="A701" s="241"/>
      <c r="B701" s="675"/>
      <c r="C701" s="615"/>
      <c r="D701" s="64"/>
      <c r="E701" s="55"/>
      <c r="F701" s="64"/>
      <c r="G701" s="55"/>
      <c r="H701" s="55"/>
      <c r="I701" s="55"/>
      <c r="J701" s="55"/>
      <c r="K701" s="55"/>
      <c r="L701" s="55"/>
      <c r="M701" s="55"/>
      <c r="N701" s="55"/>
      <c r="O701" s="55"/>
      <c r="P701" s="55"/>
      <c r="Q701" s="55"/>
      <c r="R701" s="55"/>
      <c r="S701" s="55"/>
      <c r="T701" s="55"/>
      <c r="U701" s="55"/>
      <c r="V701" s="55"/>
      <c r="W701" s="55"/>
      <c r="X701" s="55"/>
      <c r="Y701" s="55"/>
      <c r="Z701" s="55"/>
      <c r="AA701" s="55"/>
      <c r="AB701" s="55"/>
      <c r="AC701" s="55"/>
      <c r="AD701" s="55"/>
      <c r="AE701" s="55"/>
      <c r="AF701" s="55"/>
      <c r="AG701" s="55"/>
      <c r="AH701" s="55"/>
      <c r="AI701" s="55"/>
      <c r="AJ701" s="55"/>
      <c r="AK701" s="55"/>
      <c r="AL701" s="55"/>
      <c r="AM701" s="55"/>
      <c r="AN701" s="55"/>
      <c r="AO701" s="55"/>
      <c r="AP701" s="55"/>
      <c r="AQ701" s="55"/>
      <c r="AR701" s="55"/>
      <c r="AS701" s="55"/>
      <c r="AT701" s="55"/>
      <c r="AU701" s="55"/>
      <c r="AV701" s="55"/>
      <c r="AW701" s="55"/>
      <c r="AX701" s="55"/>
    </row>
    <row r="702" spans="1:50" ht="15" customHeight="1" x14ac:dyDescent="0.25">
      <c r="B702" s="683" t="str">
        <f>Translate!$E$441</f>
        <v>Revenue reconciliation</v>
      </c>
    </row>
    <row r="703" spans="1:50" ht="15" customHeight="1" x14ac:dyDescent="0.25">
      <c r="A703" s="48"/>
      <c r="B703" s="235"/>
      <c r="C703" s="604"/>
      <c r="D703" s="217" t="str">
        <f>Translate!E529</f>
        <v>add</v>
      </c>
      <c r="E703" s="45" t="str">
        <f>E$219</f>
        <v>Oil revenues after royalty</v>
      </c>
      <c r="F703" s="45">
        <f t="shared" ref="F703:AX703" si="204">F$219</f>
        <v>0</v>
      </c>
      <c r="G703" s="45">
        <f t="shared" si="204"/>
        <v>0</v>
      </c>
      <c r="H703" s="45">
        <f t="shared" si="204"/>
        <v>0</v>
      </c>
      <c r="I703" s="45">
        <f t="shared" ca="1" si="204"/>
        <v>45734.83481473002</v>
      </c>
      <c r="J703" s="45">
        <f t="shared" si="204"/>
        <v>0</v>
      </c>
      <c r="K703" s="45">
        <f t="shared" ca="1" si="204"/>
        <v>0</v>
      </c>
      <c r="L703" s="45">
        <f t="shared" ca="1" si="204"/>
        <v>0</v>
      </c>
      <c r="M703" s="45">
        <f t="shared" ca="1" si="204"/>
        <v>0</v>
      </c>
      <c r="N703" s="45">
        <f t="shared" ca="1" si="204"/>
        <v>0</v>
      </c>
      <c r="O703" s="45">
        <f t="shared" ca="1" si="204"/>
        <v>165.96573648787856</v>
      </c>
      <c r="P703" s="45">
        <f t="shared" ca="1" si="204"/>
        <v>1329.8653274543999</v>
      </c>
      <c r="Q703" s="45">
        <f t="shared" ca="1" si="204"/>
        <v>2712.9252680069762</v>
      </c>
      <c r="R703" s="45">
        <f t="shared" ca="1" si="204"/>
        <v>2767.1837733671155</v>
      </c>
      <c r="S703" s="45">
        <f t="shared" ca="1" si="204"/>
        <v>2822.527448834458</v>
      </c>
      <c r="T703" s="45">
        <f t="shared" ca="1" si="204"/>
        <v>2878.9779978111474</v>
      </c>
      <c r="U703" s="45">
        <f t="shared" ca="1" si="204"/>
        <v>2936.5575577673703</v>
      </c>
      <c r="V703" s="45">
        <f t="shared" ca="1" si="204"/>
        <v>2995.2887089227179</v>
      </c>
      <c r="W703" s="45">
        <f t="shared" ca="1" si="204"/>
        <v>3055.1944831011724</v>
      </c>
      <c r="X703" s="45">
        <f t="shared" ca="1" si="204"/>
        <v>3116.2983727631954</v>
      </c>
      <c r="Y703" s="45">
        <f t="shared" ca="1" si="204"/>
        <v>3178.6243402184596</v>
      </c>
      <c r="Z703" s="45">
        <f t="shared" ca="1" si="204"/>
        <v>3242.196827022829</v>
      </c>
      <c r="AA703" s="45">
        <f t="shared" ca="1" si="204"/>
        <v>2678.703018486262</v>
      </c>
      <c r="AB703" s="45">
        <f t="shared" ca="1" si="204"/>
        <v>2213.14443387335</v>
      </c>
      <c r="AC703" s="45">
        <f t="shared" ca="1" si="204"/>
        <v>1828.4999312661616</v>
      </c>
      <c r="AD703" s="45">
        <f t="shared" ca="1" si="204"/>
        <v>1510.7066432121032</v>
      </c>
      <c r="AE703" s="45">
        <f t="shared" ca="1" si="204"/>
        <v>1248.1458286218397</v>
      </c>
      <c r="AF703" s="45">
        <f t="shared" ca="1" si="204"/>
        <v>1031.2180836073642</v>
      </c>
      <c r="AG703" s="45">
        <f t="shared" ca="1" si="204"/>
        <v>851.99238067640431</v>
      </c>
      <c r="AH703" s="45">
        <f t="shared" ca="1" si="204"/>
        <v>703.91610491484528</v>
      </c>
      <c r="AI703" s="45">
        <f t="shared" ca="1" si="204"/>
        <v>581.57548588064526</v>
      </c>
      <c r="AJ703" s="45">
        <f t="shared" ca="1" si="204"/>
        <v>480.49766643458906</v>
      </c>
      <c r="AK703" s="45">
        <f t="shared" ca="1" si="204"/>
        <v>396.98717200825752</v>
      </c>
      <c r="AL703" s="45">
        <f t="shared" ca="1" si="204"/>
        <v>327.99080151322232</v>
      </c>
      <c r="AM703" s="45">
        <f t="shared" ca="1" si="204"/>
        <v>270.98600021022435</v>
      </c>
      <c r="AN703" s="45">
        <f t="shared" ca="1" si="204"/>
        <v>223.88863337368736</v>
      </c>
      <c r="AO703" s="45">
        <f t="shared" ca="1" si="204"/>
        <v>184.97678889334054</v>
      </c>
      <c r="AP703" s="45">
        <f t="shared" ca="1" si="204"/>
        <v>0</v>
      </c>
      <c r="AQ703" s="45">
        <f t="shared" ca="1" si="204"/>
        <v>0</v>
      </c>
      <c r="AR703" s="45">
        <f t="shared" ca="1" si="204"/>
        <v>0</v>
      </c>
      <c r="AS703" s="45">
        <f t="shared" ca="1" si="204"/>
        <v>0</v>
      </c>
      <c r="AT703" s="45">
        <f t="shared" ca="1" si="204"/>
        <v>0</v>
      </c>
      <c r="AU703" s="45">
        <f t="shared" ca="1" si="204"/>
        <v>0</v>
      </c>
      <c r="AV703" s="45">
        <f t="shared" ca="1" si="204"/>
        <v>0</v>
      </c>
      <c r="AW703" s="45">
        <f t="shared" ca="1" si="204"/>
        <v>0</v>
      </c>
      <c r="AX703" s="45">
        <f t="shared" ca="1" si="204"/>
        <v>0</v>
      </c>
    </row>
    <row r="704" spans="1:50" ht="15" customHeight="1" x14ac:dyDescent="0.25">
      <c r="A704" s="48"/>
      <c r="B704" s="675"/>
      <c r="C704" s="615"/>
      <c r="D704" s="64" t="str">
        <f>Translate!E530</f>
        <v>less</v>
      </c>
      <c r="E704" s="48" t="str">
        <f t="shared" ref="E704:AX704" si="205" xml:space="preserve"> E$695</f>
        <v>SOC share of revenues</v>
      </c>
      <c r="F704" s="48">
        <f t="shared" si="205"/>
        <v>0</v>
      </c>
      <c r="G704" s="48" t="str">
        <f t="shared" si="205"/>
        <v>US$ mn</v>
      </c>
      <c r="H704" s="48">
        <f t="shared" si="205"/>
        <v>0</v>
      </c>
      <c r="I704" s="48">
        <f t="shared" ca="1" si="205"/>
        <v>11433.708703682507</v>
      </c>
      <c r="J704" s="48">
        <f t="shared" si="205"/>
        <v>0</v>
      </c>
      <c r="K704" s="48">
        <f t="shared" ca="1" si="205"/>
        <v>0</v>
      </c>
      <c r="L704" s="48">
        <f t="shared" ca="1" si="205"/>
        <v>0</v>
      </c>
      <c r="M704" s="48">
        <f t="shared" ca="1" si="205"/>
        <v>0</v>
      </c>
      <c r="N704" s="48">
        <f t="shared" ca="1" si="205"/>
        <v>0</v>
      </c>
      <c r="O704" s="48">
        <f t="shared" ca="1" si="205"/>
        <v>41.49143412196964</v>
      </c>
      <c r="P704" s="48">
        <f t="shared" ca="1" si="205"/>
        <v>332.46633186360003</v>
      </c>
      <c r="Q704" s="48">
        <f t="shared" ca="1" si="205"/>
        <v>678.23131700174417</v>
      </c>
      <c r="R704" s="48">
        <f t="shared" ca="1" si="205"/>
        <v>691.79594334177898</v>
      </c>
      <c r="S704" s="48">
        <f t="shared" ca="1" si="205"/>
        <v>705.63186220861462</v>
      </c>
      <c r="T704" s="48">
        <f t="shared" ca="1" si="205"/>
        <v>719.74449945278684</v>
      </c>
      <c r="U704" s="48">
        <f t="shared" ca="1" si="205"/>
        <v>734.13938944184258</v>
      </c>
      <c r="V704" s="48">
        <f t="shared" ca="1" si="205"/>
        <v>748.82217723067947</v>
      </c>
      <c r="W704" s="48">
        <f t="shared" ca="1" si="205"/>
        <v>763.7986207752931</v>
      </c>
      <c r="X704" s="48">
        <f t="shared" ca="1" si="205"/>
        <v>779.07459319079885</v>
      </c>
      <c r="Y704" s="48">
        <f t="shared" ca="1" si="205"/>
        <v>794.65608505461489</v>
      </c>
      <c r="Z704" s="48">
        <f t="shared" ca="1" si="205"/>
        <v>810.54920675570725</v>
      </c>
      <c r="AA704" s="48">
        <f t="shared" ca="1" si="205"/>
        <v>669.67575462156549</v>
      </c>
      <c r="AB704" s="48">
        <f t="shared" ca="1" si="205"/>
        <v>553.28610846833749</v>
      </c>
      <c r="AC704" s="48">
        <f t="shared" ca="1" si="205"/>
        <v>457.12498281654047</v>
      </c>
      <c r="AD704" s="48">
        <f t="shared" ca="1" si="205"/>
        <v>377.67666080302581</v>
      </c>
      <c r="AE704" s="48">
        <f t="shared" ca="1" si="205"/>
        <v>312.03645715545991</v>
      </c>
      <c r="AF704" s="48">
        <f t="shared" ca="1" si="205"/>
        <v>257.80452090184104</v>
      </c>
      <c r="AG704" s="48">
        <f t="shared" ca="1" si="205"/>
        <v>212.99809516910111</v>
      </c>
      <c r="AH704" s="48">
        <f t="shared" ca="1" si="205"/>
        <v>175.97902622871132</v>
      </c>
      <c r="AI704" s="48">
        <f t="shared" ca="1" si="205"/>
        <v>145.39387147016132</v>
      </c>
      <c r="AJ704" s="48">
        <f t="shared" ca="1" si="205"/>
        <v>120.12441660864727</v>
      </c>
      <c r="AK704" s="48">
        <f t="shared" ca="1" si="205"/>
        <v>99.246793002064393</v>
      </c>
      <c r="AL704" s="48">
        <f t="shared" ca="1" si="205"/>
        <v>81.997700378305581</v>
      </c>
      <c r="AM704" s="48">
        <f t="shared" ca="1" si="205"/>
        <v>67.746500052556087</v>
      </c>
      <c r="AN704" s="48">
        <f t="shared" ca="1" si="205"/>
        <v>55.972158343421839</v>
      </c>
      <c r="AO704" s="48">
        <f t="shared" ca="1" si="205"/>
        <v>46.244197223335135</v>
      </c>
      <c r="AP704" s="48">
        <f t="shared" ca="1" si="205"/>
        <v>0</v>
      </c>
      <c r="AQ704" s="48">
        <f t="shared" ca="1" si="205"/>
        <v>0</v>
      </c>
      <c r="AR704" s="48">
        <f t="shared" ca="1" si="205"/>
        <v>0</v>
      </c>
      <c r="AS704" s="48">
        <f t="shared" ca="1" si="205"/>
        <v>0</v>
      </c>
      <c r="AT704" s="48">
        <f t="shared" ca="1" si="205"/>
        <v>0</v>
      </c>
      <c r="AU704" s="48">
        <f t="shared" ca="1" si="205"/>
        <v>0</v>
      </c>
      <c r="AV704" s="48">
        <f t="shared" ca="1" si="205"/>
        <v>0</v>
      </c>
      <c r="AW704" s="48">
        <f t="shared" ca="1" si="205"/>
        <v>0</v>
      </c>
      <c r="AX704" s="48">
        <f t="shared" ca="1" si="205"/>
        <v>0</v>
      </c>
    </row>
    <row r="705" spans="1:50" ht="15" customHeight="1" x14ac:dyDescent="0.25">
      <c r="A705" s="48"/>
      <c r="B705" s="235"/>
      <c r="C705" s="604"/>
      <c r="D705" s="217" t="str">
        <f>Translate!E530</f>
        <v>less</v>
      </c>
      <c r="E705" s="48" t="str">
        <f t="shared" ref="E705:AX705" si="206" xml:space="preserve"> E$700</f>
        <v>IOC share of revenues</v>
      </c>
      <c r="F705" s="48">
        <f t="shared" si="206"/>
        <v>0</v>
      </c>
      <c r="G705" s="48" t="str">
        <f t="shared" si="206"/>
        <v>US$ mn</v>
      </c>
      <c r="H705" s="48">
        <f t="shared" si="206"/>
        <v>0</v>
      </c>
      <c r="I705" s="48">
        <f t="shared" ca="1" si="206"/>
        <v>45734.834814730028</v>
      </c>
      <c r="J705" s="48">
        <f t="shared" si="206"/>
        <v>0</v>
      </c>
      <c r="K705" s="48">
        <f t="shared" ca="1" si="206"/>
        <v>0</v>
      </c>
      <c r="L705" s="48">
        <f t="shared" ca="1" si="206"/>
        <v>0</v>
      </c>
      <c r="M705" s="48">
        <f t="shared" ca="1" si="206"/>
        <v>0</v>
      </c>
      <c r="N705" s="48">
        <f t="shared" ca="1" si="206"/>
        <v>0</v>
      </c>
      <c r="O705" s="48">
        <f t="shared" ca="1" si="206"/>
        <v>165.96573648787856</v>
      </c>
      <c r="P705" s="48">
        <f t="shared" ca="1" si="206"/>
        <v>1329.8653274544001</v>
      </c>
      <c r="Q705" s="48">
        <f t="shared" ca="1" si="206"/>
        <v>2712.9252680069767</v>
      </c>
      <c r="R705" s="48">
        <f t="shared" ca="1" si="206"/>
        <v>2767.1837733671159</v>
      </c>
      <c r="S705" s="48">
        <f t="shared" ca="1" si="206"/>
        <v>2822.5274488344585</v>
      </c>
      <c r="T705" s="48">
        <f t="shared" ca="1" si="206"/>
        <v>2878.9779978111474</v>
      </c>
      <c r="U705" s="48">
        <f t="shared" ca="1" si="206"/>
        <v>2936.5575577673703</v>
      </c>
      <c r="V705" s="48">
        <f t="shared" ca="1" si="206"/>
        <v>2995.2887089227179</v>
      </c>
      <c r="W705" s="48">
        <f t="shared" ca="1" si="206"/>
        <v>3055.1944831011724</v>
      </c>
      <c r="X705" s="48">
        <f t="shared" ca="1" si="206"/>
        <v>3116.2983727631954</v>
      </c>
      <c r="Y705" s="48">
        <f t="shared" ca="1" si="206"/>
        <v>3178.6243402184596</v>
      </c>
      <c r="Z705" s="48">
        <f t="shared" ca="1" si="206"/>
        <v>3242.196827022829</v>
      </c>
      <c r="AA705" s="48">
        <f t="shared" ca="1" si="206"/>
        <v>2678.703018486262</v>
      </c>
      <c r="AB705" s="48">
        <f t="shared" ca="1" si="206"/>
        <v>2213.14443387335</v>
      </c>
      <c r="AC705" s="48">
        <f t="shared" ca="1" si="206"/>
        <v>1828.4999312661619</v>
      </c>
      <c r="AD705" s="48">
        <f t="shared" ca="1" si="206"/>
        <v>1510.7066432121032</v>
      </c>
      <c r="AE705" s="48">
        <f t="shared" ca="1" si="206"/>
        <v>1248.1458286218397</v>
      </c>
      <c r="AF705" s="48">
        <f t="shared" ca="1" si="206"/>
        <v>1031.2180836073642</v>
      </c>
      <c r="AG705" s="48">
        <f t="shared" ca="1" si="206"/>
        <v>851.99238067640442</v>
      </c>
      <c r="AH705" s="48">
        <f t="shared" ca="1" si="206"/>
        <v>703.91610491484528</v>
      </c>
      <c r="AI705" s="48">
        <f t="shared" ca="1" si="206"/>
        <v>581.57548588064526</v>
      </c>
      <c r="AJ705" s="48">
        <f t="shared" ca="1" si="206"/>
        <v>480.49766643458906</v>
      </c>
      <c r="AK705" s="48">
        <f t="shared" ca="1" si="206"/>
        <v>396.98717200825757</v>
      </c>
      <c r="AL705" s="48">
        <f t="shared" ca="1" si="206"/>
        <v>327.99080151322232</v>
      </c>
      <c r="AM705" s="48">
        <f t="shared" ca="1" si="206"/>
        <v>270.98600021022435</v>
      </c>
      <c r="AN705" s="48">
        <f t="shared" ca="1" si="206"/>
        <v>223.88863337368736</v>
      </c>
      <c r="AO705" s="48">
        <f t="shared" ca="1" si="206"/>
        <v>184.97678889334054</v>
      </c>
      <c r="AP705" s="48">
        <f t="shared" ca="1" si="206"/>
        <v>0</v>
      </c>
      <c r="AQ705" s="48">
        <f t="shared" ca="1" si="206"/>
        <v>0</v>
      </c>
      <c r="AR705" s="48">
        <f t="shared" ca="1" si="206"/>
        <v>0</v>
      </c>
      <c r="AS705" s="48">
        <f t="shared" ca="1" si="206"/>
        <v>0</v>
      </c>
      <c r="AT705" s="48">
        <f t="shared" ca="1" si="206"/>
        <v>0</v>
      </c>
      <c r="AU705" s="48">
        <f t="shared" ca="1" si="206"/>
        <v>0</v>
      </c>
      <c r="AV705" s="48">
        <f t="shared" ca="1" si="206"/>
        <v>0</v>
      </c>
      <c r="AW705" s="48">
        <f t="shared" ca="1" si="206"/>
        <v>0</v>
      </c>
      <c r="AX705" s="48">
        <f t="shared" ca="1" si="206"/>
        <v>0</v>
      </c>
    </row>
    <row r="706" spans="1:50" ht="15" customHeight="1" x14ac:dyDescent="0.25">
      <c r="A706" s="48"/>
      <c r="B706" s="235"/>
      <c r="C706" s="604"/>
      <c r="D706" s="217" t="str">
        <f>Translate!E529</f>
        <v>add</v>
      </c>
      <c r="E706" s="48" t="str">
        <f t="shared" ref="E706:AX706" si="207" xml:space="preserve"> E$441</f>
        <v>T&amp;R: Royalty attributable to: SOC</v>
      </c>
      <c r="F706" s="48">
        <f t="shared" si="207"/>
        <v>0</v>
      </c>
      <c r="G706" s="48" t="str">
        <f t="shared" si="207"/>
        <v>US$ mn</v>
      </c>
      <c r="H706" s="48">
        <f t="shared" si="207"/>
        <v>0</v>
      </c>
      <c r="I706" s="48">
        <f t="shared" ca="1" si="207"/>
        <v>2286.7417407365006</v>
      </c>
      <c r="J706" s="48">
        <f t="shared" si="207"/>
        <v>0</v>
      </c>
      <c r="K706" s="48">
        <f t="shared" ca="1" si="207"/>
        <v>0</v>
      </c>
      <c r="L706" s="48">
        <f t="shared" ca="1" si="207"/>
        <v>0</v>
      </c>
      <c r="M706" s="48">
        <f t="shared" ca="1" si="207"/>
        <v>0</v>
      </c>
      <c r="N706" s="48">
        <f t="shared" ca="1" si="207"/>
        <v>0</v>
      </c>
      <c r="O706" s="48">
        <f t="shared" ca="1" si="207"/>
        <v>8.2982868243939283</v>
      </c>
      <c r="P706" s="48">
        <f t="shared" ca="1" si="207"/>
        <v>66.493266372720015</v>
      </c>
      <c r="Q706" s="48">
        <f t="shared" ca="1" si="207"/>
        <v>135.64626340034883</v>
      </c>
      <c r="R706" s="48">
        <f t="shared" ca="1" si="207"/>
        <v>138.35918866835581</v>
      </c>
      <c r="S706" s="48">
        <f t="shared" ca="1" si="207"/>
        <v>141.12637244172294</v>
      </c>
      <c r="T706" s="48">
        <f t="shared" ca="1" si="207"/>
        <v>143.94889989055739</v>
      </c>
      <c r="U706" s="48">
        <f t="shared" ca="1" si="207"/>
        <v>146.82787788836853</v>
      </c>
      <c r="V706" s="48">
        <f t="shared" ca="1" si="207"/>
        <v>149.76443544613591</v>
      </c>
      <c r="W706" s="48">
        <f t="shared" ca="1" si="207"/>
        <v>152.75972415505862</v>
      </c>
      <c r="X706" s="48">
        <f t="shared" ca="1" si="207"/>
        <v>155.81491863815978</v>
      </c>
      <c r="Y706" s="48">
        <f t="shared" ca="1" si="207"/>
        <v>158.93121701092298</v>
      </c>
      <c r="Z706" s="48">
        <f t="shared" ca="1" si="207"/>
        <v>162.10984135114145</v>
      </c>
      <c r="AA706" s="48">
        <f t="shared" ca="1" si="207"/>
        <v>133.93515092431309</v>
      </c>
      <c r="AB706" s="48">
        <f t="shared" ca="1" si="207"/>
        <v>110.65722169366751</v>
      </c>
      <c r="AC706" s="48">
        <f t="shared" ca="1" si="207"/>
        <v>91.424996563308099</v>
      </c>
      <c r="AD706" s="48">
        <f t="shared" ca="1" si="207"/>
        <v>75.535332160605165</v>
      </c>
      <c r="AE706" s="48">
        <f t="shared" ca="1" si="207"/>
        <v>62.407291431091984</v>
      </c>
      <c r="AF706" s="48">
        <f t="shared" ca="1" si="207"/>
        <v>51.560904180368212</v>
      </c>
      <c r="AG706" s="48">
        <f t="shared" ca="1" si="207"/>
        <v>42.599619033820225</v>
      </c>
      <c r="AH706" s="48">
        <f t="shared" ca="1" si="207"/>
        <v>35.195805245742264</v>
      </c>
      <c r="AI706" s="48">
        <f t="shared" ca="1" si="207"/>
        <v>29.078774294032264</v>
      </c>
      <c r="AJ706" s="48">
        <f t="shared" ca="1" si="207"/>
        <v>24.024883321729455</v>
      </c>
      <c r="AK706" s="48">
        <f t="shared" ca="1" si="207"/>
        <v>19.849358600412881</v>
      </c>
      <c r="AL706" s="48">
        <f t="shared" ca="1" si="207"/>
        <v>16.399540075661118</v>
      </c>
      <c r="AM706" s="48">
        <f t="shared" ca="1" si="207"/>
        <v>13.549300010511217</v>
      </c>
      <c r="AN706" s="48">
        <f t="shared" ca="1" si="207"/>
        <v>11.194431668684368</v>
      </c>
      <c r="AO706" s="48">
        <f t="shared" ca="1" si="207"/>
        <v>9.248839444667027</v>
      </c>
      <c r="AP706" s="48">
        <f t="shared" ca="1" si="207"/>
        <v>0</v>
      </c>
      <c r="AQ706" s="48">
        <f t="shared" ca="1" si="207"/>
        <v>0</v>
      </c>
      <c r="AR706" s="48">
        <f t="shared" ca="1" si="207"/>
        <v>0</v>
      </c>
      <c r="AS706" s="48">
        <f t="shared" ca="1" si="207"/>
        <v>0</v>
      </c>
      <c r="AT706" s="48">
        <f t="shared" ca="1" si="207"/>
        <v>0</v>
      </c>
      <c r="AU706" s="48">
        <f t="shared" ca="1" si="207"/>
        <v>0</v>
      </c>
      <c r="AV706" s="48">
        <f t="shared" ca="1" si="207"/>
        <v>0</v>
      </c>
      <c r="AW706" s="48">
        <f t="shared" ca="1" si="207"/>
        <v>0</v>
      </c>
      <c r="AX706" s="48">
        <f t="shared" ca="1" si="207"/>
        <v>0</v>
      </c>
    </row>
    <row r="707" spans="1:50" ht="15" customHeight="1" x14ac:dyDescent="0.25">
      <c r="A707" s="48"/>
      <c r="B707" s="235"/>
      <c r="C707" s="604"/>
      <c r="D707" s="217" t="str">
        <f>Translate!E529</f>
        <v>add</v>
      </c>
      <c r="E707" s="48" t="str">
        <f t="shared" ref="E707:AX707" si="208" xml:space="preserve"> E$442</f>
        <v>T&amp;R: Royalty attributable to: IOC</v>
      </c>
      <c r="F707" s="48">
        <f t="shared" si="208"/>
        <v>0</v>
      </c>
      <c r="G707" s="48" t="str">
        <f t="shared" si="208"/>
        <v>US$ mn</v>
      </c>
      <c r="H707" s="48">
        <f t="shared" si="208"/>
        <v>0</v>
      </c>
      <c r="I707" s="48">
        <f t="shared" ca="1" si="208"/>
        <v>9146.9669629460022</v>
      </c>
      <c r="J707" s="48">
        <f t="shared" si="208"/>
        <v>0</v>
      </c>
      <c r="K707" s="48">
        <f t="shared" ca="1" si="208"/>
        <v>0</v>
      </c>
      <c r="L707" s="48">
        <f t="shared" ca="1" si="208"/>
        <v>0</v>
      </c>
      <c r="M707" s="48">
        <f t="shared" ca="1" si="208"/>
        <v>0</v>
      </c>
      <c r="N707" s="48">
        <f t="shared" ca="1" si="208"/>
        <v>0</v>
      </c>
      <c r="O707" s="48">
        <f t="shared" ca="1" si="208"/>
        <v>33.193147297575713</v>
      </c>
      <c r="P707" s="48">
        <f t="shared" ca="1" si="208"/>
        <v>265.97306549088</v>
      </c>
      <c r="Q707" s="48">
        <f t="shared" ca="1" si="208"/>
        <v>542.58505360139532</v>
      </c>
      <c r="R707" s="48">
        <f t="shared" ca="1" si="208"/>
        <v>553.43675467342314</v>
      </c>
      <c r="S707" s="48">
        <f t="shared" ca="1" si="208"/>
        <v>564.50548976689174</v>
      </c>
      <c r="T707" s="48">
        <f t="shared" ca="1" si="208"/>
        <v>575.79559956222943</v>
      </c>
      <c r="U707" s="48">
        <f t="shared" ca="1" si="208"/>
        <v>587.31151155347402</v>
      </c>
      <c r="V707" s="48">
        <f t="shared" ca="1" si="208"/>
        <v>599.05774178454362</v>
      </c>
      <c r="W707" s="48">
        <f t="shared" ca="1" si="208"/>
        <v>611.03889662023448</v>
      </c>
      <c r="X707" s="48">
        <f t="shared" ca="1" si="208"/>
        <v>623.25967455263913</v>
      </c>
      <c r="Y707" s="48">
        <f t="shared" ca="1" si="208"/>
        <v>635.72486804369191</v>
      </c>
      <c r="Z707" s="48">
        <f t="shared" ca="1" si="208"/>
        <v>648.43936540456582</v>
      </c>
      <c r="AA707" s="48">
        <f t="shared" ca="1" si="208"/>
        <v>535.74060369725237</v>
      </c>
      <c r="AB707" s="48">
        <f t="shared" ca="1" si="208"/>
        <v>442.62888677466998</v>
      </c>
      <c r="AC707" s="48">
        <f t="shared" ca="1" si="208"/>
        <v>365.6999862532324</v>
      </c>
      <c r="AD707" s="48">
        <f t="shared" ca="1" si="208"/>
        <v>302.14132864242066</v>
      </c>
      <c r="AE707" s="48">
        <f t="shared" ca="1" si="208"/>
        <v>249.62916572436794</v>
      </c>
      <c r="AF707" s="48">
        <f t="shared" ca="1" si="208"/>
        <v>206.24361672147285</v>
      </c>
      <c r="AG707" s="48">
        <f t="shared" ca="1" si="208"/>
        <v>170.39847613528087</v>
      </c>
      <c r="AH707" s="48">
        <f t="shared" ca="1" si="208"/>
        <v>140.78322098296906</v>
      </c>
      <c r="AI707" s="48">
        <f t="shared" ca="1" si="208"/>
        <v>116.31509717612906</v>
      </c>
      <c r="AJ707" s="48">
        <f t="shared" ca="1" si="208"/>
        <v>96.099533286917818</v>
      </c>
      <c r="AK707" s="48">
        <f t="shared" ca="1" si="208"/>
        <v>79.397434401651509</v>
      </c>
      <c r="AL707" s="48">
        <f t="shared" ca="1" si="208"/>
        <v>65.598160302644459</v>
      </c>
      <c r="AM707" s="48">
        <f t="shared" ca="1" si="208"/>
        <v>54.197200042044869</v>
      </c>
      <c r="AN707" s="48">
        <f t="shared" ca="1" si="208"/>
        <v>44.777726674737472</v>
      </c>
      <c r="AO707" s="48">
        <f t="shared" ca="1" si="208"/>
        <v>36.995357778668108</v>
      </c>
      <c r="AP707" s="48">
        <f t="shared" ca="1" si="208"/>
        <v>0</v>
      </c>
      <c r="AQ707" s="48">
        <f t="shared" ca="1" si="208"/>
        <v>0</v>
      </c>
      <c r="AR707" s="48">
        <f t="shared" ca="1" si="208"/>
        <v>0</v>
      </c>
      <c r="AS707" s="48">
        <f t="shared" ca="1" si="208"/>
        <v>0</v>
      </c>
      <c r="AT707" s="48">
        <f t="shared" ca="1" si="208"/>
        <v>0</v>
      </c>
      <c r="AU707" s="48">
        <f t="shared" ca="1" si="208"/>
        <v>0</v>
      </c>
      <c r="AV707" s="48">
        <f t="shared" ca="1" si="208"/>
        <v>0</v>
      </c>
      <c r="AW707" s="48">
        <f t="shared" ca="1" si="208"/>
        <v>0</v>
      </c>
      <c r="AX707" s="48">
        <f t="shared" ca="1" si="208"/>
        <v>0</v>
      </c>
    </row>
    <row r="708" spans="1:50" ht="15" customHeight="1" x14ac:dyDescent="0.25">
      <c r="A708" s="48"/>
      <c r="B708" s="235"/>
      <c r="C708" s="604"/>
      <c r="D708" s="217" t="str">
        <f>Translate!E530</f>
        <v>less</v>
      </c>
      <c r="E708" s="48" t="str">
        <f t="shared" ref="E708:AX708" si="209" xml:space="preserve"> E$656</f>
        <v>PSC: Government profit oil</v>
      </c>
      <c r="F708" s="147">
        <f t="shared" si="209"/>
        <v>0</v>
      </c>
      <c r="G708" s="48" t="str">
        <f t="shared" si="209"/>
        <v>US$ mn</v>
      </c>
      <c r="H708" s="48">
        <f t="shared" si="209"/>
        <v>0</v>
      </c>
      <c r="I708" s="48">
        <f t="shared" ca="1" si="209"/>
        <v>0</v>
      </c>
      <c r="J708" s="48">
        <f t="shared" si="209"/>
        <v>0</v>
      </c>
      <c r="K708" s="48">
        <f t="shared" ca="1" si="209"/>
        <v>0</v>
      </c>
      <c r="L708" s="48">
        <f t="shared" ca="1" si="209"/>
        <v>0</v>
      </c>
      <c r="M708" s="48">
        <f t="shared" ca="1" si="209"/>
        <v>0</v>
      </c>
      <c r="N708" s="48">
        <f t="shared" ca="1" si="209"/>
        <v>0</v>
      </c>
      <c r="O708" s="48">
        <f t="shared" ca="1" si="209"/>
        <v>0</v>
      </c>
      <c r="P708" s="48">
        <f t="shared" ca="1" si="209"/>
        <v>0</v>
      </c>
      <c r="Q708" s="48">
        <f t="shared" ca="1" si="209"/>
        <v>0</v>
      </c>
      <c r="R708" s="48">
        <f t="shared" ca="1" si="209"/>
        <v>0</v>
      </c>
      <c r="S708" s="48">
        <f t="shared" ca="1" si="209"/>
        <v>0</v>
      </c>
      <c r="T708" s="48">
        <f t="shared" ca="1" si="209"/>
        <v>0</v>
      </c>
      <c r="U708" s="48">
        <f t="shared" ca="1" si="209"/>
        <v>0</v>
      </c>
      <c r="V708" s="48">
        <f t="shared" ca="1" si="209"/>
        <v>0</v>
      </c>
      <c r="W708" s="48">
        <f t="shared" ca="1" si="209"/>
        <v>0</v>
      </c>
      <c r="X708" s="48">
        <f t="shared" ca="1" si="209"/>
        <v>0</v>
      </c>
      <c r="Y708" s="48">
        <f t="shared" ca="1" si="209"/>
        <v>0</v>
      </c>
      <c r="Z708" s="48">
        <f t="shared" ca="1" si="209"/>
        <v>0</v>
      </c>
      <c r="AA708" s="48">
        <f t="shared" ca="1" si="209"/>
        <v>0</v>
      </c>
      <c r="AB708" s="48">
        <f t="shared" ca="1" si="209"/>
        <v>0</v>
      </c>
      <c r="AC708" s="48">
        <f t="shared" ca="1" si="209"/>
        <v>0</v>
      </c>
      <c r="AD708" s="48">
        <f t="shared" ca="1" si="209"/>
        <v>0</v>
      </c>
      <c r="AE708" s="48">
        <f t="shared" ca="1" si="209"/>
        <v>0</v>
      </c>
      <c r="AF708" s="48">
        <f t="shared" ca="1" si="209"/>
        <v>0</v>
      </c>
      <c r="AG708" s="48">
        <f t="shared" ca="1" si="209"/>
        <v>0</v>
      </c>
      <c r="AH708" s="48">
        <f t="shared" ca="1" si="209"/>
        <v>0</v>
      </c>
      <c r="AI708" s="48">
        <f t="shared" ca="1" si="209"/>
        <v>0</v>
      </c>
      <c r="AJ708" s="48">
        <f t="shared" ca="1" si="209"/>
        <v>0</v>
      </c>
      <c r="AK708" s="48">
        <f t="shared" ca="1" si="209"/>
        <v>0</v>
      </c>
      <c r="AL708" s="48">
        <f t="shared" ca="1" si="209"/>
        <v>0</v>
      </c>
      <c r="AM708" s="48">
        <f t="shared" ca="1" si="209"/>
        <v>0</v>
      </c>
      <c r="AN708" s="48">
        <f t="shared" ca="1" si="209"/>
        <v>0</v>
      </c>
      <c r="AO708" s="48">
        <f t="shared" ca="1" si="209"/>
        <v>0</v>
      </c>
      <c r="AP708" s="48">
        <f t="shared" ca="1" si="209"/>
        <v>0</v>
      </c>
      <c r="AQ708" s="48">
        <f t="shared" ca="1" si="209"/>
        <v>0</v>
      </c>
      <c r="AR708" s="48">
        <f t="shared" ca="1" si="209"/>
        <v>0</v>
      </c>
      <c r="AS708" s="48">
        <f t="shared" ca="1" si="209"/>
        <v>0</v>
      </c>
      <c r="AT708" s="48">
        <f t="shared" ca="1" si="209"/>
        <v>0</v>
      </c>
      <c r="AU708" s="48">
        <f t="shared" ca="1" si="209"/>
        <v>0</v>
      </c>
      <c r="AV708" s="48">
        <f t="shared" ca="1" si="209"/>
        <v>0</v>
      </c>
      <c r="AW708" s="48">
        <f t="shared" ca="1" si="209"/>
        <v>0</v>
      </c>
      <c r="AX708" s="48">
        <f t="shared" ca="1" si="209"/>
        <v>0</v>
      </c>
    </row>
    <row r="709" spans="1:50" ht="15" customHeight="1" x14ac:dyDescent="0.25">
      <c r="A709" s="48"/>
      <c r="B709" s="675"/>
      <c r="C709" s="615"/>
      <c r="D709" s="55"/>
      <c r="E709" s="190" t="str">
        <f xml:space="preserve"> Translate!E$755 &amp; " " &amp; B702</f>
        <v>Check:  Revenue reconciliation</v>
      </c>
      <c r="F709" s="157">
        <f ca="1" xml:space="preserve"> MIN( 1, SUM(K709:AX709))</f>
        <v>0</v>
      </c>
      <c r="G709" s="190" t="str">
        <f xml:space="preserve"> Translate!E$604</f>
        <v>Check</v>
      </c>
      <c r="H709" s="190"/>
      <c r="I709" s="55">
        <f ca="1" xml:space="preserve"> SUM(K709:AX709)</f>
        <v>0</v>
      </c>
      <c r="J709" s="48"/>
      <c r="K709" s="71">
        <f t="shared" ref="K709:AX709" ca="1" si="210" xml:space="preserve"> IF( ABS(K703 - K704 - K705 + K706 + K707 - K708) &gt; CHK_TOL, 1, 0)</f>
        <v>0</v>
      </c>
      <c r="L709" s="71">
        <f t="shared" ca="1" si="210"/>
        <v>0</v>
      </c>
      <c r="M709" s="71">
        <f t="shared" ca="1" si="210"/>
        <v>0</v>
      </c>
      <c r="N709" s="71">
        <f t="shared" ca="1" si="210"/>
        <v>0</v>
      </c>
      <c r="O709" s="71">
        <f t="shared" ca="1" si="210"/>
        <v>0</v>
      </c>
      <c r="P709" s="71">
        <f t="shared" ca="1" si="210"/>
        <v>0</v>
      </c>
      <c r="Q709" s="71">
        <f t="shared" ca="1" si="210"/>
        <v>0</v>
      </c>
      <c r="R709" s="71">
        <f t="shared" ca="1" si="210"/>
        <v>0</v>
      </c>
      <c r="S709" s="71">
        <f t="shared" ca="1" si="210"/>
        <v>0</v>
      </c>
      <c r="T709" s="71">
        <f t="shared" ca="1" si="210"/>
        <v>0</v>
      </c>
      <c r="U709" s="71">
        <f t="shared" ca="1" si="210"/>
        <v>0</v>
      </c>
      <c r="V709" s="71">
        <f t="shared" ca="1" si="210"/>
        <v>0</v>
      </c>
      <c r="W709" s="71">
        <f t="shared" ca="1" si="210"/>
        <v>0</v>
      </c>
      <c r="X709" s="71">
        <f t="shared" ca="1" si="210"/>
        <v>0</v>
      </c>
      <c r="Y709" s="71">
        <f t="shared" ca="1" si="210"/>
        <v>0</v>
      </c>
      <c r="Z709" s="71">
        <f t="shared" ca="1" si="210"/>
        <v>0</v>
      </c>
      <c r="AA709" s="71">
        <f t="shared" ca="1" si="210"/>
        <v>0</v>
      </c>
      <c r="AB709" s="71">
        <f t="shared" ca="1" si="210"/>
        <v>0</v>
      </c>
      <c r="AC709" s="71">
        <f t="shared" ca="1" si="210"/>
        <v>0</v>
      </c>
      <c r="AD709" s="71">
        <f t="shared" ca="1" si="210"/>
        <v>0</v>
      </c>
      <c r="AE709" s="71">
        <f t="shared" ca="1" si="210"/>
        <v>0</v>
      </c>
      <c r="AF709" s="71">
        <f t="shared" ca="1" si="210"/>
        <v>0</v>
      </c>
      <c r="AG709" s="71">
        <f t="shared" ca="1" si="210"/>
        <v>0</v>
      </c>
      <c r="AH709" s="71">
        <f t="shared" ca="1" si="210"/>
        <v>0</v>
      </c>
      <c r="AI709" s="71">
        <f t="shared" ca="1" si="210"/>
        <v>0</v>
      </c>
      <c r="AJ709" s="71">
        <f t="shared" ca="1" si="210"/>
        <v>0</v>
      </c>
      <c r="AK709" s="71">
        <f t="shared" ca="1" si="210"/>
        <v>0</v>
      </c>
      <c r="AL709" s="71">
        <f t="shared" ca="1" si="210"/>
        <v>0</v>
      </c>
      <c r="AM709" s="71">
        <f t="shared" ca="1" si="210"/>
        <v>0</v>
      </c>
      <c r="AN709" s="71">
        <f t="shared" ca="1" si="210"/>
        <v>0</v>
      </c>
      <c r="AO709" s="71">
        <f t="shared" ca="1" si="210"/>
        <v>0</v>
      </c>
      <c r="AP709" s="71">
        <f t="shared" ca="1" si="210"/>
        <v>0</v>
      </c>
      <c r="AQ709" s="71">
        <f t="shared" ca="1" si="210"/>
        <v>0</v>
      </c>
      <c r="AR709" s="71">
        <f t="shared" ca="1" si="210"/>
        <v>0</v>
      </c>
      <c r="AS709" s="71">
        <f t="shared" ca="1" si="210"/>
        <v>0</v>
      </c>
      <c r="AT709" s="71">
        <f t="shared" ca="1" si="210"/>
        <v>0</v>
      </c>
      <c r="AU709" s="71">
        <f t="shared" ca="1" si="210"/>
        <v>0</v>
      </c>
      <c r="AV709" s="71">
        <f t="shared" ca="1" si="210"/>
        <v>0</v>
      </c>
      <c r="AW709" s="71">
        <f t="shared" ca="1" si="210"/>
        <v>0</v>
      </c>
      <c r="AX709" s="71">
        <f t="shared" ca="1" si="210"/>
        <v>0</v>
      </c>
    </row>
    <row r="712" spans="1:50" ht="15" customHeight="1" x14ac:dyDescent="0.25">
      <c r="A712" s="202" t="str">
        <f>Translate!$E$475</f>
        <v>JV sharing of project costs</v>
      </c>
      <c r="B712" s="781"/>
      <c r="C712" s="610"/>
      <c r="D712" s="204"/>
      <c r="E712" s="202"/>
      <c r="F712" s="204"/>
      <c r="G712" s="202"/>
      <c r="H712" s="202"/>
      <c r="I712" s="202"/>
      <c r="J712" s="202"/>
      <c r="K712" s="202"/>
      <c r="L712" s="202"/>
      <c r="M712" s="202"/>
      <c r="N712" s="202"/>
      <c r="O712" s="202"/>
      <c r="P712" s="202"/>
      <c r="Q712" s="202"/>
      <c r="R712" s="202"/>
      <c r="S712" s="202"/>
      <c r="T712" s="202"/>
      <c r="U712" s="202"/>
      <c r="V712" s="202"/>
      <c r="W712" s="202"/>
      <c r="X712" s="202"/>
      <c r="Y712" s="202"/>
      <c r="Z712" s="202"/>
      <c r="AA712" s="202"/>
      <c r="AB712" s="202"/>
      <c r="AC712" s="202"/>
      <c r="AD712" s="202"/>
      <c r="AE712" s="202"/>
      <c r="AF712" s="202"/>
      <c r="AG712" s="202"/>
      <c r="AH712" s="202"/>
      <c r="AI712" s="202"/>
      <c r="AJ712" s="202"/>
      <c r="AK712" s="202"/>
      <c r="AL712" s="202"/>
      <c r="AM712" s="202"/>
      <c r="AN712" s="202"/>
      <c r="AO712" s="202"/>
      <c r="AP712" s="202"/>
      <c r="AQ712" s="202"/>
      <c r="AR712" s="202"/>
      <c r="AS712" s="202"/>
      <c r="AT712" s="202"/>
      <c r="AU712" s="202"/>
      <c r="AV712" s="202"/>
      <c r="AW712" s="202"/>
      <c r="AX712" s="202"/>
    </row>
    <row r="713" spans="1:50" ht="15" customHeight="1" x14ac:dyDescent="0.25">
      <c r="A713" s="86"/>
      <c r="B713" s="235"/>
      <c r="C713" s="604"/>
      <c r="D713" s="162"/>
      <c r="E713" s="52"/>
      <c r="F713" s="151"/>
      <c r="G713" s="52"/>
      <c r="H713" s="52"/>
      <c r="I713" s="89"/>
      <c r="J713" s="56"/>
      <c r="K713" s="56"/>
      <c r="L713" s="56"/>
      <c r="M713" s="56"/>
      <c r="N713" s="56"/>
      <c r="O713" s="56"/>
      <c r="P713" s="56"/>
      <c r="Q713" s="56"/>
      <c r="R713" s="56"/>
      <c r="S713" s="56"/>
      <c r="T713" s="56"/>
      <c r="U713" s="56"/>
      <c r="V713" s="56"/>
      <c r="W713" s="56"/>
      <c r="X713" s="56"/>
      <c r="Y713" s="56"/>
      <c r="Z713" s="56"/>
      <c r="AA713" s="56"/>
      <c r="AB713" s="56"/>
      <c r="AC713" s="56"/>
      <c r="AD713" s="56"/>
      <c r="AE713" s="56"/>
      <c r="AF713" s="56"/>
      <c r="AG713" s="56"/>
      <c r="AH713" s="56"/>
      <c r="AI713" s="56"/>
      <c r="AJ713" s="56"/>
      <c r="AK713" s="56"/>
      <c r="AL713" s="56"/>
      <c r="AM713" s="56"/>
      <c r="AN713" s="56"/>
      <c r="AO713" s="56"/>
      <c r="AP713" s="56"/>
      <c r="AQ713" s="56"/>
      <c r="AR713" s="56"/>
      <c r="AS713" s="56"/>
      <c r="AT713" s="56"/>
      <c r="AU713" s="56"/>
      <c r="AV713" s="56"/>
      <c r="AW713" s="56"/>
      <c r="AX713" s="56"/>
    </row>
    <row r="714" spans="1:50" ht="15" customHeight="1" x14ac:dyDescent="0.25">
      <c r="A714" s="86"/>
      <c r="B714" s="235"/>
      <c r="C714" s="604"/>
      <c r="D714" s="162"/>
      <c r="E714" s="400" t="str">
        <f xml:space="preserve"> FiscalModel!E$77</f>
        <v>State participation</v>
      </c>
      <c r="F714" s="534">
        <f xml:space="preserve"> FiscalModel!F$77</f>
        <v>0.2</v>
      </c>
      <c r="G714" s="400" t="str">
        <f xml:space="preserve"> FiscalModel!G$77</f>
        <v>%</v>
      </c>
      <c r="H714" s="177"/>
      <c r="I714" s="89"/>
      <c r="J714" s="56"/>
      <c r="L714" s="177"/>
      <c r="M714" s="177"/>
      <c r="N714" s="177"/>
      <c r="O714" s="177"/>
      <c r="P714" s="177"/>
      <c r="Q714" s="177"/>
      <c r="R714" s="177"/>
      <c r="S714" s="177"/>
      <c r="T714" s="177"/>
      <c r="U714" s="177"/>
      <c r="V714" s="177"/>
      <c r="W714" s="177"/>
      <c r="X714" s="177"/>
      <c r="Y714" s="177"/>
      <c r="Z714" s="177"/>
      <c r="AA714" s="177"/>
      <c r="AB714" s="177"/>
      <c r="AC714" s="177"/>
      <c r="AD714" s="177"/>
      <c r="AE714" s="177"/>
      <c r="AF714" s="177"/>
      <c r="AG714" s="177"/>
      <c r="AH714" s="177"/>
      <c r="AI714" s="177"/>
      <c r="AJ714" s="177"/>
      <c r="AK714" s="177"/>
      <c r="AL714" s="177"/>
      <c r="AM714" s="177"/>
      <c r="AN714" s="177"/>
      <c r="AO714" s="177"/>
      <c r="AP714" s="177"/>
      <c r="AQ714" s="177"/>
      <c r="AR714" s="177"/>
      <c r="AS714" s="177"/>
      <c r="AT714" s="177"/>
      <c r="AU714" s="177"/>
      <c r="AV714" s="177"/>
      <c r="AW714" s="177"/>
      <c r="AX714" s="177"/>
    </row>
    <row r="715" spans="1:50" ht="15" customHeight="1" x14ac:dyDescent="0.25">
      <c r="A715" s="86"/>
      <c r="B715" s="235"/>
      <c r="C715" s="604"/>
      <c r="D715" s="162"/>
      <c r="E715" s="490" t="str">
        <f xml:space="preserve"> FiscalModel!E$78</f>
        <v>SOC in PSC shares profit oil only</v>
      </c>
      <c r="F715" s="408">
        <f xml:space="preserve"> FiscalModel!F$78</f>
        <v>0</v>
      </c>
      <c r="G715" s="490" t="str">
        <f xml:space="preserve"> FiscalModel!G$78</f>
        <v>Option</v>
      </c>
      <c r="H715" s="177"/>
      <c r="I715" s="89"/>
      <c r="J715" s="56"/>
      <c r="L715" s="177"/>
      <c r="M715" s="177"/>
      <c r="N715" s="177"/>
      <c r="O715" s="177"/>
      <c r="P715" s="177"/>
      <c r="Q715" s="177"/>
      <c r="R715" s="177"/>
      <c r="S715" s="177"/>
      <c r="T715" s="177"/>
      <c r="U715" s="177"/>
      <c r="V715" s="177"/>
      <c r="W715" s="177"/>
      <c r="X715" s="177"/>
      <c r="Y715" s="177"/>
      <c r="Z715" s="177"/>
      <c r="AA715" s="177"/>
      <c r="AB715" s="177"/>
      <c r="AC715" s="177"/>
      <c r="AD715" s="177"/>
      <c r="AE715" s="177"/>
      <c r="AF715" s="177"/>
      <c r="AG715" s="177"/>
      <c r="AH715" s="177"/>
      <c r="AI715" s="177"/>
      <c r="AJ715" s="177"/>
      <c r="AK715" s="177"/>
      <c r="AL715" s="177"/>
      <c r="AM715" s="177"/>
      <c r="AN715" s="177"/>
      <c r="AO715" s="177"/>
      <c r="AP715" s="177"/>
      <c r="AQ715" s="177"/>
      <c r="AR715" s="177"/>
      <c r="AS715" s="177"/>
      <c r="AT715" s="177"/>
      <c r="AU715" s="177"/>
      <c r="AV715" s="177"/>
      <c r="AW715" s="177"/>
      <c r="AX715" s="177"/>
    </row>
    <row r="716" spans="1:50" ht="15" customHeight="1" x14ac:dyDescent="0.25">
      <c r="A716" s="86"/>
      <c r="B716" s="235"/>
      <c r="C716" s="604"/>
      <c r="D716" s="162"/>
      <c r="E716" s="400" t="str">
        <f xml:space="preserve"> FiscalModel!E$79</f>
        <v>SOC meets exploration costs</v>
      </c>
      <c r="F716" s="399" t="str">
        <f xml:space="preserve"> FiscalModel!F$79</f>
        <v>no</v>
      </c>
      <c r="G716" s="400" t="str">
        <f xml:space="preserve"> FiscalModel!G$79</f>
        <v>Option</v>
      </c>
      <c r="H716" s="52"/>
      <c r="I716" s="89"/>
      <c r="J716" s="56"/>
      <c r="K716" s="56"/>
      <c r="L716" s="56"/>
      <c r="M716" s="56"/>
      <c r="N716" s="56"/>
      <c r="O716" s="56"/>
      <c r="P716" s="56"/>
      <c r="Q716" s="56"/>
      <c r="R716" s="56"/>
      <c r="S716" s="56"/>
      <c r="T716" s="56"/>
      <c r="U716" s="56"/>
      <c r="V716" s="56"/>
      <c r="W716" s="56"/>
      <c r="X716" s="56"/>
      <c r="Y716" s="56"/>
      <c r="Z716" s="56"/>
      <c r="AA716" s="56"/>
      <c r="AB716" s="56"/>
      <c r="AC716" s="56"/>
      <c r="AD716" s="56"/>
      <c r="AE716" s="56"/>
      <c r="AF716" s="56"/>
      <c r="AG716" s="56"/>
      <c r="AH716" s="56"/>
      <c r="AI716" s="56"/>
      <c r="AJ716" s="56"/>
      <c r="AK716" s="56"/>
      <c r="AL716" s="56"/>
      <c r="AM716" s="56"/>
      <c r="AN716" s="56"/>
      <c r="AO716" s="56"/>
      <c r="AP716" s="56"/>
      <c r="AQ716" s="56"/>
      <c r="AR716" s="56"/>
      <c r="AS716" s="56"/>
      <c r="AT716" s="56"/>
      <c r="AU716" s="56"/>
      <c r="AV716" s="56"/>
      <c r="AW716" s="56"/>
      <c r="AX716" s="56"/>
    </row>
    <row r="717" spans="1:50" s="59" customFormat="1" ht="15" customHeight="1" x14ac:dyDescent="0.25">
      <c r="A717" s="251"/>
      <c r="B717" s="456"/>
      <c r="C717" s="252"/>
      <c r="D717" s="61"/>
      <c r="E717" s="402" t="str">
        <f xml:space="preserve"> FiscalModel!E$80</f>
        <v>SOC meets development costs</v>
      </c>
      <c r="F717" s="402" t="str">
        <f xml:space="preserve"> FiscalModel!F$80</f>
        <v>yes</v>
      </c>
      <c r="G717" s="402" t="str">
        <f xml:space="preserve"> FiscalModel!G$80</f>
        <v>Option</v>
      </c>
      <c r="H717" s="249"/>
      <c r="I717" s="61"/>
      <c r="J717" s="249"/>
      <c r="K717" s="249"/>
      <c r="L717" s="249"/>
      <c r="M717" s="249"/>
      <c r="N717" s="249"/>
      <c r="O717" s="249"/>
      <c r="P717" s="249"/>
      <c r="Q717" s="249"/>
      <c r="R717" s="249"/>
      <c r="S717" s="249"/>
      <c r="T717" s="249"/>
      <c r="U717" s="249"/>
      <c r="V717" s="249"/>
      <c r="W717" s="249"/>
      <c r="X717" s="249"/>
      <c r="Y717" s="249"/>
      <c r="Z717" s="249"/>
      <c r="AA717" s="249"/>
      <c r="AB717" s="249"/>
      <c r="AC717" s="249"/>
      <c r="AD717" s="249"/>
      <c r="AE717" s="249"/>
      <c r="AF717" s="249"/>
      <c r="AG717" s="249"/>
      <c r="AH717" s="249"/>
      <c r="AI717" s="249"/>
      <c r="AJ717" s="249"/>
      <c r="AK717" s="249"/>
      <c r="AL717" s="249"/>
      <c r="AM717" s="249"/>
      <c r="AN717" s="249"/>
      <c r="AO717" s="249"/>
      <c r="AP717" s="249"/>
      <c r="AQ717" s="249"/>
      <c r="AR717" s="249"/>
      <c r="AS717" s="249"/>
      <c r="AT717" s="249"/>
      <c r="AU717" s="249"/>
      <c r="AV717" s="249"/>
      <c r="AW717" s="249"/>
      <c r="AX717" s="249"/>
    </row>
    <row r="718" spans="1:50" ht="15" customHeight="1" x14ac:dyDescent="0.25">
      <c r="B718" s="675"/>
      <c r="C718" s="615"/>
      <c r="D718" s="48"/>
      <c r="E718" s="222" t="str">
        <f>Inputs!E$87</f>
        <v>Label: yes</v>
      </c>
      <c r="F718" s="533" t="str">
        <f>Inputs!F$87</f>
        <v>yes</v>
      </c>
      <c r="G718" s="222" t="str">
        <f>Inputs!G$87</f>
        <v>Label</v>
      </c>
      <c r="H718" s="48"/>
      <c r="I718" s="48"/>
    </row>
    <row r="719" spans="1:50" ht="15" customHeight="1" x14ac:dyDescent="0.25">
      <c r="B719" s="675"/>
      <c r="C719" s="615"/>
      <c r="D719" s="48"/>
      <c r="E719" s="222" t="str">
        <f>Inputs!E$88</f>
        <v>Label: no</v>
      </c>
      <c r="F719" s="533" t="str">
        <f>Inputs!F$88</f>
        <v>no</v>
      </c>
      <c r="G719" s="222" t="str">
        <f>Inputs!G$88</f>
        <v>Label</v>
      </c>
      <c r="H719" s="48"/>
      <c r="I719" s="48"/>
    </row>
    <row r="720" spans="1:50" ht="15" customHeight="1" x14ac:dyDescent="0.25">
      <c r="A720" s="86"/>
      <c r="B720" s="235"/>
      <c r="C720" s="604"/>
      <c r="D720" s="162"/>
      <c r="E720" s="52"/>
      <c r="F720" s="151"/>
      <c r="G720" s="52"/>
      <c r="H720" s="52"/>
      <c r="I720" s="89"/>
      <c r="J720" s="56"/>
      <c r="K720" s="56"/>
      <c r="L720" s="56"/>
      <c r="M720" s="56"/>
      <c r="N720" s="56"/>
      <c r="O720" s="56"/>
      <c r="P720" s="56"/>
      <c r="Q720" s="56"/>
      <c r="R720" s="56"/>
      <c r="S720" s="56"/>
      <c r="T720" s="56"/>
      <c r="U720" s="56"/>
      <c r="V720" s="56"/>
      <c r="W720" s="56"/>
      <c r="X720" s="56"/>
      <c r="Y720" s="56"/>
      <c r="Z720" s="56"/>
      <c r="AA720" s="56"/>
      <c r="AB720" s="56"/>
      <c r="AC720" s="56"/>
      <c r="AD720" s="56"/>
      <c r="AE720" s="56"/>
      <c r="AF720" s="56"/>
      <c r="AG720" s="56"/>
      <c r="AH720" s="56"/>
      <c r="AI720" s="56"/>
      <c r="AJ720" s="56"/>
      <c r="AK720" s="56"/>
      <c r="AL720" s="56"/>
      <c r="AM720" s="56"/>
      <c r="AN720" s="56"/>
      <c r="AO720" s="56"/>
      <c r="AP720" s="56"/>
      <c r="AQ720" s="56"/>
      <c r="AR720" s="56"/>
      <c r="AS720" s="56"/>
      <c r="AT720" s="56"/>
      <c r="AU720" s="56"/>
      <c r="AV720" s="56"/>
      <c r="AW720" s="56"/>
      <c r="AX720" s="56"/>
    </row>
    <row r="721" spans="1:50" ht="15" customHeight="1" x14ac:dyDescent="0.25">
      <c r="A721" s="86"/>
      <c r="B721" s="235" t="str">
        <f>Translate!$E$442</f>
        <v>Project costs to be shared</v>
      </c>
      <c r="C721" s="604"/>
      <c r="D721" s="162"/>
      <c r="E721" s="52"/>
      <c r="F721" s="151"/>
      <c r="G721" s="52"/>
      <c r="H721" s="52"/>
      <c r="I721" s="89"/>
      <c r="J721" s="56"/>
      <c r="K721" s="56"/>
      <c r="L721" s="56"/>
      <c r="M721" s="56"/>
      <c r="N721" s="56"/>
      <c r="O721" s="56"/>
      <c r="P721" s="56"/>
      <c r="Q721" s="56"/>
      <c r="R721" s="56"/>
      <c r="S721" s="56"/>
      <c r="T721" s="56"/>
      <c r="U721" s="56"/>
      <c r="V721" s="56"/>
      <c r="W721" s="56"/>
      <c r="X721" s="56"/>
      <c r="Y721" s="56"/>
      <c r="Z721" s="56"/>
      <c r="AA721" s="56"/>
      <c r="AB721" s="56"/>
      <c r="AC721" s="56"/>
      <c r="AD721" s="56"/>
      <c r="AE721" s="56"/>
      <c r="AF721" s="56"/>
      <c r="AG721" s="56"/>
      <c r="AH721" s="56"/>
      <c r="AI721" s="56"/>
      <c r="AJ721" s="56"/>
      <c r="AK721" s="56"/>
      <c r="AL721" s="56"/>
      <c r="AM721" s="56"/>
      <c r="AN721" s="56"/>
      <c r="AO721" s="56"/>
      <c r="AP721" s="56"/>
      <c r="AQ721" s="56"/>
      <c r="AR721" s="56"/>
      <c r="AS721" s="56"/>
      <c r="AT721" s="56"/>
      <c r="AU721" s="56"/>
      <c r="AV721" s="56"/>
      <c r="AW721" s="56"/>
      <c r="AX721" s="56"/>
    </row>
    <row r="722" spans="1:50" s="40" customFormat="1" ht="15" customHeight="1" x14ac:dyDescent="0.25">
      <c r="A722" s="139"/>
      <c r="B722" s="235"/>
      <c r="C722" s="613"/>
      <c r="D722" s="354"/>
      <c r="E722" s="140" t="str">
        <f xml:space="preserve"> ProjectCashflows!E$238</f>
        <v>Exploration costs, after ELT</v>
      </c>
      <c r="F722" s="140">
        <f xml:space="preserve"> ProjectCashflows!F$238</f>
        <v>0</v>
      </c>
      <c r="G722" s="140" t="str">
        <f xml:space="preserve"> ProjectCashflows!G$238</f>
        <v>US$ mn</v>
      </c>
      <c r="H722" s="140">
        <f xml:space="preserve"> ProjectCashflows!H$238</f>
        <v>0</v>
      </c>
      <c r="I722" s="140">
        <f ca="1" xml:space="preserve"> ProjectCashflows!I$238</f>
        <v>420</v>
      </c>
      <c r="J722" s="140">
        <f xml:space="preserve"> ProjectCashflows!J$238</f>
        <v>0</v>
      </c>
      <c r="K722" s="140">
        <f ca="1" xml:space="preserve"> ProjectCashflows!K$238</f>
        <v>420</v>
      </c>
      <c r="L722" s="140">
        <f ca="1" xml:space="preserve"> ProjectCashflows!L$238</f>
        <v>0</v>
      </c>
      <c r="M722" s="140">
        <f ca="1" xml:space="preserve"> ProjectCashflows!M$238</f>
        <v>0</v>
      </c>
      <c r="N722" s="140">
        <f ca="1" xml:space="preserve"> ProjectCashflows!N$238</f>
        <v>0</v>
      </c>
      <c r="O722" s="140">
        <f ca="1" xml:space="preserve"> ProjectCashflows!O$238</f>
        <v>0</v>
      </c>
      <c r="P722" s="140">
        <f ca="1" xml:space="preserve"> ProjectCashflows!P$238</f>
        <v>0</v>
      </c>
      <c r="Q722" s="140">
        <f ca="1" xml:space="preserve"> ProjectCashflows!Q$238</f>
        <v>0</v>
      </c>
      <c r="R722" s="140">
        <f ca="1" xml:space="preserve"> ProjectCashflows!R$238</f>
        <v>0</v>
      </c>
      <c r="S722" s="140">
        <f ca="1" xml:space="preserve"> ProjectCashflows!S$238</f>
        <v>0</v>
      </c>
      <c r="T722" s="140">
        <f ca="1" xml:space="preserve"> ProjectCashflows!T$238</f>
        <v>0</v>
      </c>
      <c r="U722" s="140">
        <f ca="1" xml:space="preserve"> ProjectCashflows!U$238</f>
        <v>0</v>
      </c>
      <c r="V722" s="140">
        <f ca="1" xml:space="preserve"> ProjectCashflows!V$238</f>
        <v>0</v>
      </c>
      <c r="W722" s="140">
        <f ca="1" xml:space="preserve"> ProjectCashflows!W$238</f>
        <v>0</v>
      </c>
      <c r="X722" s="140">
        <f ca="1" xml:space="preserve"> ProjectCashflows!X$238</f>
        <v>0</v>
      </c>
      <c r="Y722" s="140">
        <f ca="1" xml:space="preserve"> ProjectCashflows!Y$238</f>
        <v>0</v>
      </c>
      <c r="Z722" s="140">
        <f ca="1" xml:space="preserve"> ProjectCashflows!Z$238</f>
        <v>0</v>
      </c>
      <c r="AA722" s="140">
        <f ca="1" xml:space="preserve"> ProjectCashflows!AA$238</f>
        <v>0</v>
      </c>
      <c r="AB722" s="140">
        <f ca="1" xml:space="preserve"> ProjectCashflows!AB$238</f>
        <v>0</v>
      </c>
      <c r="AC722" s="140">
        <f ca="1" xml:space="preserve"> ProjectCashflows!AC$238</f>
        <v>0</v>
      </c>
      <c r="AD722" s="140">
        <f ca="1" xml:space="preserve"> ProjectCashflows!AD$238</f>
        <v>0</v>
      </c>
      <c r="AE722" s="140">
        <f ca="1" xml:space="preserve"> ProjectCashflows!AE$238</f>
        <v>0</v>
      </c>
      <c r="AF722" s="140">
        <f ca="1" xml:space="preserve"> ProjectCashflows!AF$238</f>
        <v>0</v>
      </c>
      <c r="AG722" s="140">
        <f ca="1" xml:space="preserve"> ProjectCashflows!AG$238</f>
        <v>0</v>
      </c>
      <c r="AH722" s="140">
        <f ca="1" xml:space="preserve"> ProjectCashflows!AH$238</f>
        <v>0</v>
      </c>
      <c r="AI722" s="140">
        <f ca="1" xml:space="preserve"> ProjectCashflows!AI$238</f>
        <v>0</v>
      </c>
      <c r="AJ722" s="140">
        <f ca="1" xml:space="preserve"> ProjectCashflows!AJ$238</f>
        <v>0</v>
      </c>
      <c r="AK722" s="140">
        <f ca="1" xml:space="preserve"> ProjectCashflows!AK$238</f>
        <v>0</v>
      </c>
      <c r="AL722" s="140">
        <f ca="1" xml:space="preserve"> ProjectCashflows!AL$238</f>
        <v>0</v>
      </c>
      <c r="AM722" s="140">
        <f ca="1" xml:space="preserve"> ProjectCashflows!AM$238</f>
        <v>0</v>
      </c>
      <c r="AN722" s="140">
        <f ca="1" xml:space="preserve"> ProjectCashflows!AN$238</f>
        <v>0</v>
      </c>
      <c r="AO722" s="140">
        <f ca="1" xml:space="preserve"> ProjectCashflows!AO$238</f>
        <v>0</v>
      </c>
      <c r="AP722" s="140">
        <f ca="1" xml:space="preserve"> ProjectCashflows!AP$238</f>
        <v>0</v>
      </c>
      <c r="AQ722" s="140">
        <f ca="1" xml:space="preserve"> ProjectCashflows!AQ$238</f>
        <v>0</v>
      </c>
      <c r="AR722" s="140">
        <f ca="1" xml:space="preserve"> ProjectCashflows!AR$238</f>
        <v>0</v>
      </c>
      <c r="AS722" s="140">
        <f ca="1" xml:space="preserve"> ProjectCashflows!AS$238</f>
        <v>0</v>
      </c>
      <c r="AT722" s="140">
        <f ca="1" xml:space="preserve"> ProjectCashflows!AT$238</f>
        <v>0</v>
      </c>
      <c r="AU722" s="140">
        <f ca="1" xml:space="preserve"> ProjectCashflows!AU$238</f>
        <v>0</v>
      </c>
      <c r="AV722" s="140">
        <f ca="1" xml:space="preserve"> ProjectCashflows!AV$238</f>
        <v>0</v>
      </c>
      <c r="AW722" s="140">
        <f ca="1" xml:space="preserve"> ProjectCashflows!AW$238</f>
        <v>0</v>
      </c>
      <c r="AX722" s="140">
        <f ca="1" xml:space="preserve"> ProjectCashflows!AX$238</f>
        <v>0</v>
      </c>
    </row>
    <row r="723" spans="1:50" s="40" customFormat="1" ht="15" customHeight="1" x14ac:dyDescent="0.25">
      <c r="A723" s="139"/>
      <c r="B723" s="235"/>
      <c r="C723" s="613"/>
      <c r="D723" s="354"/>
      <c r="E723" s="140" t="str">
        <f xml:space="preserve"> ProjectCashflows!E$239</f>
        <v>Development costs, after ELT</v>
      </c>
      <c r="F723" s="140">
        <f xml:space="preserve"> ProjectCashflows!F$239</f>
        <v>0</v>
      </c>
      <c r="G723" s="140" t="str">
        <f xml:space="preserve"> ProjectCashflows!G$239</f>
        <v>US$ mn</v>
      </c>
      <c r="H723" s="140">
        <f xml:space="preserve"> ProjectCashflows!H$239</f>
        <v>0</v>
      </c>
      <c r="I723" s="140">
        <f ca="1" xml:space="preserve"> ProjectCashflows!I$239</f>
        <v>10455.572281430788</v>
      </c>
      <c r="J723" s="140">
        <f xml:space="preserve"> ProjectCashflows!J$239</f>
        <v>0</v>
      </c>
      <c r="K723" s="140">
        <f ca="1" xml:space="preserve"> ProjectCashflows!K$239</f>
        <v>0</v>
      </c>
      <c r="L723" s="140">
        <f ca="1" xml:space="preserve"> ProjectCashflows!L$239</f>
        <v>51</v>
      </c>
      <c r="M723" s="140">
        <f ca="1" xml:space="preserve"> ProjectCashflows!M$239</f>
        <v>312.12</v>
      </c>
      <c r="N723" s="140">
        <f ca="1" xml:space="preserve"> ProjectCashflows!N$239</f>
        <v>1273.4495999999999</v>
      </c>
      <c r="O723" s="140">
        <f ca="1" xml:space="preserve"> ProjectCashflows!O$239</f>
        <v>1298.918592</v>
      </c>
      <c r="P723" s="140">
        <f ca="1" xml:space="preserve"> ProjectCashflows!P$239</f>
        <v>2318.5696867199999</v>
      </c>
      <c r="Q723" s="140">
        <f ca="1" xml:space="preserve"> ProjectCashflows!Q$239</f>
        <v>1238.7786611904</v>
      </c>
      <c r="R723" s="140">
        <f ca="1" xml:space="preserve"> ProjectCashflows!R$239</f>
        <v>516.90855044217597</v>
      </c>
      <c r="S723" s="140">
        <f ca="1" xml:space="preserve"> ProjectCashflows!S$239</f>
        <v>292.91484525056643</v>
      </c>
      <c r="T723" s="140">
        <f ca="1" xml:space="preserve"> ProjectCashflows!T$239</f>
        <v>298.77314215557777</v>
      </c>
      <c r="U723" s="140">
        <f ca="1" xml:space="preserve"> ProjectCashflows!U$239</f>
        <v>304.74860499868936</v>
      </c>
      <c r="V723" s="140">
        <f ca="1" xml:space="preserve"> ProjectCashflows!V$239</f>
        <v>310.8435770986631</v>
      </c>
      <c r="W723" s="140">
        <f ca="1" xml:space="preserve"> ProjectCashflows!W$239</f>
        <v>317.06044864063637</v>
      </c>
      <c r="X723" s="140">
        <f ca="1" xml:space="preserve"> ProjectCashflows!X$239</f>
        <v>323.40165761344906</v>
      </c>
      <c r="Y723" s="140">
        <f ca="1" xml:space="preserve"> ProjectCashflows!Y$239</f>
        <v>329.86969076571808</v>
      </c>
      <c r="Z723" s="140">
        <f ca="1" xml:space="preserve"> ProjectCashflows!Z$239</f>
        <v>336.46708458103245</v>
      </c>
      <c r="AA723" s="140">
        <f ca="1" xml:space="preserve"> ProjectCashflows!AA$239</f>
        <v>343.19642627265313</v>
      </c>
      <c r="AB723" s="140">
        <f ca="1" xml:space="preserve"> ProjectCashflows!AB$239</f>
        <v>0</v>
      </c>
      <c r="AC723" s="140">
        <f ca="1" xml:space="preserve"> ProjectCashflows!AC$239</f>
        <v>0</v>
      </c>
      <c r="AD723" s="140">
        <f ca="1" xml:space="preserve"> ProjectCashflows!AD$239</f>
        <v>291.36223450555974</v>
      </c>
      <c r="AE723" s="140">
        <f ca="1" xml:space="preserve"> ProjectCashflows!AE$239</f>
        <v>297.18947919567097</v>
      </c>
      <c r="AF723" s="140">
        <f ca="1" xml:space="preserve"> ProjectCashflows!AF$239</f>
        <v>0</v>
      </c>
      <c r="AG723" s="140">
        <f ca="1" xml:space="preserve"> ProjectCashflows!AG$239</f>
        <v>0</v>
      </c>
      <c r="AH723" s="140">
        <f ca="1" xml:space="preserve"> ProjectCashflows!AH$239</f>
        <v>0</v>
      </c>
      <c r="AI723" s="140">
        <f ca="1" xml:space="preserve"> ProjectCashflows!AI$239</f>
        <v>0</v>
      </c>
      <c r="AJ723" s="140">
        <f ca="1" xml:space="preserve"> ProjectCashflows!AJ$239</f>
        <v>0</v>
      </c>
      <c r="AK723" s="140">
        <f ca="1" xml:space="preserve"> ProjectCashflows!AK$239</f>
        <v>0</v>
      </c>
      <c r="AL723" s="140">
        <f ca="1" xml:space="preserve"> ProjectCashflows!AL$239</f>
        <v>0</v>
      </c>
      <c r="AM723" s="140">
        <f ca="1" xml:space="preserve"> ProjectCashflows!AM$239</f>
        <v>0</v>
      </c>
      <c r="AN723" s="140">
        <f ca="1" xml:space="preserve"> ProjectCashflows!AN$239</f>
        <v>0</v>
      </c>
      <c r="AO723" s="140">
        <f ca="1" xml:space="preserve"> ProjectCashflows!AO$239</f>
        <v>0</v>
      </c>
      <c r="AP723" s="140">
        <f ca="1" xml:space="preserve"> ProjectCashflows!AP$239</f>
        <v>0</v>
      </c>
      <c r="AQ723" s="140">
        <f ca="1" xml:space="preserve"> ProjectCashflows!AQ$239</f>
        <v>0</v>
      </c>
      <c r="AR723" s="140">
        <f ca="1" xml:space="preserve"> ProjectCashflows!AR$239</f>
        <v>0</v>
      </c>
      <c r="AS723" s="140">
        <f ca="1" xml:space="preserve"> ProjectCashflows!AS$239</f>
        <v>0</v>
      </c>
      <c r="AT723" s="140">
        <f ca="1" xml:space="preserve"> ProjectCashflows!AT$239</f>
        <v>0</v>
      </c>
      <c r="AU723" s="140">
        <f ca="1" xml:space="preserve"> ProjectCashflows!AU$239</f>
        <v>0</v>
      </c>
      <c r="AV723" s="140">
        <f ca="1" xml:space="preserve"> ProjectCashflows!AV$239</f>
        <v>0</v>
      </c>
      <c r="AW723" s="140">
        <f ca="1" xml:space="preserve"> ProjectCashflows!AW$239</f>
        <v>0</v>
      </c>
      <c r="AX723" s="140">
        <f ca="1" xml:space="preserve"> ProjectCashflows!AX$239</f>
        <v>0</v>
      </c>
    </row>
    <row r="724" spans="1:50" s="40" customFormat="1" ht="15" customHeight="1" x14ac:dyDescent="0.25">
      <c r="A724" s="139"/>
      <c r="B724" s="235"/>
      <c r="C724" s="613"/>
      <c r="D724" s="354"/>
      <c r="E724" s="140" t="str">
        <f xml:space="preserve"> ProjectCashflows!E$240</f>
        <v>Replacement capital costs, after ELT</v>
      </c>
      <c r="F724" s="140">
        <f xml:space="preserve"> ProjectCashflows!F$240</f>
        <v>0</v>
      </c>
      <c r="G724" s="140" t="str">
        <f xml:space="preserve"> ProjectCashflows!G$240</f>
        <v>US$ mn</v>
      </c>
      <c r="H724" s="140">
        <f xml:space="preserve"> ProjectCashflows!H$240</f>
        <v>0</v>
      </c>
      <c r="I724" s="140">
        <f ca="1" xml:space="preserve"> ProjectCashflows!I$240</f>
        <v>0</v>
      </c>
      <c r="J724" s="140">
        <f xml:space="preserve"> ProjectCashflows!J$240</f>
        <v>0</v>
      </c>
      <c r="K724" s="140">
        <f ca="1" xml:space="preserve"> ProjectCashflows!K$240</f>
        <v>0</v>
      </c>
      <c r="L724" s="140">
        <f ca="1" xml:space="preserve"> ProjectCashflows!L$240</f>
        <v>0</v>
      </c>
      <c r="M724" s="140">
        <f ca="1" xml:space="preserve"> ProjectCashflows!M$240</f>
        <v>0</v>
      </c>
      <c r="N724" s="140">
        <f ca="1" xml:space="preserve"> ProjectCashflows!N$240</f>
        <v>0</v>
      </c>
      <c r="O724" s="140">
        <f ca="1" xml:space="preserve"> ProjectCashflows!O$240</f>
        <v>0</v>
      </c>
      <c r="P724" s="140">
        <f ca="1" xml:space="preserve"> ProjectCashflows!P$240</f>
        <v>0</v>
      </c>
      <c r="Q724" s="140">
        <f ca="1" xml:space="preserve"> ProjectCashflows!Q$240</f>
        <v>0</v>
      </c>
      <c r="R724" s="140">
        <f ca="1" xml:space="preserve"> ProjectCashflows!R$240</f>
        <v>0</v>
      </c>
      <c r="S724" s="140">
        <f ca="1" xml:space="preserve"> ProjectCashflows!S$240</f>
        <v>0</v>
      </c>
      <c r="T724" s="140">
        <f ca="1" xml:space="preserve"> ProjectCashflows!T$240</f>
        <v>0</v>
      </c>
      <c r="U724" s="140">
        <f ca="1" xml:space="preserve"> ProjectCashflows!U$240</f>
        <v>0</v>
      </c>
      <c r="V724" s="140">
        <f ca="1" xml:space="preserve"> ProjectCashflows!V$240</f>
        <v>0</v>
      </c>
      <c r="W724" s="140">
        <f ca="1" xml:space="preserve"> ProjectCashflows!W$240</f>
        <v>0</v>
      </c>
      <c r="X724" s="140">
        <f ca="1" xml:space="preserve"> ProjectCashflows!X$240</f>
        <v>0</v>
      </c>
      <c r="Y724" s="140">
        <f ca="1" xml:space="preserve"> ProjectCashflows!Y$240</f>
        <v>0</v>
      </c>
      <c r="Z724" s="140">
        <f ca="1" xml:space="preserve"> ProjectCashflows!Z$240</f>
        <v>0</v>
      </c>
      <c r="AA724" s="140">
        <f ca="1" xml:space="preserve"> ProjectCashflows!AA$240</f>
        <v>0</v>
      </c>
      <c r="AB724" s="140">
        <f ca="1" xml:space="preserve"> ProjectCashflows!AB$240</f>
        <v>0</v>
      </c>
      <c r="AC724" s="140">
        <f ca="1" xml:space="preserve"> ProjectCashflows!AC$240</f>
        <v>0</v>
      </c>
      <c r="AD724" s="140">
        <f ca="1" xml:space="preserve"> ProjectCashflows!AD$240</f>
        <v>0</v>
      </c>
      <c r="AE724" s="140">
        <f ca="1" xml:space="preserve"> ProjectCashflows!AE$240</f>
        <v>0</v>
      </c>
      <c r="AF724" s="140">
        <f ca="1" xml:space="preserve"> ProjectCashflows!AF$240</f>
        <v>0</v>
      </c>
      <c r="AG724" s="140">
        <f ca="1" xml:space="preserve"> ProjectCashflows!AG$240</f>
        <v>0</v>
      </c>
      <c r="AH724" s="140">
        <f ca="1" xml:space="preserve"> ProjectCashflows!AH$240</f>
        <v>0</v>
      </c>
      <c r="AI724" s="140">
        <f ca="1" xml:space="preserve"> ProjectCashflows!AI$240</f>
        <v>0</v>
      </c>
      <c r="AJ724" s="140">
        <f ca="1" xml:space="preserve"> ProjectCashflows!AJ$240</f>
        <v>0</v>
      </c>
      <c r="AK724" s="140">
        <f ca="1" xml:space="preserve"> ProjectCashflows!AK$240</f>
        <v>0</v>
      </c>
      <c r="AL724" s="140">
        <f ca="1" xml:space="preserve"> ProjectCashflows!AL$240</f>
        <v>0</v>
      </c>
      <c r="AM724" s="140">
        <f ca="1" xml:space="preserve"> ProjectCashflows!AM$240</f>
        <v>0</v>
      </c>
      <c r="AN724" s="140">
        <f ca="1" xml:space="preserve"> ProjectCashflows!AN$240</f>
        <v>0</v>
      </c>
      <c r="AO724" s="140">
        <f ca="1" xml:space="preserve"> ProjectCashflows!AO$240</f>
        <v>0</v>
      </c>
      <c r="AP724" s="140">
        <f ca="1" xml:space="preserve"> ProjectCashflows!AP$240</f>
        <v>0</v>
      </c>
      <c r="AQ724" s="140">
        <f ca="1" xml:space="preserve"> ProjectCashflows!AQ$240</f>
        <v>0</v>
      </c>
      <c r="AR724" s="140">
        <f ca="1" xml:space="preserve"> ProjectCashflows!AR$240</f>
        <v>0</v>
      </c>
      <c r="AS724" s="140">
        <f ca="1" xml:space="preserve"> ProjectCashflows!AS$240</f>
        <v>0</v>
      </c>
      <c r="AT724" s="140">
        <f ca="1" xml:space="preserve"> ProjectCashflows!AT$240</f>
        <v>0</v>
      </c>
      <c r="AU724" s="140">
        <f ca="1" xml:space="preserve"> ProjectCashflows!AU$240</f>
        <v>0</v>
      </c>
      <c r="AV724" s="140">
        <f ca="1" xml:space="preserve"> ProjectCashflows!AV$240</f>
        <v>0</v>
      </c>
      <c r="AW724" s="140">
        <f ca="1" xml:space="preserve"> ProjectCashflows!AW$240</f>
        <v>0</v>
      </c>
      <c r="AX724" s="140">
        <f ca="1" xml:space="preserve"> ProjectCashflows!AX$240</f>
        <v>0</v>
      </c>
    </row>
    <row r="725" spans="1:50" s="40" customFormat="1" ht="15" customHeight="1" x14ac:dyDescent="0.25">
      <c r="A725" s="139"/>
      <c r="B725" s="235"/>
      <c r="C725" s="613"/>
      <c r="D725" s="354"/>
      <c r="E725" s="140" t="str">
        <f xml:space="preserve"> ProjectCashflows!E$241</f>
        <v>Operating costs, after ELT</v>
      </c>
      <c r="F725" s="140">
        <f xml:space="preserve"> ProjectCashflows!F$241</f>
        <v>0</v>
      </c>
      <c r="G725" s="140" t="str">
        <f xml:space="preserve"> ProjectCashflows!G$241</f>
        <v>US$ mn</v>
      </c>
      <c r="H725" s="140">
        <f xml:space="preserve"> ProjectCashflows!H$241</f>
        <v>0</v>
      </c>
      <c r="I725" s="140">
        <f ca="1" xml:space="preserve"> ProjectCashflows!I$241</f>
        <v>6159.112593390113</v>
      </c>
      <c r="J725" s="140">
        <f xml:space="preserve"> ProjectCashflows!J$241</f>
        <v>0</v>
      </c>
      <c r="K725" s="140">
        <f ca="1" xml:space="preserve"> ProjectCashflows!K$241</f>
        <v>0</v>
      </c>
      <c r="L725" s="140">
        <f ca="1" xml:space="preserve"> ProjectCashflows!L$241</f>
        <v>0</v>
      </c>
      <c r="M725" s="140">
        <f ca="1" xml:space="preserve"> ProjectCashflows!M$241</f>
        <v>0</v>
      </c>
      <c r="N725" s="140">
        <f ca="1" xml:space="preserve"> ProjectCashflows!N$241</f>
        <v>0</v>
      </c>
      <c r="O725" s="140">
        <f ca="1" xml:space="preserve"> ProjectCashflows!O$241</f>
        <v>54.121608000000002</v>
      </c>
      <c r="P725" s="140">
        <f ca="1" xml:space="preserve"> ProjectCashflows!P$241</f>
        <v>198.73454457599999</v>
      </c>
      <c r="Q725" s="140">
        <f ca="1" xml:space="preserve"> ProjectCashflows!Q$241</f>
        <v>292.80222900864004</v>
      </c>
      <c r="R725" s="140">
        <f ca="1" xml:space="preserve"> ProjectCashflows!R$241</f>
        <v>298.65827358881279</v>
      </c>
      <c r="S725" s="140">
        <f ca="1" xml:space="preserve"> ProjectCashflows!S$241</f>
        <v>304.63143906058912</v>
      </c>
      <c r="T725" s="140">
        <f ca="1" xml:space="preserve"> ProjectCashflows!T$241</f>
        <v>310.72406784180089</v>
      </c>
      <c r="U725" s="140">
        <f ca="1" xml:space="preserve"> ProjectCashflows!U$241</f>
        <v>316.93854919863691</v>
      </c>
      <c r="V725" s="140">
        <f ca="1" xml:space="preserve"> ProjectCashflows!V$241</f>
        <v>323.27732018260963</v>
      </c>
      <c r="W725" s="140">
        <f ca="1" xml:space="preserve"> ProjectCashflows!W$241</f>
        <v>329.74286658626181</v>
      </c>
      <c r="X725" s="140">
        <f ca="1" xml:space="preserve"> ProjectCashflows!X$241</f>
        <v>336.33772391798703</v>
      </c>
      <c r="Y725" s="140">
        <f ca="1" xml:space="preserve"> ProjectCashflows!Y$241</f>
        <v>343.06447839634683</v>
      </c>
      <c r="Z725" s="140">
        <f ca="1" xml:space="preserve"> ProjectCashflows!Z$241</f>
        <v>349.92576796427375</v>
      </c>
      <c r="AA725" s="140">
        <f ca="1" xml:space="preserve"> ProjectCashflows!AA$241</f>
        <v>356.92428332355922</v>
      </c>
      <c r="AB725" s="140">
        <f ca="1" xml:space="preserve"> ProjectCashflows!AB$241</f>
        <v>364.06276899003046</v>
      </c>
      <c r="AC725" s="140">
        <f ca="1" xml:space="preserve"> ProjectCashflows!AC$241</f>
        <v>214.23693713644101</v>
      </c>
      <c r="AD725" s="140">
        <f ca="1" xml:space="preserve"> ProjectCashflows!AD$241</f>
        <v>203.95356415389182</v>
      </c>
      <c r="AE725" s="140">
        <f ca="1" xml:space="preserve"> ProjectCashflows!AE$241</f>
        <v>178.3136875174026</v>
      </c>
      <c r="AF725" s="140">
        <f ca="1" xml:space="preserve"> ProjectCashflows!AF$241</f>
        <v>168.23896417266934</v>
      </c>
      <c r="AG725" s="140">
        <f ca="1" xml:space="preserve"> ProjectCashflows!AG$241</f>
        <v>154.59796707758807</v>
      </c>
      <c r="AH725" s="140">
        <f ca="1" xml:space="preserve"> ProjectCashflows!AH$241</f>
        <v>149.80543009818282</v>
      </c>
      <c r="AI725" s="140">
        <f ca="1" xml:space="preserve"> ProjectCashflows!AI$241</f>
        <v>144.75935245277034</v>
      </c>
      <c r="AJ725" s="140">
        <f ca="1" xml:space="preserve"> ProjectCashflows!AJ$241</f>
        <v>139.45150952950212</v>
      </c>
      <c r="AK725" s="140">
        <f ca="1" xml:space="preserve"> ProjectCashflows!AK$241</f>
        <v>133.87344914832201</v>
      </c>
      <c r="AL725" s="140">
        <f ca="1" xml:space="preserve"> ProjectCashflows!AL$241</f>
        <v>128.01648574808294</v>
      </c>
      <c r="AM725" s="140">
        <f ca="1" xml:space="preserve"> ProjectCashflows!AM$241</f>
        <v>121.87169443217496</v>
      </c>
      <c r="AN725" s="140">
        <f ca="1" xml:space="preserve"> ProjectCashflows!AN$241</f>
        <v>124.30912832081846</v>
      </c>
      <c r="AO725" s="140">
        <f ca="1" xml:space="preserve"> ProjectCashflows!AO$241</f>
        <v>117.73850296671806</v>
      </c>
      <c r="AP725" s="140">
        <f ca="1" xml:space="preserve"> ProjectCashflows!AP$241</f>
        <v>0</v>
      </c>
      <c r="AQ725" s="140">
        <f ca="1" xml:space="preserve"> ProjectCashflows!AQ$241</f>
        <v>0</v>
      </c>
      <c r="AR725" s="140">
        <f ca="1" xml:space="preserve"> ProjectCashflows!AR$241</f>
        <v>0</v>
      </c>
      <c r="AS725" s="140">
        <f ca="1" xml:space="preserve"> ProjectCashflows!AS$241</f>
        <v>0</v>
      </c>
      <c r="AT725" s="140">
        <f ca="1" xml:space="preserve"> ProjectCashflows!AT$241</f>
        <v>0</v>
      </c>
      <c r="AU725" s="140">
        <f ca="1" xml:space="preserve"> ProjectCashflows!AU$241</f>
        <v>0</v>
      </c>
      <c r="AV725" s="140">
        <f ca="1" xml:space="preserve"> ProjectCashflows!AV$241</f>
        <v>0</v>
      </c>
      <c r="AW725" s="140">
        <f ca="1" xml:space="preserve"> ProjectCashflows!AW$241</f>
        <v>0</v>
      </c>
      <c r="AX725" s="140">
        <f ca="1" xml:space="preserve"> ProjectCashflows!AX$241</f>
        <v>0</v>
      </c>
    </row>
    <row r="726" spans="1:50" ht="15" customHeight="1" x14ac:dyDescent="0.25">
      <c r="A726" s="86"/>
      <c r="B726" s="235"/>
      <c r="C726" s="604"/>
      <c r="D726" s="162"/>
      <c r="E726" s="55" t="str">
        <f t="shared" ref="E726:AX726" si="211" xml:space="preserve"> E$148</f>
        <v>Net decommissioning cashflows including fund</v>
      </c>
      <c r="F726" s="64">
        <f t="shared" si="211"/>
        <v>0</v>
      </c>
      <c r="G726" s="55" t="str">
        <f t="shared" si="211"/>
        <v>US$ mn</v>
      </c>
      <c r="H726" s="55">
        <f t="shared" si="211"/>
        <v>0</v>
      </c>
      <c r="I726" s="55">
        <f t="shared" ca="1" si="211"/>
        <v>1142.4449806063617</v>
      </c>
      <c r="J726" s="55">
        <f t="shared" si="211"/>
        <v>0</v>
      </c>
      <c r="K726" s="55">
        <f t="shared" ca="1" si="211"/>
        <v>0</v>
      </c>
      <c r="L726" s="55">
        <f t="shared" ca="1" si="211"/>
        <v>0</v>
      </c>
      <c r="M726" s="55">
        <f t="shared" ca="1" si="211"/>
        <v>0</v>
      </c>
      <c r="N726" s="55">
        <f t="shared" ca="1" si="211"/>
        <v>0</v>
      </c>
      <c r="O726" s="55">
        <f t="shared" ca="1" si="211"/>
        <v>0</v>
      </c>
      <c r="P726" s="55">
        <f t="shared" ca="1" si="211"/>
        <v>0</v>
      </c>
      <c r="Q726" s="55">
        <f t="shared" ca="1" si="211"/>
        <v>0</v>
      </c>
      <c r="R726" s="55">
        <f t="shared" ca="1" si="211"/>
        <v>0</v>
      </c>
      <c r="S726" s="55">
        <f t="shared" ca="1" si="211"/>
        <v>0</v>
      </c>
      <c r="T726" s="55">
        <f t="shared" ca="1" si="211"/>
        <v>0</v>
      </c>
      <c r="U726" s="55">
        <f t="shared" ca="1" si="211"/>
        <v>0</v>
      </c>
      <c r="V726" s="55">
        <f t="shared" ca="1" si="211"/>
        <v>0</v>
      </c>
      <c r="W726" s="55">
        <f t="shared" ca="1" si="211"/>
        <v>63.743472965385962</v>
      </c>
      <c r="X726" s="55">
        <f t="shared" ca="1" si="211"/>
        <v>63.743472965385962</v>
      </c>
      <c r="Y726" s="55">
        <f t="shared" ca="1" si="211"/>
        <v>63.743472965385962</v>
      </c>
      <c r="Z726" s="55">
        <f t="shared" ca="1" si="211"/>
        <v>63.743472965385962</v>
      </c>
      <c r="AA726" s="55">
        <f t="shared" ca="1" si="211"/>
        <v>63.743472965385962</v>
      </c>
      <c r="AB726" s="55">
        <f t="shared" ca="1" si="211"/>
        <v>63.743472965385962</v>
      </c>
      <c r="AC726" s="55">
        <f t="shared" ca="1" si="211"/>
        <v>63.743472965385962</v>
      </c>
      <c r="AD726" s="55">
        <f t="shared" ca="1" si="211"/>
        <v>63.743472965385962</v>
      </c>
      <c r="AE726" s="55">
        <f t="shared" ca="1" si="211"/>
        <v>63.743472965385962</v>
      </c>
      <c r="AF726" s="55">
        <f t="shared" ca="1" si="211"/>
        <v>63.743472965385962</v>
      </c>
      <c r="AG726" s="55">
        <f t="shared" ca="1" si="211"/>
        <v>63.743472965385962</v>
      </c>
      <c r="AH726" s="55">
        <f t="shared" ca="1" si="211"/>
        <v>63.743472965385962</v>
      </c>
      <c r="AI726" s="55">
        <f t="shared" ca="1" si="211"/>
        <v>63.743472965385962</v>
      </c>
      <c r="AJ726" s="55">
        <f t="shared" ca="1" si="211"/>
        <v>63.743472965385962</v>
      </c>
      <c r="AK726" s="55">
        <f t="shared" ca="1" si="211"/>
        <v>63.743472965385962</v>
      </c>
      <c r="AL726" s="55">
        <f t="shared" ca="1" si="211"/>
        <v>63.743472965385934</v>
      </c>
      <c r="AM726" s="55">
        <f t="shared" ca="1" si="211"/>
        <v>40.849804386728749</v>
      </c>
      <c r="AN726" s="55">
        <f t="shared" ca="1" si="211"/>
        <v>40.849804386728749</v>
      </c>
      <c r="AO726" s="55">
        <f t="shared" ca="1" si="211"/>
        <v>40.849804386728749</v>
      </c>
      <c r="AP726" s="55">
        <f t="shared" ca="1" si="211"/>
        <v>0</v>
      </c>
      <c r="AQ726" s="55">
        <f t="shared" ca="1" si="211"/>
        <v>0</v>
      </c>
      <c r="AR726" s="55">
        <f t="shared" ca="1" si="211"/>
        <v>0</v>
      </c>
      <c r="AS726" s="55">
        <f t="shared" ca="1" si="211"/>
        <v>0</v>
      </c>
      <c r="AT726" s="55">
        <f t="shared" ca="1" si="211"/>
        <v>0</v>
      </c>
      <c r="AU726" s="55">
        <f t="shared" ca="1" si="211"/>
        <v>0</v>
      </c>
      <c r="AV726" s="55">
        <f t="shared" ca="1" si="211"/>
        <v>0</v>
      </c>
      <c r="AW726" s="55">
        <f t="shared" ca="1" si="211"/>
        <v>0</v>
      </c>
      <c r="AX726" s="55">
        <f t="shared" ca="1" si="211"/>
        <v>0</v>
      </c>
    </row>
    <row r="727" spans="1:50" ht="15" customHeight="1" x14ac:dyDescent="0.25">
      <c r="A727" s="86"/>
      <c r="B727" s="235"/>
      <c r="C727" s="604"/>
      <c r="D727" s="162"/>
      <c r="E727" s="55" t="str">
        <f t="shared" ref="E727:AX727" si="212" xml:space="preserve"> E$172</f>
        <v>Bonuses</v>
      </c>
      <c r="F727" s="64">
        <f t="shared" si="212"/>
        <v>0</v>
      </c>
      <c r="G727" s="55" t="str">
        <f t="shared" si="212"/>
        <v>US$ mn</v>
      </c>
      <c r="H727" s="55">
        <f t="shared" si="212"/>
        <v>0</v>
      </c>
      <c r="I727" s="55">
        <f t="shared" ca="1" si="212"/>
        <v>60</v>
      </c>
      <c r="J727" s="55">
        <f t="shared" si="212"/>
        <v>0</v>
      </c>
      <c r="K727" s="55">
        <f t="shared" ca="1" si="212"/>
        <v>10</v>
      </c>
      <c r="L727" s="55">
        <f t="shared" ca="1" si="212"/>
        <v>0</v>
      </c>
      <c r="M727" s="55">
        <f t="shared" ca="1" si="212"/>
        <v>0</v>
      </c>
      <c r="N727" s="55">
        <f t="shared" ca="1" si="212"/>
        <v>0</v>
      </c>
      <c r="O727" s="55">
        <f t="shared" ca="1" si="212"/>
        <v>50</v>
      </c>
      <c r="P727" s="55">
        <f t="shared" ca="1" si="212"/>
        <v>0</v>
      </c>
      <c r="Q727" s="55">
        <f t="shared" ca="1" si="212"/>
        <v>0</v>
      </c>
      <c r="R727" s="55">
        <f t="shared" ca="1" si="212"/>
        <v>0</v>
      </c>
      <c r="S727" s="55">
        <f t="shared" ca="1" si="212"/>
        <v>0</v>
      </c>
      <c r="T727" s="55">
        <f t="shared" ca="1" si="212"/>
        <v>0</v>
      </c>
      <c r="U727" s="55">
        <f t="shared" ca="1" si="212"/>
        <v>0</v>
      </c>
      <c r="V727" s="55">
        <f t="shared" ca="1" si="212"/>
        <v>0</v>
      </c>
      <c r="W727" s="55">
        <f t="shared" ca="1" si="212"/>
        <v>0</v>
      </c>
      <c r="X727" s="55">
        <f t="shared" ca="1" si="212"/>
        <v>0</v>
      </c>
      <c r="Y727" s="55">
        <f t="shared" ca="1" si="212"/>
        <v>0</v>
      </c>
      <c r="Z727" s="55">
        <f t="shared" ca="1" si="212"/>
        <v>0</v>
      </c>
      <c r="AA727" s="55">
        <f t="shared" ca="1" si="212"/>
        <v>0</v>
      </c>
      <c r="AB727" s="55">
        <f t="shared" ca="1" si="212"/>
        <v>0</v>
      </c>
      <c r="AC727" s="55">
        <f t="shared" ca="1" si="212"/>
        <v>0</v>
      </c>
      <c r="AD727" s="55">
        <f t="shared" ca="1" si="212"/>
        <v>0</v>
      </c>
      <c r="AE727" s="55">
        <f t="shared" ca="1" si="212"/>
        <v>0</v>
      </c>
      <c r="AF727" s="55">
        <f t="shared" ca="1" si="212"/>
        <v>0</v>
      </c>
      <c r="AG727" s="55">
        <f t="shared" ca="1" si="212"/>
        <v>0</v>
      </c>
      <c r="AH727" s="55">
        <f t="shared" ca="1" si="212"/>
        <v>0</v>
      </c>
      <c r="AI727" s="55">
        <f t="shared" ca="1" si="212"/>
        <v>0</v>
      </c>
      <c r="AJ727" s="55">
        <f t="shared" ca="1" si="212"/>
        <v>0</v>
      </c>
      <c r="AK727" s="55">
        <f t="shared" ca="1" si="212"/>
        <v>0</v>
      </c>
      <c r="AL727" s="55">
        <f t="shared" ca="1" si="212"/>
        <v>0</v>
      </c>
      <c r="AM727" s="55">
        <f t="shared" ca="1" si="212"/>
        <v>0</v>
      </c>
      <c r="AN727" s="55">
        <f t="shared" ca="1" si="212"/>
        <v>0</v>
      </c>
      <c r="AO727" s="55">
        <f t="shared" ca="1" si="212"/>
        <v>0</v>
      </c>
      <c r="AP727" s="55">
        <f t="shared" ca="1" si="212"/>
        <v>0</v>
      </c>
      <c r="AQ727" s="55">
        <f t="shared" ca="1" si="212"/>
        <v>0</v>
      </c>
      <c r="AR727" s="55">
        <f t="shared" ca="1" si="212"/>
        <v>0</v>
      </c>
      <c r="AS727" s="55">
        <f t="shared" ca="1" si="212"/>
        <v>0</v>
      </c>
      <c r="AT727" s="55">
        <f t="shared" ca="1" si="212"/>
        <v>0</v>
      </c>
      <c r="AU727" s="55">
        <f t="shared" ca="1" si="212"/>
        <v>0</v>
      </c>
      <c r="AV727" s="55">
        <f t="shared" ca="1" si="212"/>
        <v>0</v>
      </c>
      <c r="AW727" s="55">
        <f t="shared" ca="1" si="212"/>
        <v>0</v>
      </c>
      <c r="AX727" s="55">
        <f t="shared" ca="1" si="212"/>
        <v>0</v>
      </c>
    </row>
    <row r="728" spans="1:50" ht="15" customHeight="1" x14ac:dyDescent="0.25">
      <c r="A728" s="86"/>
      <c r="B728" s="235"/>
      <c r="C728" s="604"/>
      <c r="D728" s="162"/>
      <c r="E728" s="55" t="str">
        <f>E$295</f>
        <v>Carbon tax</v>
      </c>
      <c r="F728" s="55">
        <f t="shared" ref="F728:AX728" si="213">F$295</f>
        <v>0</v>
      </c>
      <c r="G728" s="55" t="str">
        <f t="shared" si="213"/>
        <v>US$ mn</v>
      </c>
      <c r="H728" s="55">
        <f t="shared" si="213"/>
        <v>0</v>
      </c>
      <c r="I728" s="55">
        <f t="shared" ca="1" si="213"/>
        <v>1010.9375317244442</v>
      </c>
      <c r="J728" s="55">
        <f t="shared" si="213"/>
        <v>0</v>
      </c>
      <c r="K728" s="55">
        <f t="shared" ca="1" si="213"/>
        <v>0</v>
      </c>
      <c r="L728" s="55">
        <f t="shared" ca="1" si="213"/>
        <v>0</v>
      </c>
      <c r="M728" s="55">
        <f t="shared" ca="1" si="213"/>
        <v>0</v>
      </c>
      <c r="N728" s="55">
        <f t="shared" ca="1" si="213"/>
        <v>0</v>
      </c>
      <c r="O728" s="55">
        <f t="shared" ca="1" si="213"/>
        <v>4.3932277328165359</v>
      </c>
      <c r="P728" s="55">
        <f t="shared" ca="1" si="213"/>
        <v>34.512210000000003</v>
      </c>
      <c r="Q728" s="55">
        <f t="shared" ca="1" si="213"/>
        <v>69.024420000000006</v>
      </c>
      <c r="R728" s="55">
        <f t="shared" ca="1" si="213"/>
        <v>69.024420000000006</v>
      </c>
      <c r="S728" s="55">
        <f t="shared" ca="1" si="213"/>
        <v>69.024420000000006</v>
      </c>
      <c r="T728" s="55">
        <f t="shared" ca="1" si="213"/>
        <v>69.024420000000006</v>
      </c>
      <c r="U728" s="55">
        <f t="shared" ca="1" si="213"/>
        <v>69.024420000000006</v>
      </c>
      <c r="V728" s="55">
        <f t="shared" ca="1" si="213"/>
        <v>69.024420000000006</v>
      </c>
      <c r="W728" s="55">
        <f t="shared" ca="1" si="213"/>
        <v>69.024420000000006</v>
      </c>
      <c r="X728" s="55">
        <f t="shared" ca="1" si="213"/>
        <v>69.024420000000006</v>
      </c>
      <c r="Y728" s="55">
        <f t="shared" ca="1" si="213"/>
        <v>69.024420000000006</v>
      </c>
      <c r="Z728" s="55">
        <f t="shared" ca="1" si="213"/>
        <v>69.024420000000006</v>
      </c>
      <c r="AA728" s="55">
        <f t="shared" ca="1" si="213"/>
        <v>55.909780200000014</v>
      </c>
      <c r="AB728" s="55">
        <f t="shared" ca="1" si="213"/>
        <v>45.286921962000008</v>
      </c>
      <c r="AC728" s="55">
        <f t="shared" ca="1" si="213"/>
        <v>36.682406789220011</v>
      </c>
      <c r="AD728" s="55">
        <f t="shared" ca="1" si="213"/>
        <v>29.71274949926822</v>
      </c>
      <c r="AE728" s="55">
        <f t="shared" ca="1" si="213"/>
        <v>24.067327094407261</v>
      </c>
      <c r="AF728" s="55">
        <f t="shared" ca="1" si="213"/>
        <v>19.49453494646988</v>
      </c>
      <c r="AG728" s="55">
        <f t="shared" ca="1" si="213"/>
        <v>15.790573306640605</v>
      </c>
      <c r="AH728" s="55">
        <f t="shared" ca="1" si="213"/>
        <v>12.790364378378891</v>
      </c>
      <c r="AI728" s="55">
        <f t="shared" ca="1" si="213"/>
        <v>10.360195146486902</v>
      </c>
      <c r="AJ728" s="55">
        <f t="shared" ca="1" si="213"/>
        <v>8.39175806865439</v>
      </c>
      <c r="AK728" s="55">
        <f t="shared" ca="1" si="213"/>
        <v>6.7973240356100568</v>
      </c>
      <c r="AL728" s="55">
        <f t="shared" ca="1" si="213"/>
        <v>5.5058324688441456</v>
      </c>
      <c r="AM728" s="55">
        <f t="shared" ca="1" si="213"/>
        <v>4.4597242997637574</v>
      </c>
      <c r="AN728" s="55">
        <f t="shared" ca="1" si="213"/>
        <v>3.6123766828086437</v>
      </c>
      <c r="AO728" s="55">
        <f t="shared" ca="1" si="213"/>
        <v>2.9260251130750028</v>
      </c>
      <c r="AP728" s="55">
        <f t="shared" ca="1" si="213"/>
        <v>0</v>
      </c>
      <c r="AQ728" s="55">
        <f t="shared" ca="1" si="213"/>
        <v>0</v>
      </c>
      <c r="AR728" s="55">
        <f t="shared" ca="1" si="213"/>
        <v>0</v>
      </c>
      <c r="AS728" s="55">
        <f t="shared" ca="1" si="213"/>
        <v>0</v>
      </c>
      <c r="AT728" s="55">
        <f t="shared" ca="1" si="213"/>
        <v>0</v>
      </c>
      <c r="AU728" s="55">
        <f t="shared" ca="1" si="213"/>
        <v>0</v>
      </c>
      <c r="AV728" s="55">
        <f t="shared" ca="1" si="213"/>
        <v>0</v>
      </c>
      <c r="AW728" s="55">
        <f t="shared" ca="1" si="213"/>
        <v>0</v>
      </c>
      <c r="AX728" s="55">
        <f t="shared" ca="1" si="213"/>
        <v>0</v>
      </c>
    </row>
    <row r="729" spans="1:50" s="485" customFormat="1" ht="15" customHeight="1" x14ac:dyDescent="0.25">
      <c r="A729" s="479"/>
      <c r="B729" s="674"/>
      <c r="C729" s="621"/>
      <c r="D729" s="481"/>
      <c r="E729" s="482" t="str">
        <f xml:space="preserve"> Translate!E$322</f>
        <v>Project costs for sharing between SOC and IOC</v>
      </c>
      <c r="F729" s="504"/>
      <c r="G729" s="482" t="str">
        <f xml:space="preserve"> Translate!E$603</f>
        <v>US$ mn</v>
      </c>
      <c r="H729" s="482"/>
      <c r="I729" s="482">
        <f ca="1" xml:space="preserve"> SUM(K729:AX729)</f>
        <v>19248.067387151714</v>
      </c>
      <c r="J729" s="482"/>
      <c r="K729" s="482">
        <f t="shared" ref="K729:AX729" ca="1" si="214">SUM(K722:K728)</f>
        <v>430</v>
      </c>
      <c r="L729" s="482">
        <f t="shared" ca="1" si="214"/>
        <v>51</v>
      </c>
      <c r="M729" s="482">
        <f t="shared" ca="1" si="214"/>
        <v>312.12</v>
      </c>
      <c r="N729" s="482">
        <f t="shared" ca="1" si="214"/>
        <v>1273.4495999999999</v>
      </c>
      <c r="O729" s="482">
        <f t="shared" ca="1" si="214"/>
        <v>1407.4334277328164</v>
      </c>
      <c r="P729" s="482">
        <f t="shared" ca="1" si="214"/>
        <v>2551.816441296</v>
      </c>
      <c r="Q729" s="482">
        <f t="shared" ca="1" si="214"/>
        <v>1600.6053101990401</v>
      </c>
      <c r="R729" s="482">
        <f t="shared" ca="1" si="214"/>
        <v>884.59124403098872</v>
      </c>
      <c r="S729" s="482">
        <f t="shared" ca="1" si="214"/>
        <v>666.57070431115551</v>
      </c>
      <c r="T729" s="482">
        <f t="shared" ca="1" si="214"/>
        <v>678.52162999737857</v>
      </c>
      <c r="U729" s="482">
        <f t="shared" ca="1" si="214"/>
        <v>690.71157419732617</v>
      </c>
      <c r="V729" s="482">
        <f t="shared" ca="1" si="214"/>
        <v>703.1453172812727</v>
      </c>
      <c r="W729" s="482">
        <f t="shared" ca="1" si="214"/>
        <v>779.57120819228408</v>
      </c>
      <c r="X729" s="482">
        <f t="shared" ca="1" si="214"/>
        <v>792.50727449682199</v>
      </c>
      <c r="Y729" s="482">
        <f t="shared" ca="1" si="214"/>
        <v>805.70206212745086</v>
      </c>
      <c r="Z729" s="482">
        <f t="shared" ca="1" si="214"/>
        <v>819.1607455106921</v>
      </c>
      <c r="AA729" s="482">
        <f t="shared" ca="1" si="214"/>
        <v>819.77396276159834</v>
      </c>
      <c r="AB729" s="482">
        <f t="shared" ca="1" si="214"/>
        <v>473.09316391741646</v>
      </c>
      <c r="AC729" s="482">
        <f t="shared" ca="1" si="214"/>
        <v>314.66281689104699</v>
      </c>
      <c r="AD729" s="482">
        <f t="shared" ca="1" si="214"/>
        <v>588.77202112410566</v>
      </c>
      <c r="AE729" s="482">
        <f t="shared" ca="1" si="214"/>
        <v>563.31396677286682</v>
      </c>
      <c r="AF729" s="482">
        <f t="shared" ca="1" si="214"/>
        <v>251.47697208452519</v>
      </c>
      <c r="AG729" s="482">
        <f t="shared" ca="1" si="214"/>
        <v>234.13201334961462</v>
      </c>
      <c r="AH729" s="482">
        <f t="shared" ca="1" si="214"/>
        <v>226.33926744194767</v>
      </c>
      <c r="AI729" s="482">
        <f t="shared" ca="1" si="214"/>
        <v>218.86302056464319</v>
      </c>
      <c r="AJ729" s="482">
        <f t="shared" ca="1" si="214"/>
        <v>211.58674056354246</v>
      </c>
      <c r="AK729" s="482">
        <f t="shared" ca="1" si="214"/>
        <v>204.41424614931802</v>
      </c>
      <c r="AL729" s="482">
        <f t="shared" ca="1" si="214"/>
        <v>197.26579118231302</v>
      </c>
      <c r="AM729" s="482">
        <f t="shared" ca="1" si="214"/>
        <v>167.18122311866748</v>
      </c>
      <c r="AN729" s="482">
        <f t="shared" ca="1" si="214"/>
        <v>168.77130939035584</v>
      </c>
      <c r="AO729" s="482">
        <f t="shared" ca="1" si="214"/>
        <v>161.51433246652181</v>
      </c>
      <c r="AP729" s="482">
        <f t="shared" ca="1" si="214"/>
        <v>0</v>
      </c>
      <c r="AQ729" s="482">
        <f t="shared" ca="1" si="214"/>
        <v>0</v>
      </c>
      <c r="AR729" s="482">
        <f t="shared" ca="1" si="214"/>
        <v>0</v>
      </c>
      <c r="AS729" s="482">
        <f t="shared" ca="1" si="214"/>
        <v>0</v>
      </c>
      <c r="AT729" s="482">
        <f t="shared" ca="1" si="214"/>
        <v>0</v>
      </c>
      <c r="AU729" s="482">
        <f t="shared" ca="1" si="214"/>
        <v>0</v>
      </c>
      <c r="AV729" s="482">
        <f t="shared" ca="1" si="214"/>
        <v>0</v>
      </c>
      <c r="AW729" s="482">
        <f t="shared" ca="1" si="214"/>
        <v>0</v>
      </c>
      <c r="AX729" s="482">
        <f t="shared" ca="1" si="214"/>
        <v>0</v>
      </c>
    </row>
    <row r="730" spans="1:50" ht="15" customHeight="1" x14ac:dyDescent="0.25">
      <c r="A730" s="86"/>
      <c r="B730" s="235"/>
      <c r="C730" s="604"/>
      <c r="D730" s="162"/>
      <c r="E730" s="52"/>
      <c r="F730" s="151"/>
      <c r="G730" s="52"/>
      <c r="H730" s="52"/>
      <c r="I730" s="89"/>
      <c r="J730" s="56"/>
      <c r="K730" s="56"/>
      <c r="L730" s="56"/>
      <c r="M730" s="56"/>
      <c r="N730" s="56"/>
      <c r="O730" s="56"/>
      <c r="P730" s="56"/>
      <c r="Q730" s="56"/>
      <c r="R730" s="56"/>
      <c r="S730" s="56"/>
      <c r="T730" s="56"/>
      <c r="U730" s="56"/>
      <c r="V730" s="56"/>
      <c r="W730" s="56"/>
      <c r="X730" s="56"/>
      <c r="Y730" s="56"/>
      <c r="Z730" s="56"/>
      <c r="AA730" s="56"/>
      <c r="AB730" s="56"/>
      <c r="AC730" s="56"/>
      <c r="AD730" s="56"/>
      <c r="AE730" s="56"/>
      <c r="AF730" s="56"/>
      <c r="AG730" s="56"/>
      <c r="AH730" s="56"/>
      <c r="AI730" s="56"/>
      <c r="AJ730" s="56"/>
      <c r="AK730" s="56"/>
      <c r="AL730" s="56"/>
      <c r="AM730" s="56"/>
      <c r="AN730" s="56"/>
      <c r="AO730" s="56"/>
      <c r="AP730" s="56"/>
      <c r="AQ730" s="56"/>
      <c r="AR730" s="56"/>
      <c r="AS730" s="56"/>
      <c r="AT730" s="56"/>
      <c r="AU730" s="56"/>
      <c r="AV730" s="56"/>
      <c r="AW730" s="56"/>
      <c r="AX730" s="56"/>
    </row>
    <row r="731" spans="1:50" ht="15" customHeight="1" x14ac:dyDescent="0.25">
      <c r="A731" s="86"/>
      <c r="B731" s="235" t="str">
        <f>Translate!$E$443</f>
        <v>SOC share of costs</v>
      </c>
      <c r="C731" s="604"/>
      <c r="D731" s="162"/>
      <c r="E731" s="55"/>
      <c r="F731" s="583"/>
      <c r="G731" s="55"/>
      <c r="H731" s="55"/>
      <c r="I731" s="48"/>
      <c r="J731" s="55"/>
      <c r="K731" s="55"/>
      <c r="L731" s="55"/>
      <c r="M731" s="55"/>
      <c r="N731" s="55"/>
      <c r="O731" s="55"/>
      <c r="P731" s="55"/>
      <c r="Q731" s="55"/>
      <c r="R731" s="55"/>
      <c r="S731" s="55"/>
      <c r="T731" s="55"/>
      <c r="U731" s="55"/>
      <c r="V731" s="55"/>
      <c r="W731" s="55"/>
      <c r="X731" s="55"/>
      <c r="Y731" s="55"/>
      <c r="Z731" s="55"/>
      <c r="AA731" s="55"/>
      <c r="AB731" s="55"/>
      <c r="AC731" s="55"/>
      <c r="AD731" s="55"/>
      <c r="AE731" s="55"/>
      <c r="AF731" s="55"/>
      <c r="AG731" s="55"/>
      <c r="AH731" s="55"/>
      <c r="AI731" s="55"/>
      <c r="AJ731" s="55"/>
      <c r="AK731" s="55"/>
      <c r="AL731" s="55"/>
      <c r="AM731" s="55"/>
      <c r="AN731" s="55"/>
      <c r="AO731" s="55"/>
      <c r="AP731" s="55"/>
      <c r="AQ731" s="55"/>
      <c r="AR731" s="55"/>
      <c r="AS731" s="55"/>
      <c r="AT731" s="55"/>
      <c r="AU731" s="55"/>
      <c r="AV731" s="55"/>
      <c r="AW731" s="55"/>
      <c r="AX731" s="55"/>
    </row>
    <row r="732" spans="1:50" ht="15" customHeight="1" x14ac:dyDescent="0.25">
      <c r="A732" s="86"/>
      <c r="B732" s="235"/>
      <c r="C732" s="604"/>
      <c r="D732" s="217"/>
      <c r="E732" s="55" t="str">
        <f xml:space="preserve"> E722 &amp;  ": " &amp; Translate!E539</f>
        <v>Exploration costs, after ELT: SOC</v>
      </c>
      <c r="F732" s="64">
        <f t="shared" ref="F732:G738" si="215" xml:space="preserve"> F722</f>
        <v>0</v>
      </c>
      <c r="G732" s="55" t="str">
        <f t="shared" si="215"/>
        <v>US$ mn</v>
      </c>
      <c r="H732" s="190"/>
      <c r="I732" s="55">
        <f t="shared" ref="I732:I739" ca="1" si="216" xml:space="preserve"> SUM(K732:AX732)</f>
        <v>0</v>
      </c>
      <c r="J732" s="55"/>
      <c r="K732" s="55">
        <f t="shared" ref="K732:AX732" ca="1" si="217" xml:space="preserve"> K722 * $F714 * ( $F716 = $F718) * ($F715 &lt;&gt; $F718)</f>
        <v>0</v>
      </c>
      <c r="L732" s="55">
        <f t="shared" ca="1" si="217"/>
        <v>0</v>
      </c>
      <c r="M732" s="55">
        <f t="shared" ca="1" si="217"/>
        <v>0</v>
      </c>
      <c r="N732" s="55">
        <f t="shared" ca="1" si="217"/>
        <v>0</v>
      </c>
      <c r="O732" s="55">
        <f t="shared" ca="1" si="217"/>
        <v>0</v>
      </c>
      <c r="P732" s="55">
        <f t="shared" ca="1" si="217"/>
        <v>0</v>
      </c>
      <c r="Q732" s="55">
        <f t="shared" ca="1" si="217"/>
        <v>0</v>
      </c>
      <c r="R732" s="55">
        <f t="shared" ca="1" si="217"/>
        <v>0</v>
      </c>
      <c r="S732" s="55">
        <f t="shared" ca="1" si="217"/>
        <v>0</v>
      </c>
      <c r="T732" s="55">
        <f t="shared" ca="1" si="217"/>
        <v>0</v>
      </c>
      <c r="U732" s="55">
        <f t="shared" ca="1" si="217"/>
        <v>0</v>
      </c>
      <c r="V732" s="55">
        <f t="shared" ca="1" si="217"/>
        <v>0</v>
      </c>
      <c r="W732" s="55">
        <f t="shared" ca="1" si="217"/>
        <v>0</v>
      </c>
      <c r="X732" s="55">
        <f t="shared" ca="1" si="217"/>
        <v>0</v>
      </c>
      <c r="Y732" s="55">
        <f t="shared" ca="1" si="217"/>
        <v>0</v>
      </c>
      <c r="Z732" s="55">
        <f t="shared" ca="1" si="217"/>
        <v>0</v>
      </c>
      <c r="AA732" s="55">
        <f t="shared" ca="1" si="217"/>
        <v>0</v>
      </c>
      <c r="AB732" s="55">
        <f t="shared" ca="1" si="217"/>
        <v>0</v>
      </c>
      <c r="AC732" s="55">
        <f t="shared" ca="1" si="217"/>
        <v>0</v>
      </c>
      <c r="AD732" s="55">
        <f t="shared" ca="1" si="217"/>
        <v>0</v>
      </c>
      <c r="AE732" s="55">
        <f t="shared" ca="1" si="217"/>
        <v>0</v>
      </c>
      <c r="AF732" s="55">
        <f t="shared" ca="1" si="217"/>
        <v>0</v>
      </c>
      <c r="AG732" s="55">
        <f t="shared" ca="1" si="217"/>
        <v>0</v>
      </c>
      <c r="AH732" s="55">
        <f t="shared" ca="1" si="217"/>
        <v>0</v>
      </c>
      <c r="AI732" s="55">
        <f t="shared" ca="1" si="217"/>
        <v>0</v>
      </c>
      <c r="AJ732" s="55">
        <f t="shared" ca="1" si="217"/>
        <v>0</v>
      </c>
      <c r="AK732" s="55">
        <f t="shared" ca="1" si="217"/>
        <v>0</v>
      </c>
      <c r="AL732" s="55">
        <f t="shared" ca="1" si="217"/>
        <v>0</v>
      </c>
      <c r="AM732" s="55">
        <f t="shared" ca="1" si="217"/>
        <v>0</v>
      </c>
      <c r="AN732" s="55">
        <f t="shared" ca="1" si="217"/>
        <v>0</v>
      </c>
      <c r="AO732" s="55">
        <f t="shared" ca="1" si="217"/>
        <v>0</v>
      </c>
      <c r="AP732" s="55">
        <f t="shared" ca="1" si="217"/>
        <v>0</v>
      </c>
      <c r="AQ732" s="55">
        <f t="shared" ca="1" si="217"/>
        <v>0</v>
      </c>
      <c r="AR732" s="55">
        <f t="shared" ca="1" si="217"/>
        <v>0</v>
      </c>
      <c r="AS732" s="55">
        <f t="shared" ca="1" si="217"/>
        <v>0</v>
      </c>
      <c r="AT732" s="55">
        <f t="shared" ca="1" si="217"/>
        <v>0</v>
      </c>
      <c r="AU732" s="55">
        <f t="shared" ca="1" si="217"/>
        <v>0</v>
      </c>
      <c r="AV732" s="55">
        <f t="shared" ca="1" si="217"/>
        <v>0</v>
      </c>
      <c r="AW732" s="55">
        <f t="shared" ca="1" si="217"/>
        <v>0</v>
      </c>
      <c r="AX732" s="55">
        <f t="shared" ca="1" si="217"/>
        <v>0</v>
      </c>
    </row>
    <row r="733" spans="1:50" ht="15" customHeight="1" x14ac:dyDescent="0.25">
      <c r="A733" s="86"/>
      <c r="B733" s="235"/>
      <c r="C733" s="604"/>
      <c r="D733" s="217"/>
      <c r="E733" s="55" t="str">
        <f xml:space="preserve"> E723 &amp;  ": " &amp; Translate!E539</f>
        <v>Development costs, after ELT: SOC</v>
      </c>
      <c r="F733" s="64">
        <f t="shared" si="215"/>
        <v>0</v>
      </c>
      <c r="G733" s="55" t="str">
        <f t="shared" si="215"/>
        <v>US$ mn</v>
      </c>
      <c r="H733" s="190"/>
      <c r="I733" s="55">
        <f t="shared" ca="1" si="216"/>
        <v>2091.1144562861587</v>
      </c>
      <c r="J733" s="55"/>
      <c r="K733" s="55">
        <f t="shared" ref="K733:AX733" ca="1" si="218" xml:space="preserve"> K723 * $F714 * ($F717 = $F718) * ($F715 &lt;&gt; $F718)</f>
        <v>0</v>
      </c>
      <c r="L733" s="55">
        <f t="shared" ca="1" si="218"/>
        <v>10.200000000000001</v>
      </c>
      <c r="M733" s="55">
        <f t="shared" ca="1" si="218"/>
        <v>62.424000000000007</v>
      </c>
      <c r="N733" s="55">
        <f t="shared" ca="1" si="218"/>
        <v>254.68992</v>
      </c>
      <c r="O733" s="55">
        <f t="shared" ca="1" si="218"/>
        <v>259.7837184</v>
      </c>
      <c r="P733" s="55">
        <f t="shared" ca="1" si="218"/>
        <v>463.71393734399999</v>
      </c>
      <c r="Q733" s="55">
        <f t="shared" ca="1" si="218"/>
        <v>247.75573223808001</v>
      </c>
      <c r="R733" s="55">
        <f t="shared" ca="1" si="218"/>
        <v>103.3817100884352</v>
      </c>
      <c r="S733" s="55">
        <f t="shared" ca="1" si="218"/>
        <v>58.582969050113292</v>
      </c>
      <c r="T733" s="55">
        <f t="shared" ca="1" si="218"/>
        <v>59.754628431115556</v>
      </c>
      <c r="U733" s="55">
        <f t="shared" ca="1" si="218"/>
        <v>60.949720999737877</v>
      </c>
      <c r="V733" s="55">
        <f t="shared" ca="1" si="218"/>
        <v>62.168715419732621</v>
      </c>
      <c r="W733" s="55">
        <f t="shared" ca="1" si="218"/>
        <v>63.412089728127278</v>
      </c>
      <c r="X733" s="55">
        <f t="shared" ca="1" si="218"/>
        <v>64.680331522689812</v>
      </c>
      <c r="Y733" s="55">
        <f t="shared" ca="1" si="218"/>
        <v>65.973938153143621</v>
      </c>
      <c r="Z733" s="55">
        <f t="shared" ca="1" si="218"/>
        <v>67.293416916206496</v>
      </c>
      <c r="AA733" s="55">
        <f t="shared" ca="1" si="218"/>
        <v>68.639285254530634</v>
      </c>
      <c r="AB733" s="55">
        <f t="shared" ca="1" si="218"/>
        <v>0</v>
      </c>
      <c r="AC733" s="55">
        <f t="shared" ca="1" si="218"/>
        <v>0</v>
      </c>
      <c r="AD733" s="55">
        <f t="shared" ca="1" si="218"/>
        <v>58.272446901111948</v>
      </c>
      <c r="AE733" s="55">
        <f t="shared" ca="1" si="218"/>
        <v>59.4378958391342</v>
      </c>
      <c r="AF733" s="55">
        <f t="shared" ca="1" si="218"/>
        <v>0</v>
      </c>
      <c r="AG733" s="55">
        <f t="shared" ca="1" si="218"/>
        <v>0</v>
      </c>
      <c r="AH733" s="55">
        <f t="shared" ca="1" si="218"/>
        <v>0</v>
      </c>
      <c r="AI733" s="55">
        <f t="shared" ca="1" si="218"/>
        <v>0</v>
      </c>
      <c r="AJ733" s="55">
        <f t="shared" ca="1" si="218"/>
        <v>0</v>
      </c>
      <c r="AK733" s="55">
        <f t="shared" ca="1" si="218"/>
        <v>0</v>
      </c>
      <c r="AL733" s="55">
        <f t="shared" ca="1" si="218"/>
        <v>0</v>
      </c>
      <c r="AM733" s="55">
        <f t="shared" ca="1" si="218"/>
        <v>0</v>
      </c>
      <c r="AN733" s="55">
        <f t="shared" ca="1" si="218"/>
        <v>0</v>
      </c>
      <c r="AO733" s="55">
        <f t="shared" ca="1" si="218"/>
        <v>0</v>
      </c>
      <c r="AP733" s="55">
        <f t="shared" ca="1" si="218"/>
        <v>0</v>
      </c>
      <c r="AQ733" s="55">
        <f t="shared" ca="1" si="218"/>
        <v>0</v>
      </c>
      <c r="AR733" s="55">
        <f t="shared" ca="1" si="218"/>
        <v>0</v>
      </c>
      <c r="AS733" s="55">
        <f t="shared" ca="1" si="218"/>
        <v>0</v>
      </c>
      <c r="AT733" s="55">
        <f t="shared" ca="1" si="218"/>
        <v>0</v>
      </c>
      <c r="AU733" s="55">
        <f t="shared" ca="1" si="218"/>
        <v>0</v>
      </c>
      <c r="AV733" s="55">
        <f t="shared" ca="1" si="218"/>
        <v>0</v>
      </c>
      <c r="AW733" s="55">
        <f t="shared" ca="1" si="218"/>
        <v>0</v>
      </c>
      <c r="AX733" s="55">
        <f t="shared" ca="1" si="218"/>
        <v>0</v>
      </c>
    </row>
    <row r="734" spans="1:50" ht="15" customHeight="1" x14ac:dyDescent="0.25">
      <c r="A734" s="86"/>
      <c r="B734" s="235"/>
      <c r="C734" s="604"/>
      <c r="D734" s="217"/>
      <c r="E734" s="55" t="str">
        <f xml:space="preserve"> E724 &amp;  ": " &amp; Translate!E539</f>
        <v>Replacement capital costs, after ELT: SOC</v>
      </c>
      <c r="F734" s="64">
        <f t="shared" si="215"/>
        <v>0</v>
      </c>
      <c r="G734" s="55" t="str">
        <f t="shared" si="215"/>
        <v>US$ mn</v>
      </c>
      <c r="H734" s="190"/>
      <c r="I734" s="55">
        <f t="shared" ca="1" si="216"/>
        <v>0</v>
      </c>
      <c r="J734" s="55"/>
      <c r="K734" s="55">
        <f t="shared" ref="K734:AX734" ca="1" si="219" xml:space="preserve"> K724 * $F714 * ($F715 &lt;&gt; $F718)</f>
        <v>0</v>
      </c>
      <c r="L734" s="55">
        <f t="shared" ca="1" si="219"/>
        <v>0</v>
      </c>
      <c r="M734" s="55">
        <f t="shared" ca="1" si="219"/>
        <v>0</v>
      </c>
      <c r="N734" s="55">
        <f t="shared" ca="1" si="219"/>
        <v>0</v>
      </c>
      <c r="O734" s="55">
        <f t="shared" ca="1" si="219"/>
        <v>0</v>
      </c>
      <c r="P734" s="55">
        <f t="shared" ca="1" si="219"/>
        <v>0</v>
      </c>
      <c r="Q734" s="55">
        <f t="shared" ca="1" si="219"/>
        <v>0</v>
      </c>
      <c r="R734" s="55">
        <f t="shared" ca="1" si="219"/>
        <v>0</v>
      </c>
      <c r="S734" s="55">
        <f t="shared" ca="1" si="219"/>
        <v>0</v>
      </c>
      <c r="T734" s="55">
        <f t="shared" ca="1" si="219"/>
        <v>0</v>
      </c>
      <c r="U734" s="55">
        <f t="shared" ca="1" si="219"/>
        <v>0</v>
      </c>
      <c r="V734" s="55">
        <f t="shared" ca="1" si="219"/>
        <v>0</v>
      </c>
      <c r="W734" s="55">
        <f t="shared" ca="1" si="219"/>
        <v>0</v>
      </c>
      <c r="X734" s="55">
        <f t="shared" ca="1" si="219"/>
        <v>0</v>
      </c>
      <c r="Y734" s="55">
        <f t="shared" ca="1" si="219"/>
        <v>0</v>
      </c>
      <c r="Z734" s="55">
        <f t="shared" ca="1" si="219"/>
        <v>0</v>
      </c>
      <c r="AA734" s="55">
        <f t="shared" ca="1" si="219"/>
        <v>0</v>
      </c>
      <c r="AB734" s="55">
        <f t="shared" ca="1" si="219"/>
        <v>0</v>
      </c>
      <c r="AC734" s="55">
        <f t="shared" ca="1" si="219"/>
        <v>0</v>
      </c>
      <c r="AD734" s="55">
        <f t="shared" ca="1" si="219"/>
        <v>0</v>
      </c>
      <c r="AE734" s="55">
        <f t="shared" ca="1" si="219"/>
        <v>0</v>
      </c>
      <c r="AF734" s="55">
        <f t="shared" ca="1" si="219"/>
        <v>0</v>
      </c>
      <c r="AG734" s="55">
        <f t="shared" ca="1" si="219"/>
        <v>0</v>
      </c>
      <c r="AH734" s="55">
        <f t="shared" ca="1" si="219"/>
        <v>0</v>
      </c>
      <c r="AI734" s="55">
        <f t="shared" ca="1" si="219"/>
        <v>0</v>
      </c>
      <c r="AJ734" s="55">
        <f t="shared" ca="1" si="219"/>
        <v>0</v>
      </c>
      <c r="AK734" s="55">
        <f t="shared" ca="1" si="219"/>
        <v>0</v>
      </c>
      <c r="AL734" s="55">
        <f t="shared" ca="1" si="219"/>
        <v>0</v>
      </c>
      <c r="AM734" s="55">
        <f t="shared" ca="1" si="219"/>
        <v>0</v>
      </c>
      <c r="AN734" s="55">
        <f t="shared" ca="1" si="219"/>
        <v>0</v>
      </c>
      <c r="AO734" s="55">
        <f t="shared" ca="1" si="219"/>
        <v>0</v>
      </c>
      <c r="AP734" s="55">
        <f t="shared" ca="1" si="219"/>
        <v>0</v>
      </c>
      <c r="AQ734" s="55">
        <f t="shared" ca="1" si="219"/>
        <v>0</v>
      </c>
      <c r="AR734" s="55">
        <f t="shared" ca="1" si="219"/>
        <v>0</v>
      </c>
      <c r="AS734" s="55">
        <f t="shared" ca="1" si="219"/>
        <v>0</v>
      </c>
      <c r="AT734" s="55">
        <f t="shared" ca="1" si="219"/>
        <v>0</v>
      </c>
      <c r="AU734" s="55">
        <f t="shared" ca="1" si="219"/>
        <v>0</v>
      </c>
      <c r="AV734" s="55">
        <f t="shared" ca="1" si="219"/>
        <v>0</v>
      </c>
      <c r="AW734" s="55">
        <f t="shared" ca="1" si="219"/>
        <v>0</v>
      </c>
      <c r="AX734" s="55">
        <f t="shared" ca="1" si="219"/>
        <v>0</v>
      </c>
    </row>
    <row r="735" spans="1:50" ht="15" customHeight="1" x14ac:dyDescent="0.25">
      <c r="A735" s="86"/>
      <c r="B735" s="235"/>
      <c r="C735" s="604"/>
      <c r="D735" s="217"/>
      <c r="E735" s="55" t="str">
        <f xml:space="preserve"> E725 &amp;  ": " &amp; Translate!E539</f>
        <v>Operating costs, after ELT: SOC</v>
      </c>
      <c r="F735" s="64">
        <f t="shared" si="215"/>
        <v>0</v>
      </c>
      <c r="G735" s="55" t="str">
        <f t="shared" si="215"/>
        <v>US$ mn</v>
      </c>
      <c r="H735" s="190"/>
      <c r="I735" s="55">
        <f t="shared" ca="1" si="216"/>
        <v>1231.8225186780226</v>
      </c>
      <c r="J735" s="55"/>
      <c r="K735" s="55">
        <f t="shared" ref="K735:AX735" ca="1" si="220" xml:space="preserve"> K725 * $F714 * ($F715 &lt;&gt; $F718)</f>
        <v>0</v>
      </c>
      <c r="L735" s="55">
        <f t="shared" ca="1" si="220"/>
        <v>0</v>
      </c>
      <c r="M735" s="55">
        <f t="shared" ca="1" si="220"/>
        <v>0</v>
      </c>
      <c r="N735" s="55">
        <f t="shared" ca="1" si="220"/>
        <v>0</v>
      </c>
      <c r="O735" s="55">
        <f t="shared" ca="1" si="220"/>
        <v>10.824321600000001</v>
      </c>
      <c r="P735" s="55">
        <f t="shared" ca="1" si="220"/>
        <v>39.746908915200002</v>
      </c>
      <c r="Q735" s="55">
        <f t="shared" ca="1" si="220"/>
        <v>58.560445801728008</v>
      </c>
      <c r="R735" s="55">
        <f t="shared" ca="1" si="220"/>
        <v>59.731654717762559</v>
      </c>
      <c r="S735" s="55">
        <f t="shared" ca="1" si="220"/>
        <v>60.926287812117828</v>
      </c>
      <c r="T735" s="55">
        <f t="shared" ca="1" si="220"/>
        <v>62.144813568360178</v>
      </c>
      <c r="U735" s="55">
        <f t="shared" ca="1" si="220"/>
        <v>63.387709839727385</v>
      </c>
      <c r="V735" s="55">
        <f t="shared" ca="1" si="220"/>
        <v>64.655464036521934</v>
      </c>
      <c r="W735" s="55">
        <f t="shared" ca="1" si="220"/>
        <v>65.948573317252368</v>
      </c>
      <c r="X735" s="55">
        <f t="shared" ca="1" si="220"/>
        <v>67.267544783597415</v>
      </c>
      <c r="Y735" s="55">
        <f t="shared" ca="1" si="220"/>
        <v>68.612895679269371</v>
      </c>
      <c r="Z735" s="55">
        <f t="shared" ca="1" si="220"/>
        <v>69.985153592854758</v>
      </c>
      <c r="AA735" s="55">
        <f t="shared" ca="1" si="220"/>
        <v>71.384856664711847</v>
      </c>
      <c r="AB735" s="55">
        <f t="shared" ca="1" si="220"/>
        <v>72.812553798006093</v>
      </c>
      <c r="AC735" s="55">
        <f t="shared" ca="1" si="220"/>
        <v>42.847387427288204</v>
      </c>
      <c r="AD735" s="55">
        <f t="shared" ca="1" si="220"/>
        <v>40.790712830778368</v>
      </c>
      <c r="AE735" s="55">
        <f t="shared" ca="1" si="220"/>
        <v>35.662737503480521</v>
      </c>
      <c r="AF735" s="55">
        <f t="shared" ca="1" si="220"/>
        <v>33.647792834533867</v>
      </c>
      <c r="AG735" s="55">
        <f t="shared" ca="1" si="220"/>
        <v>30.919593415517614</v>
      </c>
      <c r="AH735" s="55">
        <f t="shared" ca="1" si="220"/>
        <v>29.961086019636568</v>
      </c>
      <c r="AI735" s="55">
        <f t="shared" ca="1" si="220"/>
        <v>28.951870490554072</v>
      </c>
      <c r="AJ735" s="55">
        <f t="shared" ca="1" si="220"/>
        <v>27.890301905900426</v>
      </c>
      <c r="AK735" s="55">
        <f t="shared" ca="1" si="220"/>
        <v>26.774689829664403</v>
      </c>
      <c r="AL735" s="55">
        <f t="shared" ca="1" si="220"/>
        <v>25.603297149616591</v>
      </c>
      <c r="AM735" s="55">
        <f t="shared" ca="1" si="220"/>
        <v>24.374338886434995</v>
      </c>
      <c r="AN735" s="55">
        <f t="shared" ca="1" si="220"/>
        <v>24.861825664163693</v>
      </c>
      <c r="AO735" s="55">
        <f t="shared" ca="1" si="220"/>
        <v>23.547700593343613</v>
      </c>
      <c r="AP735" s="55">
        <f t="shared" ca="1" si="220"/>
        <v>0</v>
      </c>
      <c r="AQ735" s="55">
        <f t="shared" ca="1" si="220"/>
        <v>0</v>
      </c>
      <c r="AR735" s="55">
        <f t="shared" ca="1" si="220"/>
        <v>0</v>
      </c>
      <c r="AS735" s="55">
        <f t="shared" ca="1" si="220"/>
        <v>0</v>
      </c>
      <c r="AT735" s="55">
        <f t="shared" ca="1" si="220"/>
        <v>0</v>
      </c>
      <c r="AU735" s="55">
        <f t="shared" ca="1" si="220"/>
        <v>0</v>
      </c>
      <c r="AV735" s="55">
        <f t="shared" ca="1" si="220"/>
        <v>0</v>
      </c>
      <c r="AW735" s="55">
        <f t="shared" ca="1" si="220"/>
        <v>0</v>
      </c>
      <c r="AX735" s="55">
        <f t="shared" ca="1" si="220"/>
        <v>0</v>
      </c>
    </row>
    <row r="736" spans="1:50" ht="15" customHeight="1" x14ac:dyDescent="0.25">
      <c r="A736" s="86"/>
      <c r="B736" s="235"/>
      <c r="C736" s="604"/>
      <c r="D736" s="217"/>
      <c r="E736" s="55" t="str">
        <f xml:space="preserve"> E726 &amp;  ": " &amp; Translate!E539</f>
        <v>Net decommissioning cashflows including fund: SOC</v>
      </c>
      <c r="F736" s="64">
        <f t="shared" si="215"/>
        <v>0</v>
      </c>
      <c r="G736" s="55" t="str">
        <f t="shared" si="215"/>
        <v>US$ mn</v>
      </c>
      <c r="H736" s="190"/>
      <c r="I736" s="55">
        <f t="shared" ca="1" si="216"/>
        <v>228.48899612127232</v>
      </c>
      <c r="J736" s="55"/>
      <c r="K736" s="55">
        <f t="shared" ref="K736:AX736" ca="1" si="221" xml:space="preserve"> K726 * $F714 * ($F715 &lt;&gt; $F718)</f>
        <v>0</v>
      </c>
      <c r="L736" s="55">
        <f t="shared" ca="1" si="221"/>
        <v>0</v>
      </c>
      <c r="M736" s="55">
        <f t="shared" ca="1" si="221"/>
        <v>0</v>
      </c>
      <c r="N736" s="55">
        <f t="shared" ca="1" si="221"/>
        <v>0</v>
      </c>
      <c r="O736" s="55">
        <f t="shared" ca="1" si="221"/>
        <v>0</v>
      </c>
      <c r="P736" s="55">
        <f t="shared" ca="1" si="221"/>
        <v>0</v>
      </c>
      <c r="Q736" s="55">
        <f t="shared" ca="1" si="221"/>
        <v>0</v>
      </c>
      <c r="R736" s="55">
        <f t="shared" ca="1" si="221"/>
        <v>0</v>
      </c>
      <c r="S736" s="55">
        <f t="shared" ca="1" si="221"/>
        <v>0</v>
      </c>
      <c r="T736" s="55">
        <f t="shared" ca="1" si="221"/>
        <v>0</v>
      </c>
      <c r="U736" s="55">
        <f t="shared" ca="1" si="221"/>
        <v>0</v>
      </c>
      <c r="V736" s="55">
        <f t="shared" ca="1" si="221"/>
        <v>0</v>
      </c>
      <c r="W736" s="55">
        <f t="shared" ca="1" si="221"/>
        <v>12.748694593077193</v>
      </c>
      <c r="X736" s="55">
        <f t="shared" ca="1" si="221"/>
        <v>12.748694593077193</v>
      </c>
      <c r="Y736" s="55">
        <f t="shared" ca="1" si="221"/>
        <v>12.748694593077193</v>
      </c>
      <c r="Z736" s="55">
        <f t="shared" ca="1" si="221"/>
        <v>12.748694593077193</v>
      </c>
      <c r="AA736" s="55">
        <f t="shared" ca="1" si="221"/>
        <v>12.748694593077193</v>
      </c>
      <c r="AB736" s="55">
        <f t="shared" ca="1" si="221"/>
        <v>12.748694593077193</v>
      </c>
      <c r="AC736" s="55">
        <f t="shared" ca="1" si="221"/>
        <v>12.748694593077193</v>
      </c>
      <c r="AD736" s="55">
        <f t="shared" ca="1" si="221"/>
        <v>12.748694593077193</v>
      </c>
      <c r="AE736" s="55">
        <f t="shared" ca="1" si="221"/>
        <v>12.748694593077193</v>
      </c>
      <c r="AF736" s="55">
        <f t="shared" ca="1" si="221"/>
        <v>12.748694593077193</v>
      </c>
      <c r="AG736" s="55">
        <f t="shared" ca="1" si="221"/>
        <v>12.748694593077193</v>
      </c>
      <c r="AH736" s="55">
        <f t="shared" ca="1" si="221"/>
        <v>12.748694593077193</v>
      </c>
      <c r="AI736" s="55">
        <f t="shared" ca="1" si="221"/>
        <v>12.748694593077193</v>
      </c>
      <c r="AJ736" s="55">
        <f t="shared" ca="1" si="221"/>
        <v>12.748694593077193</v>
      </c>
      <c r="AK736" s="55">
        <f t="shared" ca="1" si="221"/>
        <v>12.748694593077193</v>
      </c>
      <c r="AL736" s="55">
        <f t="shared" ca="1" si="221"/>
        <v>12.748694593077188</v>
      </c>
      <c r="AM736" s="55">
        <f t="shared" ca="1" si="221"/>
        <v>8.1699608773457495</v>
      </c>
      <c r="AN736" s="55">
        <f t="shared" ca="1" si="221"/>
        <v>8.1699608773457495</v>
      </c>
      <c r="AO736" s="55">
        <f t="shared" ca="1" si="221"/>
        <v>8.1699608773457495</v>
      </c>
      <c r="AP736" s="55">
        <f t="shared" ca="1" si="221"/>
        <v>0</v>
      </c>
      <c r="AQ736" s="55">
        <f t="shared" ca="1" si="221"/>
        <v>0</v>
      </c>
      <c r="AR736" s="55">
        <f t="shared" ca="1" si="221"/>
        <v>0</v>
      </c>
      <c r="AS736" s="55">
        <f t="shared" ca="1" si="221"/>
        <v>0</v>
      </c>
      <c r="AT736" s="55">
        <f t="shared" ca="1" si="221"/>
        <v>0</v>
      </c>
      <c r="AU736" s="55">
        <f t="shared" ca="1" si="221"/>
        <v>0</v>
      </c>
      <c r="AV736" s="55">
        <f t="shared" ca="1" si="221"/>
        <v>0</v>
      </c>
      <c r="AW736" s="55">
        <f t="shared" ca="1" si="221"/>
        <v>0</v>
      </c>
      <c r="AX736" s="55">
        <f t="shared" ca="1" si="221"/>
        <v>0</v>
      </c>
    </row>
    <row r="737" spans="1:50" ht="15" customHeight="1" x14ac:dyDescent="0.25">
      <c r="A737" s="86"/>
      <c r="B737" s="235"/>
      <c r="C737" s="604"/>
      <c r="D737" s="217"/>
      <c r="E737" s="55" t="str">
        <f xml:space="preserve"> E727 &amp;  ": " &amp; Translate!E539</f>
        <v>Bonuses: SOC</v>
      </c>
      <c r="F737" s="64">
        <f t="shared" si="215"/>
        <v>0</v>
      </c>
      <c r="G737" s="55" t="str">
        <f t="shared" si="215"/>
        <v>US$ mn</v>
      </c>
      <c r="H737" s="190" t="str">
        <f>Translate!E521</f>
        <v>100% attributed to IOC</v>
      </c>
      <c r="I737" s="55">
        <f t="shared" si="216"/>
        <v>0</v>
      </c>
      <c r="J737" s="55"/>
      <c r="K737" s="123">
        <v>0</v>
      </c>
      <c r="L737" s="123">
        <v>0</v>
      </c>
      <c r="M737" s="123">
        <v>0</v>
      </c>
      <c r="N737" s="123">
        <v>0</v>
      </c>
      <c r="O737" s="123">
        <v>0</v>
      </c>
      <c r="P737" s="123">
        <v>0</v>
      </c>
      <c r="Q737" s="123">
        <v>0</v>
      </c>
      <c r="R737" s="123">
        <v>0</v>
      </c>
      <c r="S737" s="123">
        <v>0</v>
      </c>
      <c r="T737" s="123">
        <v>0</v>
      </c>
      <c r="U737" s="123">
        <v>0</v>
      </c>
      <c r="V737" s="123">
        <v>0</v>
      </c>
      <c r="W737" s="123">
        <v>0</v>
      </c>
      <c r="X737" s="123">
        <v>0</v>
      </c>
      <c r="Y737" s="123">
        <v>0</v>
      </c>
      <c r="Z737" s="123">
        <v>0</v>
      </c>
      <c r="AA737" s="123">
        <v>0</v>
      </c>
      <c r="AB737" s="123">
        <v>0</v>
      </c>
      <c r="AC737" s="123">
        <v>0</v>
      </c>
      <c r="AD737" s="123">
        <v>0</v>
      </c>
      <c r="AE737" s="123">
        <v>0</v>
      </c>
      <c r="AF737" s="123">
        <v>0</v>
      </c>
      <c r="AG737" s="123">
        <v>0</v>
      </c>
      <c r="AH737" s="123">
        <v>0</v>
      </c>
      <c r="AI737" s="123">
        <v>0</v>
      </c>
      <c r="AJ737" s="123">
        <v>0</v>
      </c>
      <c r="AK737" s="123">
        <v>0</v>
      </c>
      <c r="AL737" s="123">
        <v>0</v>
      </c>
      <c r="AM737" s="123">
        <v>0</v>
      </c>
      <c r="AN737" s="123">
        <v>0</v>
      </c>
      <c r="AO737" s="123">
        <v>0</v>
      </c>
      <c r="AP737" s="123">
        <v>0</v>
      </c>
      <c r="AQ737" s="123">
        <v>0</v>
      </c>
      <c r="AR737" s="123">
        <v>0</v>
      </c>
      <c r="AS737" s="123">
        <v>0</v>
      </c>
      <c r="AT737" s="123">
        <v>0</v>
      </c>
      <c r="AU737" s="123">
        <v>0</v>
      </c>
      <c r="AV737" s="123">
        <v>0</v>
      </c>
      <c r="AW737" s="123">
        <v>0</v>
      </c>
      <c r="AX737" s="123">
        <v>0</v>
      </c>
    </row>
    <row r="738" spans="1:50" ht="15" customHeight="1" x14ac:dyDescent="0.25">
      <c r="A738" s="86"/>
      <c r="B738" s="235"/>
      <c r="C738" s="604"/>
      <c r="D738" s="217"/>
      <c r="E738" s="55" t="str">
        <f xml:space="preserve"> E728 &amp;  ": " &amp; Translate!E539</f>
        <v>Carbon tax: SOC</v>
      </c>
      <c r="F738" s="64">
        <f t="shared" si="215"/>
        <v>0</v>
      </c>
      <c r="G738" s="55" t="str">
        <f t="shared" si="215"/>
        <v>US$ mn</v>
      </c>
      <c r="H738" s="190"/>
      <c r="I738" s="55">
        <f ca="1" xml:space="preserve"> SUM(K738:AX738)</f>
        <v>202.1875063448889</v>
      </c>
      <c r="J738" s="55"/>
      <c r="K738" s="55">
        <f t="shared" ref="K738:AX738" ca="1" si="222" xml:space="preserve"> K728 * $F714 * ($F715 &lt;&gt; $F718)</f>
        <v>0</v>
      </c>
      <c r="L738" s="55">
        <f t="shared" ca="1" si="222"/>
        <v>0</v>
      </c>
      <c r="M738" s="55">
        <f t="shared" ca="1" si="222"/>
        <v>0</v>
      </c>
      <c r="N738" s="55">
        <f t="shared" ca="1" si="222"/>
        <v>0</v>
      </c>
      <c r="O738" s="55">
        <f t="shared" ca="1" si="222"/>
        <v>0.87864554656330718</v>
      </c>
      <c r="P738" s="55">
        <f t="shared" ca="1" si="222"/>
        <v>6.9024420000000006</v>
      </c>
      <c r="Q738" s="55">
        <f t="shared" ca="1" si="222"/>
        <v>13.804884000000001</v>
      </c>
      <c r="R738" s="55">
        <f t="shared" ca="1" si="222"/>
        <v>13.804884000000001</v>
      </c>
      <c r="S738" s="55">
        <f t="shared" ca="1" si="222"/>
        <v>13.804884000000001</v>
      </c>
      <c r="T738" s="55">
        <f t="shared" ca="1" si="222"/>
        <v>13.804884000000001</v>
      </c>
      <c r="U738" s="55">
        <f t="shared" ca="1" si="222"/>
        <v>13.804884000000001</v>
      </c>
      <c r="V738" s="55">
        <f t="shared" ca="1" si="222"/>
        <v>13.804884000000001</v>
      </c>
      <c r="W738" s="55">
        <f t="shared" ca="1" si="222"/>
        <v>13.804884000000001</v>
      </c>
      <c r="X738" s="55">
        <f t="shared" ca="1" si="222"/>
        <v>13.804884000000001</v>
      </c>
      <c r="Y738" s="55">
        <f t="shared" ca="1" si="222"/>
        <v>13.804884000000001</v>
      </c>
      <c r="Z738" s="55">
        <f t="shared" ca="1" si="222"/>
        <v>13.804884000000001</v>
      </c>
      <c r="AA738" s="55">
        <f t="shared" ca="1" si="222"/>
        <v>11.181956040000003</v>
      </c>
      <c r="AB738" s="55">
        <f t="shared" ca="1" si="222"/>
        <v>9.0573843924000013</v>
      </c>
      <c r="AC738" s="55">
        <f t="shared" ca="1" si="222"/>
        <v>7.3364813578440025</v>
      </c>
      <c r="AD738" s="55">
        <f t="shared" ca="1" si="222"/>
        <v>5.9425498998536446</v>
      </c>
      <c r="AE738" s="55">
        <f t="shared" ca="1" si="222"/>
        <v>4.813465418881453</v>
      </c>
      <c r="AF738" s="55">
        <f t="shared" ca="1" si="222"/>
        <v>3.8989069892939763</v>
      </c>
      <c r="AG738" s="55">
        <f t="shared" ca="1" si="222"/>
        <v>3.158114661328121</v>
      </c>
      <c r="AH738" s="55">
        <f t="shared" ca="1" si="222"/>
        <v>2.5580728756757782</v>
      </c>
      <c r="AI738" s="55">
        <f t="shared" ca="1" si="222"/>
        <v>2.0720390292973803</v>
      </c>
      <c r="AJ738" s="55">
        <f t="shared" ca="1" si="222"/>
        <v>1.678351613730878</v>
      </c>
      <c r="AK738" s="55">
        <f t="shared" ca="1" si="222"/>
        <v>1.3594648071220115</v>
      </c>
      <c r="AL738" s="55">
        <f t="shared" ca="1" si="222"/>
        <v>1.1011664937688292</v>
      </c>
      <c r="AM738" s="55">
        <f t="shared" ca="1" si="222"/>
        <v>0.89194485995275152</v>
      </c>
      <c r="AN738" s="55">
        <f t="shared" ca="1" si="222"/>
        <v>0.7224753365617288</v>
      </c>
      <c r="AO738" s="55">
        <f t="shared" ca="1" si="222"/>
        <v>0.58520502261500063</v>
      </c>
      <c r="AP738" s="55">
        <f t="shared" ca="1" si="222"/>
        <v>0</v>
      </c>
      <c r="AQ738" s="55">
        <f t="shared" ca="1" si="222"/>
        <v>0</v>
      </c>
      <c r="AR738" s="55">
        <f t="shared" ca="1" si="222"/>
        <v>0</v>
      </c>
      <c r="AS738" s="55">
        <f t="shared" ca="1" si="222"/>
        <v>0</v>
      </c>
      <c r="AT738" s="55">
        <f t="shared" ca="1" si="222"/>
        <v>0</v>
      </c>
      <c r="AU738" s="55">
        <f t="shared" ca="1" si="222"/>
        <v>0</v>
      </c>
      <c r="AV738" s="55">
        <f t="shared" ca="1" si="222"/>
        <v>0</v>
      </c>
      <c r="AW738" s="55">
        <f t="shared" ca="1" si="222"/>
        <v>0</v>
      </c>
      <c r="AX738" s="55">
        <f t="shared" ca="1" si="222"/>
        <v>0</v>
      </c>
    </row>
    <row r="739" spans="1:50" s="485" customFormat="1" ht="15" customHeight="1" x14ac:dyDescent="0.25">
      <c r="A739" s="479"/>
      <c r="B739" s="674"/>
      <c r="C739" s="621"/>
      <c r="D739" s="508"/>
      <c r="E739" s="482" t="str">
        <f xml:space="preserve"> Translate!E$325</f>
        <v>Costs allocated to SOC (JV cashcalls)</v>
      </c>
      <c r="F739" s="504"/>
      <c r="G739" s="482" t="str">
        <f xml:space="preserve"> Translate!E$603</f>
        <v>US$ mn</v>
      </c>
      <c r="H739" s="511"/>
      <c r="I739" s="482">
        <f t="shared" ca="1" si="216"/>
        <v>3753.6134774303423</v>
      </c>
      <c r="J739" s="482"/>
      <c r="K739" s="482">
        <f ca="1">SUM(K732:K738)</f>
        <v>0</v>
      </c>
      <c r="L739" s="482">
        <f t="shared" ref="L739:AX739" ca="1" si="223">SUM(L732:L738)</f>
        <v>10.200000000000001</v>
      </c>
      <c r="M739" s="482">
        <f t="shared" ca="1" si="223"/>
        <v>62.424000000000007</v>
      </c>
      <c r="N739" s="482">
        <f t="shared" ca="1" si="223"/>
        <v>254.68992</v>
      </c>
      <c r="O739" s="482">
        <f t="shared" ca="1" si="223"/>
        <v>271.48668554656331</v>
      </c>
      <c r="P739" s="482">
        <f t="shared" ca="1" si="223"/>
        <v>510.36328825919998</v>
      </c>
      <c r="Q739" s="482">
        <f t="shared" ca="1" si="223"/>
        <v>320.12106203980807</v>
      </c>
      <c r="R739" s="482">
        <f t="shared" ca="1" si="223"/>
        <v>176.91824880619777</v>
      </c>
      <c r="S739" s="482">
        <f t="shared" ca="1" si="223"/>
        <v>133.31414086223111</v>
      </c>
      <c r="T739" s="482">
        <f t="shared" ca="1" si="223"/>
        <v>135.70432599947571</v>
      </c>
      <c r="U739" s="482">
        <f t="shared" ca="1" si="223"/>
        <v>138.14231483946526</v>
      </c>
      <c r="V739" s="482">
        <f t="shared" ca="1" si="223"/>
        <v>140.62906345625456</v>
      </c>
      <c r="W739" s="482">
        <f t="shared" ca="1" si="223"/>
        <v>155.91424163845687</v>
      </c>
      <c r="X739" s="482">
        <f t="shared" ca="1" si="223"/>
        <v>158.50145489936443</v>
      </c>
      <c r="Y739" s="482">
        <f t="shared" ca="1" si="223"/>
        <v>161.14041242549018</v>
      </c>
      <c r="Z739" s="482">
        <f t="shared" ca="1" si="223"/>
        <v>163.83214910213843</v>
      </c>
      <c r="AA739" s="482">
        <f t="shared" ca="1" si="223"/>
        <v>163.9547925523197</v>
      </c>
      <c r="AB739" s="482">
        <f t="shared" ca="1" si="223"/>
        <v>94.618632783483278</v>
      </c>
      <c r="AC739" s="482">
        <f t="shared" ca="1" si="223"/>
        <v>62.932563378209402</v>
      </c>
      <c r="AD739" s="482">
        <f t="shared" ca="1" si="223"/>
        <v>117.75440422482116</v>
      </c>
      <c r="AE739" s="482">
        <f t="shared" ca="1" si="223"/>
        <v>112.66279335457335</v>
      </c>
      <c r="AF739" s="482">
        <f t="shared" ca="1" si="223"/>
        <v>50.29539441690504</v>
      </c>
      <c r="AG739" s="482">
        <f t="shared" ca="1" si="223"/>
        <v>46.826402669922928</v>
      </c>
      <c r="AH739" s="482">
        <f t="shared" ca="1" si="223"/>
        <v>45.267853488389534</v>
      </c>
      <c r="AI739" s="482">
        <f t="shared" ca="1" si="223"/>
        <v>43.77260411292864</v>
      </c>
      <c r="AJ739" s="482">
        <f t="shared" ca="1" si="223"/>
        <v>42.317348112708494</v>
      </c>
      <c r="AK739" s="482">
        <f t="shared" ca="1" si="223"/>
        <v>40.882849229863609</v>
      </c>
      <c r="AL739" s="482">
        <f t="shared" ca="1" si="223"/>
        <v>39.453158236462606</v>
      </c>
      <c r="AM739" s="482">
        <f t="shared" ca="1" si="223"/>
        <v>33.436244623733494</v>
      </c>
      <c r="AN739" s="482">
        <f t="shared" ca="1" si="223"/>
        <v>33.754261878071169</v>
      </c>
      <c r="AO739" s="482">
        <f t="shared" ca="1" si="223"/>
        <v>32.302866493304364</v>
      </c>
      <c r="AP739" s="482">
        <f t="shared" ca="1" si="223"/>
        <v>0</v>
      </c>
      <c r="AQ739" s="482">
        <f t="shared" ca="1" si="223"/>
        <v>0</v>
      </c>
      <c r="AR739" s="482">
        <f t="shared" ca="1" si="223"/>
        <v>0</v>
      </c>
      <c r="AS739" s="482">
        <f t="shared" ca="1" si="223"/>
        <v>0</v>
      </c>
      <c r="AT739" s="482">
        <f t="shared" ca="1" si="223"/>
        <v>0</v>
      </c>
      <c r="AU739" s="482">
        <f t="shared" ca="1" si="223"/>
        <v>0</v>
      </c>
      <c r="AV739" s="482">
        <f t="shared" ca="1" si="223"/>
        <v>0</v>
      </c>
      <c r="AW739" s="482">
        <f t="shared" ca="1" si="223"/>
        <v>0</v>
      </c>
      <c r="AX739" s="482">
        <f t="shared" ca="1" si="223"/>
        <v>0</v>
      </c>
    </row>
    <row r="740" spans="1:50" ht="15" customHeight="1" x14ac:dyDescent="0.25">
      <c r="A740" s="86"/>
      <c r="B740" s="235"/>
      <c r="C740" s="604"/>
      <c r="D740" s="162"/>
      <c r="E740" s="55"/>
      <c r="F740" s="64"/>
      <c r="G740" s="55"/>
      <c r="H740" s="55"/>
      <c r="I740" s="48"/>
      <c r="J740" s="55"/>
      <c r="K740" s="55"/>
      <c r="L740" s="55"/>
      <c r="M740" s="55"/>
      <c r="N740" s="55"/>
      <c r="O740" s="55"/>
      <c r="P740" s="55"/>
      <c r="Q740" s="55"/>
      <c r="R740" s="55"/>
      <c r="S740" s="55"/>
      <c r="T740" s="55"/>
      <c r="U740" s="55"/>
      <c r="V740" s="55"/>
      <c r="W740" s="55"/>
      <c r="X740" s="55"/>
      <c r="Y740" s="55"/>
      <c r="Z740" s="55"/>
      <c r="AA740" s="55"/>
      <c r="AB740" s="55"/>
      <c r="AC740" s="55"/>
      <c r="AD740" s="55"/>
      <c r="AE740" s="55"/>
      <c r="AF740" s="55"/>
      <c r="AG740" s="55"/>
      <c r="AH740" s="55"/>
      <c r="AI740" s="55"/>
      <c r="AJ740" s="55"/>
      <c r="AK740" s="55"/>
      <c r="AL740" s="55"/>
      <c r="AM740" s="55"/>
      <c r="AN740" s="55"/>
      <c r="AO740" s="55"/>
      <c r="AP740" s="55"/>
      <c r="AQ740" s="55"/>
      <c r="AR740" s="55"/>
      <c r="AS740" s="55"/>
      <c r="AT740" s="55"/>
      <c r="AU740" s="55"/>
      <c r="AV740" s="55"/>
      <c r="AW740" s="55"/>
      <c r="AX740" s="55"/>
    </row>
    <row r="741" spans="1:50" ht="15" customHeight="1" x14ac:dyDescent="0.25">
      <c r="A741" s="86"/>
      <c r="B741" s="235" t="str">
        <f>Translate!$E$444</f>
        <v>IOC share of costs</v>
      </c>
      <c r="C741" s="604"/>
      <c r="D741" s="162"/>
      <c r="E741" s="55"/>
      <c r="F741" s="583"/>
      <c r="G741" s="55"/>
      <c r="H741" s="55"/>
      <c r="I741" s="48"/>
      <c r="J741" s="55"/>
      <c r="K741" s="55"/>
      <c r="L741" s="55"/>
      <c r="M741" s="55"/>
      <c r="N741" s="55"/>
      <c r="O741" s="55"/>
      <c r="P741" s="55"/>
      <c r="Q741" s="55"/>
      <c r="R741" s="55"/>
      <c r="S741" s="55"/>
      <c r="T741" s="55"/>
      <c r="U741" s="55"/>
      <c r="V741" s="55"/>
      <c r="W741" s="55"/>
      <c r="X741" s="55"/>
      <c r="Y741" s="55"/>
      <c r="Z741" s="55"/>
      <c r="AA741" s="55"/>
      <c r="AB741" s="55"/>
      <c r="AC741" s="55"/>
      <c r="AD741" s="55"/>
      <c r="AE741" s="55"/>
      <c r="AF741" s="55"/>
      <c r="AG741" s="55"/>
      <c r="AH741" s="55"/>
      <c r="AI741" s="55"/>
      <c r="AJ741" s="55"/>
      <c r="AK741" s="55"/>
      <c r="AL741" s="55"/>
      <c r="AM741" s="55"/>
      <c r="AN741" s="55"/>
      <c r="AO741" s="55"/>
      <c r="AP741" s="55"/>
      <c r="AQ741" s="55"/>
      <c r="AR741" s="55"/>
      <c r="AS741" s="55"/>
      <c r="AT741" s="55"/>
      <c r="AU741" s="55"/>
      <c r="AV741" s="55"/>
      <c r="AW741" s="55"/>
      <c r="AX741" s="55"/>
    </row>
    <row r="742" spans="1:50" ht="15" customHeight="1" x14ac:dyDescent="0.25">
      <c r="A742" s="86"/>
      <c r="B742" s="235"/>
      <c r="C742" s="604"/>
      <c r="D742" s="217"/>
      <c r="E742" s="55" t="str">
        <f xml:space="preserve"> E722 &amp;  ": " &amp; Translate!E113</f>
        <v>Exploration costs, after ELT: IOC</v>
      </c>
      <c r="F742" s="64">
        <f t="shared" ref="F742:G748" si="224" xml:space="preserve"> F722</f>
        <v>0</v>
      </c>
      <c r="G742" s="55" t="str">
        <f t="shared" si="224"/>
        <v>US$ mn</v>
      </c>
      <c r="H742" s="190"/>
      <c r="I742" s="55">
        <f t="shared" ref="I742:I749" ca="1" si="225" xml:space="preserve"> SUM(K742:AX742)</f>
        <v>420</v>
      </c>
      <c r="J742" s="55"/>
      <c r="K742" s="55">
        <f t="shared" ref="K742:AX742" ca="1" si="226" xml:space="preserve"> K722 - K732</f>
        <v>420</v>
      </c>
      <c r="L742" s="55">
        <f t="shared" ca="1" si="226"/>
        <v>0</v>
      </c>
      <c r="M742" s="55">
        <f t="shared" ca="1" si="226"/>
        <v>0</v>
      </c>
      <c r="N742" s="55">
        <f t="shared" ca="1" si="226"/>
        <v>0</v>
      </c>
      <c r="O742" s="55">
        <f t="shared" ca="1" si="226"/>
        <v>0</v>
      </c>
      <c r="P742" s="55">
        <f t="shared" ca="1" si="226"/>
        <v>0</v>
      </c>
      <c r="Q742" s="55">
        <f t="shared" ca="1" si="226"/>
        <v>0</v>
      </c>
      <c r="R742" s="55">
        <f t="shared" ca="1" si="226"/>
        <v>0</v>
      </c>
      <c r="S742" s="55">
        <f t="shared" ca="1" si="226"/>
        <v>0</v>
      </c>
      <c r="T742" s="55">
        <f t="shared" ca="1" si="226"/>
        <v>0</v>
      </c>
      <c r="U742" s="55">
        <f t="shared" ca="1" si="226"/>
        <v>0</v>
      </c>
      <c r="V742" s="55">
        <f t="shared" ca="1" si="226"/>
        <v>0</v>
      </c>
      <c r="W742" s="55">
        <f t="shared" ca="1" si="226"/>
        <v>0</v>
      </c>
      <c r="X742" s="55">
        <f t="shared" ca="1" si="226"/>
        <v>0</v>
      </c>
      <c r="Y742" s="55">
        <f t="shared" ca="1" si="226"/>
        <v>0</v>
      </c>
      <c r="Z742" s="55">
        <f t="shared" ca="1" si="226"/>
        <v>0</v>
      </c>
      <c r="AA742" s="55">
        <f t="shared" ca="1" si="226"/>
        <v>0</v>
      </c>
      <c r="AB742" s="55">
        <f t="shared" ca="1" si="226"/>
        <v>0</v>
      </c>
      <c r="AC742" s="55">
        <f t="shared" ca="1" si="226"/>
        <v>0</v>
      </c>
      <c r="AD742" s="55">
        <f t="shared" ca="1" si="226"/>
        <v>0</v>
      </c>
      <c r="AE742" s="55">
        <f t="shared" ca="1" si="226"/>
        <v>0</v>
      </c>
      <c r="AF742" s="55">
        <f t="shared" ca="1" si="226"/>
        <v>0</v>
      </c>
      <c r="AG742" s="55">
        <f t="shared" ca="1" si="226"/>
        <v>0</v>
      </c>
      <c r="AH742" s="55">
        <f t="shared" ca="1" si="226"/>
        <v>0</v>
      </c>
      <c r="AI742" s="55">
        <f t="shared" ca="1" si="226"/>
        <v>0</v>
      </c>
      <c r="AJ742" s="55">
        <f t="shared" ca="1" si="226"/>
        <v>0</v>
      </c>
      <c r="AK742" s="55">
        <f t="shared" ca="1" si="226"/>
        <v>0</v>
      </c>
      <c r="AL742" s="55">
        <f t="shared" ca="1" si="226"/>
        <v>0</v>
      </c>
      <c r="AM742" s="55">
        <f t="shared" ca="1" si="226"/>
        <v>0</v>
      </c>
      <c r="AN742" s="55">
        <f t="shared" ca="1" si="226"/>
        <v>0</v>
      </c>
      <c r="AO742" s="55">
        <f t="shared" ca="1" si="226"/>
        <v>0</v>
      </c>
      <c r="AP742" s="55">
        <f t="shared" ca="1" si="226"/>
        <v>0</v>
      </c>
      <c r="AQ742" s="55">
        <f t="shared" ca="1" si="226"/>
        <v>0</v>
      </c>
      <c r="AR742" s="55">
        <f t="shared" ca="1" si="226"/>
        <v>0</v>
      </c>
      <c r="AS742" s="55">
        <f t="shared" ca="1" si="226"/>
        <v>0</v>
      </c>
      <c r="AT742" s="55">
        <f t="shared" ca="1" si="226"/>
        <v>0</v>
      </c>
      <c r="AU742" s="55">
        <f t="shared" ca="1" si="226"/>
        <v>0</v>
      </c>
      <c r="AV742" s="55">
        <f t="shared" ca="1" si="226"/>
        <v>0</v>
      </c>
      <c r="AW742" s="55">
        <f t="shared" ca="1" si="226"/>
        <v>0</v>
      </c>
      <c r="AX742" s="55">
        <f t="shared" ca="1" si="226"/>
        <v>0</v>
      </c>
    </row>
    <row r="743" spans="1:50" ht="15" customHeight="1" x14ac:dyDescent="0.25">
      <c r="A743" s="86"/>
      <c r="B743" s="235"/>
      <c r="C743" s="604"/>
      <c r="D743" s="217"/>
      <c r="E743" s="55" t="str">
        <f xml:space="preserve"> E723 &amp;  ": " &amp; Translate!E113</f>
        <v>Development costs, after ELT: IOC</v>
      </c>
      <c r="F743" s="64">
        <f t="shared" si="224"/>
        <v>0</v>
      </c>
      <c r="G743" s="55" t="str">
        <f t="shared" si="224"/>
        <v>US$ mn</v>
      </c>
      <c r="H743" s="190"/>
      <c r="I743" s="55">
        <f t="shared" ca="1" si="225"/>
        <v>8364.4578251446346</v>
      </c>
      <c r="J743" s="55"/>
      <c r="K743" s="55">
        <f t="shared" ref="K743:AX743" ca="1" si="227" xml:space="preserve"> K723 - K733</f>
        <v>0</v>
      </c>
      <c r="L743" s="55">
        <f t="shared" ca="1" si="227"/>
        <v>40.799999999999997</v>
      </c>
      <c r="M743" s="55">
        <f t="shared" ca="1" si="227"/>
        <v>249.696</v>
      </c>
      <c r="N743" s="55">
        <f t="shared" ca="1" si="227"/>
        <v>1018.7596799999999</v>
      </c>
      <c r="O743" s="55">
        <f t="shared" ca="1" si="227"/>
        <v>1039.1348736</v>
      </c>
      <c r="P743" s="55">
        <f t="shared" ca="1" si="227"/>
        <v>1854.8557493759999</v>
      </c>
      <c r="Q743" s="55">
        <f t="shared" ca="1" si="227"/>
        <v>991.02292895232006</v>
      </c>
      <c r="R743" s="55">
        <f t="shared" ca="1" si="227"/>
        <v>413.52684035374079</v>
      </c>
      <c r="S743" s="55">
        <f t="shared" ca="1" si="227"/>
        <v>234.33187620045314</v>
      </c>
      <c r="T743" s="55">
        <f t="shared" ca="1" si="227"/>
        <v>239.01851372446222</v>
      </c>
      <c r="U743" s="55">
        <f t="shared" ca="1" si="227"/>
        <v>243.79888399895148</v>
      </c>
      <c r="V743" s="55">
        <f t="shared" ca="1" si="227"/>
        <v>248.67486167893048</v>
      </c>
      <c r="W743" s="55">
        <f t="shared" ca="1" si="227"/>
        <v>253.64835891250908</v>
      </c>
      <c r="X743" s="55">
        <f t="shared" ca="1" si="227"/>
        <v>258.72132609075925</v>
      </c>
      <c r="Y743" s="55">
        <f t="shared" ca="1" si="227"/>
        <v>263.89575261257448</v>
      </c>
      <c r="Z743" s="55">
        <f t="shared" ca="1" si="227"/>
        <v>269.17366766482598</v>
      </c>
      <c r="AA743" s="55">
        <f t="shared" ca="1" si="227"/>
        <v>274.55714101812248</v>
      </c>
      <c r="AB743" s="55">
        <f t="shared" ca="1" si="227"/>
        <v>0</v>
      </c>
      <c r="AC743" s="55">
        <f t="shared" ca="1" si="227"/>
        <v>0</v>
      </c>
      <c r="AD743" s="55">
        <f t="shared" ca="1" si="227"/>
        <v>233.08978760444779</v>
      </c>
      <c r="AE743" s="55">
        <f t="shared" ca="1" si="227"/>
        <v>237.75158335653677</v>
      </c>
      <c r="AF743" s="55">
        <f t="shared" ca="1" si="227"/>
        <v>0</v>
      </c>
      <c r="AG743" s="55">
        <f t="shared" ca="1" si="227"/>
        <v>0</v>
      </c>
      <c r="AH743" s="55">
        <f t="shared" ca="1" si="227"/>
        <v>0</v>
      </c>
      <c r="AI743" s="55">
        <f t="shared" ca="1" si="227"/>
        <v>0</v>
      </c>
      <c r="AJ743" s="55">
        <f t="shared" ca="1" si="227"/>
        <v>0</v>
      </c>
      <c r="AK743" s="55">
        <f t="shared" ca="1" si="227"/>
        <v>0</v>
      </c>
      <c r="AL743" s="55">
        <f t="shared" ca="1" si="227"/>
        <v>0</v>
      </c>
      <c r="AM743" s="55">
        <f t="shared" ca="1" si="227"/>
        <v>0</v>
      </c>
      <c r="AN743" s="55">
        <f t="shared" ca="1" si="227"/>
        <v>0</v>
      </c>
      <c r="AO743" s="55">
        <f t="shared" ca="1" si="227"/>
        <v>0</v>
      </c>
      <c r="AP743" s="55">
        <f t="shared" ca="1" si="227"/>
        <v>0</v>
      </c>
      <c r="AQ743" s="55">
        <f t="shared" ca="1" si="227"/>
        <v>0</v>
      </c>
      <c r="AR743" s="55">
        <f t="shared" ca="1" si="227"/>
        <v>0</v>
      </c>
      <c r="AS743" s="55">
        <f t="shared" ca="1" si="227"/>
        <v>0</v>
      </c>
      <c r="AT743" s="55">
        <f t="shared" ca="1" si="227"/>
        <v>0</v>
      </c>
      <c r="AU743" s="55">
        <f t="shared" ca="1" si="227"/>
        <v>0</v>
      </c>
      <c r="AV743" s="55">
        <f t="shared" ca="1" si="227"/>
        <v>0</v>
      </c>
      <c r="AW743" s="55">
        <f t="shared" ca="1" si="227"/>
        <v>0</v>
      </c>
      <c r="AX743" s="55">
        <f t="shared" ca="1" si="227"/>
        <v>0</v>
      </c>
    </row>
    <row r="744" spans="1:50" ht="15" customHeight="1" x14ac:dyDescent="0.25">
      <c r="A744" s="86"/>
      <c r="B744" s="235"/>
      <c r="C744" s="604"/>
      <c r="D744" s="217"/>
      <c r="E744" s="55" t="str">
        <f xml:space="preserve"> E724 &amp;  ": " &amp; Translate!E113</f>
        <v>Replacement capital costs, after ELT: IOC</v>
      </c>
      <c r="F744" s="64">
        <f t="shared" si="224"/>
        <v>0</v>
      </c>
      <c r="G744" s="55" t="str">
        <f t="shared" si="224"/>
        <v>US$ mn</v>
      </c>
      <c r="H744" s="190"/>
      <c r="I744" s="55">
        <f t="shared" ca="1" si="225"/>
        <v>0</v>
      </c>
      <c r="J744" s="55"/>
      <c r="K744" s="55">
        <f t="shared" ref="K744:AX744" ca="1" si="228" xml:space="preserve"> K724 - K734</f>
        <v>0</v>
      </c>
      <c r="L744" s="55">
        <f t="shared" ca="1" si="228"/>
        <v>0</v>
      </c>
      <c r="M744" s="55">
        <f t="shared" ca="1" si="228"/>
        <v>0</v>
      </c>
      <c r="N744" s="55">
        <f t="shared" ca="1" si="228"/>
        <v>0</v>
      </c>
      <c r="O744" s="55">
        <f t="shared" ca="1" si="228"/>
        <v>0</v>
      </c>
      <c r="P744" s="55">
        <f t="shared" ca="1" si="228"/>
        <v>0</v>
      </c>
      <c r="Q744" s="55">
        <f t="shared" ca="1" si="228"/>
        <v>0</v>
      </c>
      <c r="R744" s="55">
        <f t="shared" ca="1" si="228"/>
        <v>0</v>
      </c>
      <c r="S744" s="55">
        <f t="shared" ca="1" si="228"/>
        <v>0</v>
      </c>
      <c r="T744" s="55">
        <f t="shared" ca="1" si="228"/>
        <v>0</v>
      </c>
      <c r="U744" s="55">
        <f t="shared" ca="1" si="228"/>
        <v>0</v>
      </c>
      <c r="V744" s="55">
        <f t="shared" ca="1" si="228"/>
        <v>0</v>
      </c>
      <c r="W744" s="55">
        <f t="shared" ca="1" si="228"/>
        <v>0</v>
      </c>
      <c r="X744" s="55">
        <f t="shared" ca="1" si="228"/>
        <v>0</v>
      </c>
      <c r="Y744" s="55">
        <f t="shared" ca="1" si="228"/>
        <v>0</v>
      </c>
      <c r="Z744" s="55">
        <f t="shared" ca="1" si="228"/>
        <v>0</v>
      </c>
      <c r="AA744" s="55">
        <f t="shared" ca="1" si="228"/>
        <v>0</v>
      </c>
      <c r="AB744" s="55">
        <f t="shared" ca="1" si="228"/>
        <v>0</v>
      </c>
      <c r="AC744" s="55">
        <f t="shared" ca="1" si="228"/>
        <v>0</v>
      </c>
      <c r="AD744" s="55">
        <f t="shared" ca="1" si="228"/>
        <v>0</v>
      </c>
      <c r="AE744" s="55">
        <f t="shared" ca="1" si="228"/>
        <v>0</v>
      </c>
      <c r="AF744" s="55">
        <f t="shared" ca="1" si="228"/>
        <v>0</v>
      </c>
      <c r="AG744" s="55">
        <f t="shared" ca="1" si="228"/>
        <v>0</v>
      </c>
      <c r="AH744" s="55">
        <f t="shared" ca="1" si="228"/>
        <v>0</v>
      </c>
      <c r="AI744" s="55">
        <f t="shared" ca="1" si="228"/>
        <v>0</v>
      </c>
      <c r="AJ744" s="55">
        <f t="shared" ca="1" si="228"/>
        <v>0</v>
      </c>
      <c r="AK744" s="55">
        <f t="shared" ca="1" si="228"/>
        <v>0</v>
      </c>
      <c r="AL744" s="55">
        <f t="shared" ca="1" si="228"/>
        <v>0</v>
      </c>
      <c r="AM744" s="55">
        <f t="shared" ca="1" si="228"/>
        <v>0</v>
      </c>
      <c r="AN744" s="55">
        <f t="shared" ca="1" si="228"/>
        <v>0</v>
      </c>
      <c r="AO744" s="55">
        <f t="shared" ca="1" si="228"/>
        <v>0</v>
      </c>
      <c r="AP744" s="55">
        <f t="shared" ca="1" si="228"/>
        <v>0</v>
      </c>
      <c r="AQ744" s="55">
        <f t="shared" ca="1" si="228"/>
        <v>0</v>
      </c>
      <c r="AR744" s="55">
        <f t="shared" ca="1" si="228"/>
        <v>0</v>
      </c>
      <c r="AS744" s="55">
        <f t="shared" ca="1" si="228"/>
        <v>0</v>
      </c>
      <c r="AT744" s="55">
        <f t="shared" ca="1" si="228"/>
        <v>0</v>
      </c>
      <c r="AU744" s="55">
        <f t="shared" ca="1" si="228"/>
        <v>0</v>
      </c>
      <c r="AV744" s="55">
        <f t="shared" ca="1" si="228"/>
        <v>0</v>
      </c>
      <c r="AW744" s="55">
        <f t="shared" ca="1" si="228"/>
        <v>0</v>
      </c>
      <c r="AX744" s="55">
        <f t="shared" ca="1" si="228"/>
        <v>0</v>
      </c>
    </row>
    <row r="745" spans="1:50" ht="15" customHeight="1" x14ac:dyDescent="0.25">
      <c r="A745" s="86"/>
      <c r="B745" s="235"/>
      <c r="C745" s="604"/>
      <c r="D745" s="217"/>
      <c r="E745" s="55" t="str">
        <f xml:space="preserve"> E725 &amp;  ": " &amp; Translate!E113</f>
        <v>Operating costs, after ELT: IOC</v>
      </c>
      <c r="F745" s="64">
        <f t="shared" si="224"/>
        <v>0</v>
      </c>
      <c r="G745" s="55" t="str">
        <f t="shared" si="224"/>
        <v>US$ mn</v>
      </c>
      <c r="H745" s="190"/>
      <c r="I745" s="55">
        <f t="shared" ca="1" si="225"/>
        <v>4927.2900747120902</v>
      </c>
      <c r="J745" s="55"/>
      <c r="K745" s="55">
        <f t="shared" ref="K745:AX745" ca="1" si="229" xml:space="preserve"> K725 - K735</f>
        <v>0</v>
      </c>
      <c r="L745" s="55">
        <f t="shared" ca="1" si="229"/>
        <v>0</v>
      </c>
      <c r="M745" s="55">
        <f t="shared" ca="1" si="229"/>
        <v>0</v>
      </c>
      <c r="N745" s="55">
        <f t="shared" ca="1" si="229"/>
        <v>0</v>
      </c>
      <c r="O745" s="55">
        <f t="shared" ca="1" si="229"/>
        <v>43.297286400000004</v>
      </c>
      <c r="P745" s="55">
        <f t="shared" ca="1" si="229"/>
        <v>158.98763566079998</v>
      </c>
      <c r="Q745" s="55">
        <f t="shared" ca="1" si="229"/>
        <v>234.24178320691203</v>
      </c>
      <c r="R745" s="55">
        <f t="shared" ca="1" si="229"/>
        <v>238.92661887105024</v>
      </c>
      <c r="S745" s="55">
        <f t="shared" ca="1" si="229"/>
        <v>243.70515124847128</v>
      </c>
      <c r="T745" s="55">
        <f t="shared" ca="1" si="229"/>
        <v>248.57925427344071</v>
      </c>
      <c r="U745" s="55">
        <f t="shared" ca="1" si="229"/>
        <v>253.55083935890951</v>
      </c>
      <c r="V745" s="55">
        <f t="shared" ca="1" si="229"/>
        <v>258.62185614608768</v>
      </c>
      <c r="W745" s="55">
        <f t="shared" ca="1" si="229"/>
        <v>263.79429326900947</v>
      </c>
      <c r="X745" s="55">
        <f t="shared" ca="1" si="229"/>
        <v>269.0701791343896</v>
      </c>
      <c r="Y745" s="55">
        <f t="shared" ca="1" si="229"/>
        <v>274.45158271707749</v>
      </c>
      <c r="Z745" s="55">
        <f t="shared" ca="1" si="229"/>
        <v>279.94061437141897</v>
      </c>
      <c r="AA745" s="55">
        <f t="shared" ca="1" si="229"/>
        <v>285.53942665884739</v>
      </c>
      <c r="AB745" s="55">
        <f t="shared" ca="1" si="229"/>
        <v>291.25021519202437</v>
      </c>
      <c r="AC745" s="55">
        <f t="shared" ca="1" si="229"/>
        <v>171.38954970915282</v>
      </c>
      <c r="AD745" s="55">
        <f t="shared" ca="1" si="229"/>
        <v>163.16285132311344</v>
      </c>
      <c r="AE745" s="55">
        <f t="shared" ca="1" si="229"/>
        <v>142.65095001392208</v>
      </c>
      <c r="AF745" s="55">
        <f t="shared" ca="1" si="229"/>
        <v>134.59117133813547</v>
      </c>
      <c r="AG745" s="55">
        <f t="shared" ca="1" si="229"/>
        <v>123.67837366207046</v>
      </c>
      <c r="AH745" s="55">
        <f t="shared" ca="1" si="229"/>
        <v>119.84434407854626</v>
      </c>
      <c r="AI745" s="55">
        <f t="shared" ca="1" si="229"/>
        <v>115.80748196221627</v>
      </c>
      <c r="AJ745" s="55">
        <f t="shared" ca="1" si="229"/>
        <v>111.56120762360169</v>
      </c>
      <c r="AK745" s="55">
        <f t="shared" ca="1" si="229"/>
        <v>107.09875931865761</v>
      </c>
      <c r="AL745" s="55">
        <f t="shared" ca="1" si="229"/>
        <v>102.41318859846635</v>
      </c>
      <c r="AM745" s="55">
        <f t="shared" ca="1" si="229"/>
        <v>97.497355545739964</v>
      </c>
      <c r="AN745" s="55">
        <f t="shared" ca="1" si="229"/>
        <v>99.44730265665477</v>
      </c>
      <c r="AO745" s="55">
        <f t="shared" ca="1" si="229"/>
        <v>94.190802373374453</v>
      </c>
      <c r="AP745" s="55">
        <f t="shared" ca="1" si="229"/>
        <v>0</v>
      </c>
      <c r="AQ745" s="55">
        <f t="shared" ca="1" si="229"/>
        <v>0</v>
      </c>
      <c r="AR745" s="55">
        <f t="shared" ca="1" si="229"/>
        <v>0</v>
      </c>
      <c r="AS745" s="55">
        <f t="shared" ca="1" si="229"/>
        <v>0</v>
      </c>
      <c r="AT745" s="55">
        <f t="shared" ca="1" si="229"/>
        <v>0</v>
      </c>
      <c r="AU745" s="55">
        <f t="shared" ca="1" si="229"/>
        <v>0</v>
      </c>
      <c r="AV745" s="55">
        <f t="shared" ca="1" si="229"/>
        <v>0</v>
      </c>
      <c r="AW745" s="55">
        <f t="shared" ca="1" si="229"/>
        <v>0</v>
      </c>
      <c r="AX745" s="55">
        <f t="shared" ca="1" si="229"/>
        <v>0</v>
      </c>
    </row>
    <row r="746" spans="1:50" ht="15" customHeight="1" x14ac:dyDescent="0.25">
      <c r="A746" s="86"/>
      <c r="B746" s="235"/>
      <c r="C746" s="604"/>
      <c r="D746" s="217"/>
      <c r="E746" s="55" t="str">
        <f xml:space="preserve"> E726 &amp;  ": " &amp; Translate!E113</f>
        <v>Net decommissioning cashflows including fund: IOC</v>
      </c>
      <c r="F746" s="64">
        <f t="shared" si="224"/>
        <v>0</v>
      </c>
      <c r="G746" s="55" t="str">
        <f t="shared" si="224"/>
        <v>US$ mn</v>
      </c>
      <c r="H746" s="190"/>
      <c r="I746" s="55">
        <f t="shared" ca="1" si="225"/>
        <v>913.95598448508929</v>
      </c>
      <c r="J746" s="55"/>
      <c r="K746" s="55">
        <f t="shared" ref="K746:AX746" ca="1" si="230" xml:space="preserve"> K726 - K736</f>
        <v>0</v>
      </c>
      <c r="L746" s="55">
        <f t="shared" ca="1" si="230"/>
        <v>0</v>
      </c>
      <c r="M746" s="55">
        <f t="shared" ca="1" si="230"/>
        <v>0</v>
      </c>
      <c r="N746" s="55">
        <f t="shared" ca="1" si="230"/>
        <v>0</v>
      </c>
      <c r="O746" s="55">
        <f t="shared" ca="1" si="230"/>
        <v>0</v>
      </c>
      <c r="P746" s="55">
        <f t="shared" ca="1" si="230"/>
        <v>0</v>
      </c>
      <c r="Q746" s="55">
        <f t="shared" ca="1" si="230"/>
        <v>0</v>
      </c>
      <c r="R746" s="55">
        <f t="shared" ca="1" si="230"/>
        <v>0</v>
      </c>
      <c r="S746" s="55">
        <f t="shared" ca="1" si="230"/>
        <v>0</v>
      </c>
      <c r="T746" s="55">
        <f t="shared" ca="1" si="230"/>
        <v>0</v>
      </c>
      <c r="U746" s="55">
        <f t="shared" ca="1" si="230"/>
        <v>0</v>
      </c>
      <c r="V746" s="55">
        <f t="shared" ca="1" si="230"/>
        <v>0</v>
      </c>
      <c r="W746" s="55">
        <f t="shared" ca="1" si="230"/>
        <v>50.994778372308772</v>
      </c>
      <c r="X746" s="55">
        <f t="shared" ca="1" si="230"/>
        <v>50.994778372308772</v>
      </c>
      <c r="Y746" s="55">
        <f t="shared" ca="1" si="230"/>
        <v>50.994778372308772</v>
      </c>
      <c r="Z746" s="55">
        <f t="shared" ca="1" si="230"/>
        <v>50.994778372308772</v>
      </c>
      <c r="AA746" s="55">
        <f t="shared" ca="1" si="230"/>
        <v>50.994778372308772</v>
      </c>
      <c r="AB746" s="55">
        <f t="shared" ca="1" si="230"/>
        <v>50.994778372308772</v>
      </c>
      <c r="AC746" s="55">
        <f t="shared" ca="1" si="230"/>
        <v>50.994778372308772</v>
      </c>
      <c r="AD746" s="55">
        <f t="shared" ca="1" si="230"/>
        <v>50.994778372308772</v>
      </c>
      <c r="AE746" s="55">
        <f t="shared" ca="1" si="230"/>
        <v>50.994778372308772</v>
      </c>
      <c r="AF746" s="55">
        <f t="shared" ca="1" si="230"/>
        <v>50.994778372308772</v>
      </c>
      <c r="AG746" s="55">
        <f t="shared" ca="1" si="230"/>
        <v>50.994778372308772</v>
      </c>
      <c r="AH746" s="55">
        <f t="shared" ca="1" si="230"/>
        <v>50.994778372308772</v>
      </c>
      <c r="AI746" s="55">
        <f t="shared" ca="1" si="230"/>
        <v>50.994778372308772</v>
      </c>
      <c r="AJ746" s="55">
        <f t="shared" ca="1" si="230"/>
        <v>50.994778372308772</v>
      </c>
      <c r="AK746" s="55">
        <f t="shared" ca="1" si="230"/>
        <v>50.994778372308772</v>
      </c>
      <c r="AL746" s="55">
        <f t="shared" ca="1" si="230"/>
        <v>50.994778372308744</v>
      </c>
      <c r="AM746" s="55">
        <f t="shared" ca="1" si="230"/>
        <v>32.679843509382998</v>
      </c>
      <c r="AN746" s="55">
        <f t="shared" ca="1" si="230"/>
        <v>32.679843509382998</v>
      </c>
      <c r="AO746" s="55">
        <f t="shared" ca="1" si="230"/>
        <v>32.679843509382998</v>
      </c>
      <c r="AP746" s="55">
        <f t="shared" ca="1" si="230"/>
        <v>0</v>
      </c>
      <c r="AQ746" s="55">
        <f t="shared" ca="1" si="230"/>
        <v>0</v>
      </c>
      <c r="AR746" s="55">
        <f t="shared" ca="1" si="230"/>
        <v>0</v>
      </c>
      <c r="AS746" s="55">
        <f t="shared" ca="1" si="230"/>
        <v>0</v>
      </c>
      <c r="AT746" s="55">
        <f t="shared" ca="1" si="230"/>
        <v>0</v>
      </c>
      <c r="AU746" s="55">
        <f t="shared" ca="1" si="230"/>
        <v>0</v>
      </c>
      <c r="AV746" s="55">
        <f t="shared" ca="1" si="230"/>
        <v>0</v>
      </c>
      <c r="AW746" s="55">
        <f t="shared" ca="1" si="230"/>
        <v>0</v>
      </c>
      <c r="AX746" s="55">
        <f t="shared" ca="1" si="230"/>
        <v>0</v>
      </c>
    </row>
    <row r="747" spans="1:50" ht="15" customHeight="1" x14ac:dyDescent="0.25">
      <c r="A747" s="86"/>
      <c r="B747" s="235"/>
      <c r="C747" s="604"/>
      <c r="D747" s="217"/>
      <c r="E747" s="55" t="str">
        <f xml:space="preserve"> E727 &amp;  ": " &amp; Translate!E113</f>
        <v>Bonuses: IOC</v>
      </c>
      <c r="F747" s="64">
        <f t="shared" si="224"/>
        <v>0</v>
      </c>
      <c r="G747" s="55" t="str">
        <f t="shared" si="224"/>
        <v>US$ mn</v>
      </c>
      <c r="H747" s="190"/>
      <c r="I747" s="55">
        <f t="shared" ca="1" si="225"/>
        <v>60</v>
      </c>
      <c r="J747" s="55"/>
      <c r="K747" s="55">
        <f t="shared" ref="K747:AX748" ca="1" si="231" xml:space="preserve"> K727 - K737</f>
        <v>10</v>
      </c>
      <c r="L747" s="55">
        <f t="shared" ca="1" si="231"/>
        <v>0</v>
      </c>
      <c r="M747" s="55">
        <f t="shared" ca="1" si="231"/>
        <v>0</v>
      </c>
      <c r="N747" s="55">
        <f t="shared" ca="1" si="231"/>
        <v>0</v>
      </c>
      <c r="O747" s="55">
        <f t="shared" ca="1" si="231"/>
        <v>50</v>
      </c>
      <c r="P747" s="55">
        <f t="shared" ca="1" si="231"/>
        <v>0</v>
      </c>
      <c r="Q747" s="55">
        <f t="shared" ca="1" si="231"/>
        <v>0</v>
      </c>
      <c r="R747" s="55">
        <f t="shared" ca="1" si="231"/>
        <v>0</v>
      </c>
      <c r="S747" s="55">
        <f t="shared" ca="1" si="231"/>
        <v>0</v>
      </c>
      <c r="T747" s="55">
        <f t="shared" ca="1" si="231"/>
        <v>0</v>
      </c>
      <c r="U747" s="55">
        <f t="shared" ca="1" si="231"/>
        <v>0</v>
      </c>
      <c r="V747" s="55">
        <f t="shared" ca="1" si="231"/>
        <v>0</v>
      </c>
      <c r="W747" s="55">
        <f t="shared" ca="1" si="231"/>
        <v>0</v>
      </c>
      <c r="X747" s="55">
        <f t="shared" ca="1" si="231"/>
        <v>0</v>
      </c>
      <c r="Y747" s="55">
        <f t="shared" ca="1" si="231"/>
        <v>0</v>
      </c>
      <c r="Z747" s="55">
        <f t="shared" ca="1" si="231"/>
        <v>0</v>
      </c>
      <c r="AA747" s="55">
        <f t="shared" ca="1" si="231"/>
        <v>0</v>
      </c>
      <c r="AB747" s="55">
        <f t="shared" ca="1" si="231"/>
        <v>0</v>
      </c>
      <c r="AC747" s="55">
        <f t="shared" ca="1" si="231"/>
        <v>0</v>
      </c>
      <c r="AD747" s="55">
        <f t="shared" ca="1" si="231"/>
        <v>0</v>
      </c>
      <c r="AE747" s="55">
        <f t="shared" ca="1" si="231"/>
        <v>0</v>
      </c>
      <c r="AF747" s="55">
        <f t="shared" ca="1" si="231"/>
        <v>0</v>
      </c>
      <c r="AG747" s="55">
        <f t="shared" ca="1" si="231"/>
        <v>0</v>
      </c>
      <c r="AH747" s="55">
        <f t="shared" ca="1" si="231"/>
        <v>0</v>
      </c>
      <c r="AI747" s="55">
        <f t="shared" ca="1" si="231"/>
        <v>0</v>
      </c>
      <c r="AJ747" s="55">
        <f t="shared" ca="1" si="231"/>
        <v>0</v>
      </c>
      <c r="AK747" s="55">
        <f t="shared" ca="1" si="231"/>
        <v>0</v>
      </c>
      <c r="AL747" s="55">
        <f t="shared" ca="1" si="231"/>
        <v>0</v>
      </c>
      <c r="AM747" s="55">
        <f t="shared" ca="1" si="231"/>
        <v>0</v>
      </c>
      <c r="AN747" s="55">
        <f t="shared" ca="1" si="231"/>
        <v>0</v>
      </c>
      <c r="AO747" s="55">
        <f t="shared" ca="1" si="231"/>
        <v>0</v>
      </c>
      <c r="AP747" s="55">
        <f t="shared" ca="1" si="231"/>
        <v>0</v>
      </c>
      <c r="AQ747" s="55">
        <f t="shared" ca="1" si="231"/>
        <v>0</v>
      </c>
      <c r="AR747" s="55">
        <f t="shared" ca="1" si="231"/>
        <v>0</v>
      </c>
      <c r="AS747" s="55">
        <f t="shared" ca="1" si="231"/>
        <v>0</v>
      </c>
      <c r="AT747" s="55">
        <f t="shared" ca="1" si="231"/>
        <v>0</v>
      </c>
      <c r="AU747" s="55">
        <f t="shared" ca="1" si="231"/>
        <v>0</v>
      </c>
      <c r="AV747" s="55">
        <f t="shared" ca="1" si="231"/>
        <v>0</v>
      </c>
      <c r="AW747" s="55">
        <f t="shared" ca="1" si="231"/>
        <v>0</v>
      </c>
      <c r="AX747" s="55">
        <f t="shared" ca="1" si="231"/>
        <v>0</v>
      </c>
    </row>
    <row r="748" spans="1:50" ht="15" customHeight="1" x14ac:dyDescent="0.25">
      <c r="A748" s="86"/>
      <c r="B748" s="235"/>
      <c r="C748" s="604"/>
      <c r="D748" s="217"/>
      <c r="E748" s="55" t="str">
        <f xml:space="preserve"> E728 &amp;  ": " &amp; Translate!E113</f>
        <v>Carbon tax: IOC</v>
      </c>
      <c r="F748" s="64">
        <f t="shared" si="224"/>
        <v>0</v>
      </c>
      <c r="G748" s="55" t="str">
        <f t="shared" si="224"/>
        <v>US$ mn</v>
      </c>
      <c r="H748" s="190"/>
      <c r="I748" s="55">
        <f ca="1" xml:space="preserve"> SUM(K748:AX748)</f>
        <v>808.75002537955561</v>
      </c>
      <c r="J748" s="55"/>
      <c r="K748" s="55">
        <f t="shared" ca="1" si="231"/>
        <v>0</v>
      </c>
      <c r="L748" s="55">
        <f t="shared" ca="1" si="231"/>
        <v>0</v>
      </c>
      <c r="M748" s="55">
        <f t="shared" ca="1" si="231"/>
        <v>0</v>
      </c>
      <c r="N748" s="55">
        <f t="shared" ca="1" si="231"/>
        <v>0</v>
      </c>
      <c r="O748" s="55">
        <f t="shared" ca="1" si="231"/>
        <v>3.5145821862532287</v>
      </c>
      <c r="P748" s="55">
        <f t="shared" ca="1" si="231"/>
        <v>27.609768000000003</v>
      </c>
      <c r="Q748" s="55">
        <f t="shared" ca="1" si="231"/>
        <v>55.219536000000005</v>
      </c>
      <c r="R748" s="55">
        <f t="shared" ca="1" si="231"/>
        <v>55.219536000000005</v>
      </c>
      <c r="S748" s="55">
        <f t="shared" ca="1" si="231"/>
        <v>55.219536000000005</v>
      </c>
      <c r="T748" s="55">
        <f t="shared" ca="1" si="231"/>
        <v>55.219536000000005</v>
      </c>
      <c r="U748" s="55">
        <f t="shared" ca="1" si="231"/>
        <v>55.219536000000005</v>
      </c>
      <c r="V748" s="55">
        <f t="shared" ca="1" si="231"/>
        <v>55.219536000000005</v>
      </c>
      <c r="W748" s="55">
        <f t="shared" ca="1" si="231"/>
        <v>55.219536000000005</v>
      </c>
      <c r="X748" s="55">
        <f t="shared" ca="1" si="231"/>
        <v>55.219536000000005</v>
      </c>
      <c r="Y748" s="55">
        <f t="shared" ca="1" si="231"/>
        <v>55.219536000000005</v>
      </c>
      <c r="Z748" s="55">
        <f t="shared" ca="1" si="231"/>
        <v>55.219536000000005</v>
      </c>
      <c r="AA748" s="55">
        <f t="shared" ca="1" si="231"/>
        <v>44.727824160000011</v>
      </c>
      <c r="AB748" s="55">
        <f t="shared" ca="1" si="231"/>
        <v>36.229537569600005</v>
      </c>
      <c r="AC748" s="55">
        <f t="shared" ca="1" si="231"/>
        <v>29.34592543137601</v>
      </c>
      <c r="AD748" s="55">
        <f t="shared" ca="1" si="231"/>
        <v>23.770199599414575</v>
      </c>
      <c r="AE748" s="55">
        <f t="shared" ca="1" si="231"/>
        <v>19.253861675525808</v>
      </c>
      <c r="AF748" s="55">
        <f t="shared" ca="1" si="231"/>
        <v>15.595627957175903</v>
      </c>
      <c r="AG748" s="55">
        <f t="shared" ca="1" si="231"/>
        <v>12.632458645312484</v>
      </c>
      <c r="AH748" s="55">
        <f t="shared" ca="1" si="231"/>
        <v>10.232291502703113</v>
      </c>
      <c r="AI748" s="55">
        <f t="shared" ca="1" si="231"/>
        <v>8.2881561171895211</v>
      </c>
      <c r="AJ748" s="55">
        <f t="shared" ca="1" si="231"/>
        <v>6.7134064549235122</v>
      </c>
      <c r="AK748" s="55">
        <f t="shared" ca="1" si="231"/>
        <v>5.4378592284880458</v>
      </c>
      <c r="AL748" s="55">
        <f t="shared" ca="1" si="231"/>
        <v>4.4046659750753161</v>
      </c>
      <c r="AM748" s="55">
        <f t="shared" ca="1" si="231"/>
        <v>3.5677794398110061</v>
      </c>
      <c r="AN748" s="55">
        <f t="shared" ca="1" si="231"/>
        <v>2.8899013462469147</v>
      </c>
      <c r="AO748" s="55">
        <f t="shared" ca="1" si="231"/>
        <v>2.3408200904600021</v>
      </c>
      <c r="AP748" s="55">
        <f t="shared" ca="1" si="231"/>
        <v>0</v>
      </c>
      <c r="AQ748" s="55">
        <f t="shared" ca="1" si="231"/>
        <v>0</v>
      </c>
      <c r="AR748" s="55">
        <f t="shared" ca="1" si="231"/>
        <v>0</v>
      </c>
      <c r="AS748" s="55">
        <f t="shared" ca="1" si="231"/>
        <v>0</v>
      </c>
      <c r="AT748" s="55">
        <f t="shared" ca="1" si="231"/>
        <v>0</v>
      </c>
      <c r="AU748" s="55">
        <f t="shared" ca="1" si="231"/>
        <v>0</v>
      </c>
      <c r="AV748" s="55">
        <f t="shared" ca="1" si="231"/>
        <v>0</v>
      </c>
      <c r="AW748" s="55">
        <f t="shared" ca="1" si="231"/>
        <v>0</v>
      </c>
      <c r="AX748" s="55">
        <f t="shared" ca="1" si="231"/>
        <v>0</v>
      </c>
    </row>
    <row r="749" spans="1:50" s="485" customFormat="1" ht="15" customHeight="1" x14ac:dyDescent="0.25">
      <c r="A749" s="479"/>
      <c r="B749" s="674"/>
      <c r="C749" s="621"/>
      <c r="D749" s="508"/>
      <c r="E749" s="482" t="str">
        <f xml:space="preserve"> Translate!E$326</f>
        <v>Costs allocated to IOC (JV cashcalls)</v>
      </c>
      <c r="F749" s="504"/>
      <c r="G749" s="482" t="str">
        <f xml:space="preserve"> Translate!E$603</f>
        <v>US$ mn</v>
      </c>
      <c r="H749" s="511"/>
      <c r="I749" s="482">
        <f t="shared" ca="1" si="225"/>
        <v>15494.453909721369</v>
      </c>
      <c r="J749" s="482"/>
      <c r="K749" s="482">
        <f ca="1">SUM(K742:K748)</f>
        <v>430</v>
      </c>
      <c r="L749" s="482">
        <f t="shared" ref="L749:AX749" ca="1" si="232">SUM(L742:L748)</f>
        <v>40.799999999999997</v>
      </c>
      <c r="M749" s="482">
        <f t="shared" ca="1" si="232"/>
        <v>249.696</v>
      </c>
      <c r="N749" s="482">
        <f t="shared" ca="1" si="232"/>
        <v>1018.7596799999999</v>
      </c>
      <c r="O749" s="482">
        <f t="shared" ca="1" si="232"/>
        <v>1135.9467421862532</v>
      </c>
      <c r="P749" s="482">
        <f t="shared" ca="1" si="232"/>
        <v>2041.4531530367999</v>
      </c>
      <c r="Q749" s="482">
        <f t="shared" ca="1" si="232"/>
        <v>1280.4842481592323</v>
      </c>
      <c r="R749" s="482">
        <f t="shared" ca="1" si="232"/>
        <v>707.67299522479107</v>
      </c>
      <c r="S749" s="482">
        <f t="shared" ca="1" si="232"/>
        <v>533.25656344892445</v>
      </c>
      <c r="T749" s="482">
        <f t="shared" ca="1" si="232"/>
        <v>542.81730399790285</v>
      </c>
      <c r="U749" s="482">
        <f t="shared" ca="1" si="232"/>
        <v>552.56925935786103</v>
      </c>
      <c r="V749" s="482">
        <f t="shared" ca="1" si="232"/>
        <v>562.51625382501811</v>
      </c>
      <c r="W749" s="482">
        <f t="shared" ca="1" si="232"/>
        <v>623.65696655382726</v>
      </c>
      <c r="X749" s="482">
        <f t="shared" ca="1" si="232"/>
        <v>634.00581959745773</v>
      </c>
      <c r="Y749" s="482">
        <f t="shared" ca="1" si="232"/>
        <v>644.56164970196073</v>
      </c>
      <c r="Z749" s="482">
        <f t="shared" ca="1" si="232"/>
        <v>655.32859640855372</v>
      </c>
      <c r="AA749" s="482">
        <f t="shared" ca="1" si="232"/>
        <v>655.81917020927881</v>
      </c>
      <c r="AB749" s="482">
        <f t="shared" ca="1" si="232"/>
        <v>378.47453113393311</v>
      </c>
      <c r="AC749" s="482">
        <f t="shared" ca="1" si="232"/>
        <v>251.73025351283761</v>
      </c>
      <c r="AD749" s="482">
        <f t="shared" ca="1" si="232"/>
        <v>471.01761689928458</v>
      </c>
      <c r="AE749" s="482">
        <f t="shared" ca="1" si="232"/>
        <v>450.65117341829341</v>
      </c>
      <c r="AF749" s="482">
        <f t="shared" ca="1" si="232"/>
        <v>201.18157766762016</v>
      </c>
      <c r="AG749" s="482">
        <f t="shared" ca="1" si="232"/>
        <v>187.30561067969171</v>
      </c>
      <c r="AH749" s="482">
        <f t="shared" ca="1" si="232"/>
        <v>181.07141395355814</v>
      </c>
      <c r="AI749" s="482">
        <f t="shared" ca="1" si="232"/>
        <v>175.09041645171456</v>
      </c>
      <c r="AJ749" s="482">
        <f t="shared" ca="1" si="232"/>
        <v>169.26939245083398</v>
      </c>
      <c r="AK749" s="482">
        <f t="shared" ca="1" si="232"/>
        <v>163.53139691945444</v>
      </c>
      <c r="AL749" s="482">
        <f t="shared" ca="1" si="232"/>
        <v>157.8126329458504</v>
      </c>
      <c r="AM749" s="482">
        <f t="shared" ca="1" si="232"/>
        <v>133.74497849493397</v>
      </c>
      <c r="AN749" s="482">
        <f t="shared" ca="1" si="232"/>
        <v>135.01704751228468</v>
      </c>
      <c r="AO749" s="482">
        <f t="shared" ca="1" si="232"/>
        <v>129.21146597321746</v>
      </c>
      <c r="AP749" s="482">
        <f t="shared" ca="1" si="232"/>
        <v>0</v>
      </c>
      <c r="AQ749" s="482">
        <f t="shared" ca="1" si="232"/>
        <v>0</v>
      </c>
      <c r="AR749" s="482">
        <f t="shared" ca="1" si="232"/>
        <v>0</v>
      </c>
      <c r="AS749" s="482">
        <f t="shared" ca="1" si="232"/>
        <v>0</v>
      </c>
      <c r="AT749" s="482">
        <f t="shared" ca="1" si="232"/>
        <v>0</v>
      </c>
      <c r="AU749" s="482">
        <f t="shared" ca="1" si="232"/>
        <v>0</v>
      </c>
      <c r="AV749" s="482">
        <f t="shared" ca="1" si="232"/>
        <v>0</v>
      </c>
      <c r="AW749" s="482">
        <f t="shared" ca="1" si="232"/>
        <v>0</v>
      </c>
      <c r="AX749" s="482">
        <f t="shared" ca="1" si="232"/>
        <v>0</v>
      </c>
    </row>
    <row r="750" spans="1:50" ht="15" customHeight="1" x14ac:dyDescent="0.25">
      <c r="A750" s="86"/>
      <c r="B750" s="235"/>
      <c r="C750" s="604"/>
      <c r="D750" s="162"/>
      <c r="E750" s="55"/>
      <c r="F750" s="147"/>
      <c r="G750" s="55"/>
      <c r="H750" s="55"/>
      <c r="I750" s="48"/>
      <c r="J750" s="55"/>
      <c r="K750" s="55"/>
      <c r="L750" s="55"/>
      <c r="M750" s="55"/>
      <c r="N750" s="55"/>
      <c r="O750" s="55"/>
      <c r="P750" s="55"/>
      <c r="Q750" s="55"/>
      <c r="R750" s="55"/>
      <c r="S750" s="55"/>
      <c r="T750" s="55"/>
      <c r="U750" s="55"/>
      <c r="V750" s="55"/>
      <c r="W750" s="55"/>
      <c r="X750" s="55"/>
      <c r="Y750" s="55"/>
      <c r="Z750" s="55"/>
      <c r="AA750" s="55"/>
      <c r="AB750" s="55"/>
      <c r="AC750" s="55"/>
      <c r="AD750" s="55"/>
      <c r="AE750" s="55"/>
      <c r="AF750" s="55"/>
      <c r="AG750" s="55"/>
      <c r="AH750" s="55"/>
      <c r="AI750" s="55"/>
      <c r="AJ750" s="55"/>
      <c r="AK750" s="55"/>
      <c r="AL750" s="55"/>
      <c r="AM750" s="55"/>
      <c r="AN750" s="55"/>
      <c r="AO750" s="55"/>
      <c r="AP750" s="55"/>
      <c r="AQ750" s="55"/>
      <c r="AR750" s="55"/>
      <c r="AS750" s="55"/>
      <c r="AT750" s="55"/>
      <c r="AU750" s="55"/>
      <c r="AV750" s="55"/>
      <c r="AW750" s="55"/>
      <c r="AX750" s="55"/>
    </row>
    <row r="751" spans="1:50" ht="15" customHeight="1" x14ac:dyDescent="0.25">
      <c r="A751" s="86"/>
      <c r="B751" s="235"/>
      <c r="C751" s="604"/>
      <c r="D751" s="162"/>
      <c r="E751" s="48" t="str">
        <f>E$314</f>
        <v>Project costs for sharing between SOC and IOC</v>
      </c>
      <c r="F751" s="147">
        <f t="shared" ref="F751:AX751" si="233">F$314</f>
        <v>0</v>
      </c>
      <c r="G751" s="48" t="str">
        <f t="shared" si="233"/>
        <v>US$ mn</v>
      </c>
      <c r="H751" s="48">
        <f t="shared" si="233"/>
        <v>0</v>
      </c>
      <c r="I751" s="48">
        <f t="shared" ca="1" si="233"/>
        <v>19248.067387151714</v>
      </c>
      <c r="J751" s="48">
        <f t="shared" si="233"/>
        <v>0</v>
      </c>
      <c r="K751" s="48">
        <f t="shared" ca="1" si="233"/>
        <v>430</v>
      </c>
      <c r="L751" s="48">
        <f t="shared" ca="1" si="233"/>
        <v>51</v>
      </c>
      <c r="M751" s="48">
        <f t="shared" ca="1" si="233"/>
        <v>312.12</v>
      </c>
      <c r="N751" s="48">
        <f t="shared" ca="1" si="233"/>
        <v>1273.4495999999999</v>
      </c>
      <c r="O751" s="48">
        <f t="shared" ca="1" si="233"/>
        <v>1407.4334277328164</v>
      </c>
      <c r="P751" s="48">
        <f t="shared" ca="1" si="233"/>
        <v>2551.816441296</v>
      </c>
      <c r="Q751" s="48">
        <f t="shared" ca="1" si="233"/>
        <v>1600.6053101990401</v>
      </c>
      <c r="R751" s="48">
        <f t="shared" ca="1" si="233"/>
        <v>884.59124403098872</v>
      </c>
      <c r="S751" s="48">
        <f t="shared" ca="1" si="233"/>
        <v>666.57070431115551</v>
      </c>
      <c r="T751" s="48">
        <f t="shared" ca="1" si="233"/>
        <v>678.52162999737857</v>
      </c>
      <c r="U751" s="48">
        <f t="shared" ca="1" si="233"/>
        <v>690.71157419732617</v>
      </c>
      <c r="V751" s="48">
        <f t="shared" ca="1" si="233"/>
        <v>703.1453172812727</v>
      </c>
      <c r="W751" s="48">
        <f t="shared" ca="1" si="233"/>
        <v>779.57120819228408</v>
      </c>
      <c r="X751" s="48">
        <f t="shared" ca="1" si="233"/>
        <v>792.50727449682199</v>
      </c>
      <c r="Y751" s="48">
        <f t="shared" ca="1" si="233"/>
        <v>805.70206212745086</v>
      </c>
      <c r="Z751" s="48">
        <f t="shared" ca="1" si="233"/>
        <v>819.1607455106921</v>
      </c>
      <c r="AA751" s="48">
        <f t="shared" ca="1" si="233"/>
        <v>819.77396276159834</v>
      </c>
      <c r="AB751" s="48">
        <f t="shared" ca="1" si="233"/>
        <v>473.09316391741646</v>
      </c>
      <c r="AC751" s="48">
        <f t="shared" ca="1" si="233"/>
        <v>314.66281689104699</v>
      </c>
      <c r="AD751" s="48">
        <f t="shared" ca="1" si="233"/>
        <v>588.77202112410566</v>
      </c>
      <c r="AE751" s="48">
        <f t="shared" ca="1" si="233"/>
        <v>563.31396677286682</v>
      </c>
      <c r="AF751" s="48">
        <f t="shared" ca="1" si="233"/>
        <v>251.47697208452519</v>
      </c>
      <c r="AG751" s="48">
        <f t="shared" ca="1" si="233"/>
        <v>234.13201334961462</v>
      </c>
      <c r="AH751" s="48">
        <f t="shared" ca="1" si="233"/>
        <v>226.33926744194767</v>
      </c>
      <c r="AI751" s="48">
        <f t="shared" ca="1" si="233"/>
        <v>218.86302056464319</v>
      </c>
      <c r="AJ751" s="48">
        <f t="shared" ca="1" si="233"/>
        <v>211.58674056354246</v>
      </c>
      <c r="AK751" s="48">
        <f t="shared" ca="1" si="233"/>
        <v>204.41424614931802</v>
      </c>
      <c r="AL751" s="48">
        <f t="shared" ca="1" si="233"/>
        <v>197.26579118231302</v>
      </c>
      <c r="AM751" s="48">
        <f t="shared" ca="1" si="233"/>
        <v>167.18122311866748</v>
      </c>
      <c r="AN751" s="48">
        <f t="shared" ca="1" si="233"/>
        <v>168.77130939035584</v>
      </c>
      <c r="AO751" s="48">
        <f t="shared" ca="1" si="233"/>
        <v>161.51433246652181</v>
      </c>
      <c r="AP751" s="48">
        <f t="shared" ca="1" si="233"/>
        <v>0</v>
      </c>
      <c r="AQ751" s="48">
        <f t="shared" ca="1" si="233"/>
        <v>0</v>
      </c>
      <c r="AR751" s="48">
        <f t="shared" ca="1" si="233"/>
        <v>0</v>
      </c>
      <c r="AS751" s="48">
        <f t="shared" ca="1" si="233"/>
        <v>0</v>
      </c>
      <c r="AT751" s="48">
        <f t="shared" ca="1" si="233"/>
        <v>0</v>
      </c>
      <c r="AU751" s="48">
        <f t="shared" ca="1" si="233"/>
        <v>0</v>
      </c>
      <c r="AV751" s="48">
        <f t="shared" ca="1" si="233"/>
        <v>0</v>
      </c>
      <c r="AW751" s="48">
        <f t="shared" ca="1" si="233"/>
        <v>0</v>
      </c>
      <c r="AX751" s="48">
        <f t="shared" ca="1" si="233"/>
        <v>0</v>
      </c>
    </row>
    <row r="752" spans="1:50" ht="15" customHeight="1" x14ac:dyDescent="0.25">
      <c r="A752" s="86"/>
      <c r="B752" s="235"/>
      <c r="C752" s="604"/>
      <c r="D752" s="162"/>
      <c r="E752" s="48" t="str">
        <f xml:space="preserve"> Translate!E$755 &amp; " " &amp; Translate!E$327</f>
        <v>Check:  JV cost allocation</v>
      </c>
      <c r="F752" s="157">
        <f ca="1" xml:space="preserve"> MIN( 1, SUM(K752:AX752))</f>
        <v>0</v>
      </c>
      <c r="G752" s="48" t="str">
        <f xml:space="preserve"> Translate!E$604</f>
        <v>Check</v>
      </c>
      <c r="H752" s="48"/>
      <c r="I752" s="48">
        <f ca="1" xml:space="preserve"> SUM(K752:AX752)</f>
        <v>0</v>
      </c>
      <c r="J752" s="48"/>
      <c r="K752" s="71">
        <f t="shared" ref="K752:AX752" ca="1" si="234" xml:space="preserve"> IF( ABS(K751 - K739 - K749 ) &gt; CHK_TOL, 1, 0)</f>
        <v>0</v>
      </c>
      <c r="L752" s="71">
        <f t="shared" ca="1" si="234"/>
        <v>0</v>
      </c>
      <c r="M752" s="71">
        <f t="shared" ca="1" si="234"/>
        <v>0</v>
      </c>
      <c r="N752" s="71">
        <f t="shared" ca="1" si="234"/>
        <v>0</v>
      </c>
      <c r="O752" s="71">
        <f t="shared" ca="1" si="234"/>
        <v>0</v>
      </c>
      <c r="P752" s="71">
        <f t="shared" ca="1" si="234"/>
        <v>0</v>
      </c>
      <c r="Q752" s="71">
        <f t="shared" ca="1" si="234"/>
        <v>0</v>
      </c>
      <c r="R752" s="71">
        <f t="shared" ca="1" si="234"/>
        <v>0</v>
      </c>
      <c r="S752" s="71">
        <f t="shared" ca="1" si="234"/>
        <v>0</v>
      </c>
      <c r="T752" s="71">
        <f t="shared" ca="1" si="234"/>
        <v>0</v>
      </c>
      <c r="U752" s="71">
        <f t="shared" ca="1" si="234"/>
        <v>0</v>
      </c>
      <c r="V752" s="71">
        <f t="shared" ca="1" si="234"/>
        <v>0</v>
      </c>
      <c r="W752" s="71">
        <f t="shared" ca="1" si="234"/>
        <v>0</v>
      </c>
      <c r="X752" s="71">
        <f t="shared" ca="1" si="234"/>
        <v>0</v>
      </c>
      <c r="Y752" s="71">
        <f t="shared" ca="1" si="234"/>
        <v>0</v>
      </c>
      <c r="Z752" s="71">
        <f t="shared" ca="1" si="234"/>
        <v>0</v>
      </c>
      <c r="AA752" s="71">
        <f t="shared" ca="1" si="234"/>
        <v>0</v>
      </c>
      <c r="AB752" s="71">
        <f t="shared" ca="1" si="234"/>
        <v>0</v>
      </c>
      <c r="AC752" s="71">
        <f t="shared" ca="1" si="234"/>
        <v>0</v>
      </c>
      <c r="AD752" s="71">
        <f t="shared" ca="1" si="234"/>
        <v>0</v>
      </c>
      <c r="AE752" s="71">
        <f t="shared" ca="1" si="234"/>
        <v>0</v>
      </c>
      <c r="AF752" s="71">
        <f t="shared" ca="1" si="234"/>
        <v>0</v>
      </c>
      <c r="AG752" s="71">
        <f t="shared" ca="1" si="234"/>
        <v>0</v>
      </c>
      <c r="AH752" s="71">
        <f t="shared" ca="1" si="234"/>
        <v>0</v>
      </c>
      <c r="AI752" s="71">
        <f t="shared" ca="1" si="234"/>
        <v>0</v>
      </c>
      <c r="AJ752" s="71">
        <f t="shared" ca="1" si="234"/>
        <v>0</v>
      </c>
      <c r="AK752" s="71">
        <f t="shared" ca="1" si="234"/>
        <v>0</v>
      </c>
      <c r="AL752" s="71">
        <f t="shared" ca="1" si="234"/>
        <v>0</v>
      </c>
      <c r="AM752" s="71">
        <f t="shared" ca="1" si="234"/>
        <v>0</v>
      </c>
      <c r="AN752" s="71">
        <f t="shared" ca="1" si="234"/>
        <v>0</v>
      </c>
      <c r="AO752" s="71">
        <f t="shared" ca="1" si="234"/>
        <v>0</v>
      </c>
      <c r="AP752" s="71">
        <f t="shared" ca="1" si="234"/>
        <v>0</v>
      </c>
      <c r="AQ752" s="71">
        <f t="shared" ca="1" si="234"/>
        <v>0</v>
      </c>
      <c r="AR752" s="71">
        <f t="shared" ca="1" si="234"/>
        <v>0</v>
      </c>
      <c r="AS752" s="71">
        <f t="shared" ca="1" si="234"/>
        <v>0</v>
      </c>
      <c r="AT752" s="71">
        <f t="shared" ca="1" si="234"/>
        <v>0</v>
      </c>
      <c r="AU752" s="71">
        <f t="shared" ca="1" si="234"/>
        <v>0</v>
      </c>
      <c r="AV752" s="71">
        <f t="shared" ca="1" si="234"/>
        <v>0</v>
      </c>
      <c r="AW752" s="71">
        <f t="shared" ca="1" si="234"/>
        <v>0</v>
      </c>
      <c r="AX752" s="71">
        <f t="shared" ca="1" si="234"/>
        <v>0</v>
      </c>
    </row>
    <row r="753" spans="1:50" ht="15" customHeight="1" x14ac:dyDescent="0.25">
      <c r="A753" s="86"/>
      <c r="B753" s="235"/>
      <c r="C753" s="604"/>
      <c r="D753" s="162"/>
      <c r="H753" s="48"/>
      <c r="I753" s="48"/>
      <c r="J753" s="48"/>
      <c r="K753" s="48"/>
      <c r="L753" s="48"/>
      <c r="M753" s="48"/>
      <c r="N753" s="48"/>
      <c r="O753" s="48"/>
      <c r="P753" s="48"/>
      <c r="Q753" s="48"/>
      <c r="R753" s="48"/>
      <c r="S753" s="48"/>
      <c r="T753" s="48"/>
      <c r="U753" s="48"/>
      <c r="V753" s="48"/>
      <c r="W753" s="48"/>
      <c r="X753" s="48"/>
      <c r="Y753" s="48"/>
      <c r="Z753" s="48"/>
      <c r="AA753" s="48"/>
      <c r="AB753" s="48"/>
      <c r="AC753" s="48"/>
      <c r="AD753" s="48"/>
      <c r="AE753" s="48"/>
      <c r="AF753" s="48"/>
      <c r="AG753" s="48"/>
      <c r="AH753" s="48"/>
      <c r="AI753" s="48"/>
      <c r="AJ753" s="48"/>
      <c r="AK753" s="48"/>
      <c r="AL753" s="48"/>
      <c r="AM753" s="48"/>
      <c r="AN753" s="48"/>
      <c r="AO753" s="48"/>
      <c r="AP753" s="48"/>
      <c r="AQ753" s="48"/>
      <c r="AR753" s="48"/>
      <c r="AS753" s="48"/>
      <c r="AT753" s="48"/>
      <c r="AU753" s="48"/>
      <c r="AV753" s="48"/>
      <c r="AW753" s="48"/>
      <c r="AX753" s="48"/>
    </row>
    <row r="754" spans="1:50" ht="15" customHeight="1" x14ac:dyDescent="0.25">
      <c r="A754" s="48"/>
      <c r="B754" s="235"/>
      <c r="C754" s="604"/>
      <c r="D754" s="217"/>
      <c r="E754" s="13"/>
      <c r="F754" s="577"/>
      <c r="G754" s="13"/>
      <c r="H754" s="13"/>
      <c r="I754" s="217"/>
      <c r="J754" s="89"/>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c r="AJ754" s="98"/>
      <c r="AK754" s="98"/>
      <c r="AL754" s="98"/>
      <c r="AM754" s="98"/>
      <c r="AN754" s="98"/>
      <c r="AO754" s="98"/>
      <c r="AP754" s="98"/>
      <c r="AQ754" s="98"/>
      <c r="AR754" s="98"/>
      <c r="AS754" s="98"/>
      <c r="AT754" s="98"/>
      <c r="AU754" s="98"/>
      <c r="AV754" s="98"/>
      <c r="AW754" s="98"/>
      <c r="AX754" s="98"/>
    </row>
    <row r="755" spans="1:50" ht="15" customHeight="1" x14ac:dyDescent="0.25">
      <c r="A755" s="202" t="str">
        <f>Translate!$E$476</f>
        <v>IOC income tax depreciation</v>
      </c>
      <c r="B755" s="781"/>
      <c r="C755" s="610"/>
      <c r="D755" s="204"/>
      <c r="E755" s="202"/>
      <c r="F755" s="204"/>
      <c r="G755" s="202"/>
      <c r="H755" s="202"/>
      <c r="I755" s="202"/>
      <c r="J755" s="202"/>
      <c r="K755" s="202"/>
      <c r="L755" s="202"/>
      <c r="M755" s="202"/>
      <c r="N755" s="202"/>
      <c r="O755" s="202"/>
      <c r="P755" s="202"/>
      <c r="Q755" s="202"/>
      <c r="R755" s="202"/>
      <c r="S755" s="202"/>
      <c r="T755" s="202"/>
      <c r="U755" s="202"/>
      <c r="V755" s="202"/>
      <c r="W755" s="202"/>
      <c r="X755" s="202"/>
      <c r="Y755" s="202"/>
      <c r="Z755" s="202"/>
      <c r="AA755" s="202"/>
      <c r="AB755" s="202"/>
      <c r="AC755" s="202"/>
      <c r="AD755" s="202"/>
      <c r="AE755" s="202"/>
      <c r="AF755" s="202"/>
      <c r="AG755" s="202"/>
      <c r="AH755" s="202"/>
      <c r="AI755" s="202"/>
      <c r="AJ755" s="202"/>
      <c r="AK755" s="202"/>
      <c r="AL755" s="202"/>
      <c r="AM755" s="202"/>
      <c r="AN755" s="202"/>
      <c r="AO755" s="202"/>
      <c r="AP755" s="202"/>
      <c r="AQ755" s="202"/>
      <c r="AR755" s="202"/>
      <c r="AS755" s="202"/>
      <c r="AT755" s="202"/>
      <c r="AU755" s="202"/>
      <c r="AV755" s="202"/>
      <c r="AW755" s="202"/>
      <c r="AX755" s="202"/>
    </row>
    <row r="756" spans="1:50" ht="15" customHeight="1" x14ac:dyDescent="0.25">
      <c r="A756" s="86"/>
      <c r="B756" s="677"/>
      <c r="C756" s="604"/>
      <c r="D756" s="217"/>
      <c r="E756" s="13"/>
      <c r="F756" s="169"/>
      <c r="G756" s="13"/>
      <c r="H756" s="13"/>
      <c r="I756" s="217"/>
      <c r="J756" s="56"/>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c r="AJ756" s="98"/>
      <c r="AK756" s="98"/>
      <c r="AL756" s="98"/>
      <c r="AM756" s="98"/>
      <c r="AN756" s="98"/>
      <c r="AO756" s="98"/>
      <c r="AP756" s="98"/>
      <c r="AQ756" s="98"/>
      <c r="AR756" s="98"/>
      <c r="AS756" s="98"/>
      <c r="AT756" s="98"/>
      <c r="AU756" s="98"/>
      <c r="AV756" s="98"/>
      <c r="AW756" s="98"/>
      <c r="AX756" s="98"/>
    </row>
    <row r="757" spans="1:50" ht="15" customHeight="1" x14ac:dyDescent="0.25">
      <c r="A757" s="86"/>
      <c r="B757" s="677" t="str">
        <f>Translate!$E$445</f>
        <v>Exploration costs tax treatment</v>
      </c>
      <c r="C757" s="604"/>
      <c r="D757" s="217"/>
      <c r="E757" s="13"/>
      <c r="F757" s="169"/>
      <c r="G757" s="13"/>
      <c r="H757" s="13"/>
      <c r="I757" s="217"/>
      <c r="J757" s="56"/>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c r="AJ757" s="98"/>
      <c r="AK757" s="98"/>
      <c r="AL757" s="98"/>
      <c r="AM757" s="98"/>
      <c r="AN757" s="98"/>
      <c r="AO757" s="98"/>
      <c r="AP757" s="98"/>
      <c r="AQ757" s="98"/>
      <c r="AR757" s="98"/>
      <c r="AS757" s="98"/>
      <c r="AT757" s="98"/>
      <c r="AU757" s="98"/>
      <c r="AV757" s="98"/>
      <c r="AW757" s="98"/>
      <c r="AX757" s="98"/>
    </row>
    <row r="758" spans="1:50" ht="15" customHeight="1" x14ac:dyDescent="0.25">
      <c r="A758" s="86"/>
      <c r="B758" s="677"/>
      <c r="C758" s="604"/>
      <c r="D758" s="217"/>
      <c r="E758" s="55" t="str">
        <f t="shared" ref="E758:AX758" si="235" xml:space="preserve"> E$742</f>
        <v>Exploration costs, after ELT: IOC</v>
      </c>
      <c r="F758" s="64">
        <f t="shared" si="235"/>
        <v>0</v>
      </c>
      <c r="G758" s="55" t="str">
        <f t="shared" si="235"/>
        <v>US$ mn</v>
      </c>
      <c r="H758" s="55">
        <f t="shared" si="235"/>
        <v>0</v>
      </c>
      <c r="I758" s="55">
        <f t="shared" ca="1" si="235"/>
        <v>420</v>
      </c>
      <c r="J758" s="55">
        <f t="shared" si="235"/>
        <v>0</v>
      </c>
      <c r="K758" s="55">
        <f t="shared" ca="1" si="235"/>
        <v>420</v>
      </c>
      <c r="L758" s="55">
        <f t="shared" ca="1" si="235"/>
        <v>0</v>
      </c>
      <c r="M758" s="55">
        <f t="shared" ca="1" si="235"/>
        <v>0</v>
      </c>
      <c r="N758" s="55">
        <f t="shared" ca="1" si="235"/>
        <v>0</v>
      </c>
      <c r="O758" s="55">
        <f t="shared" ca="1" si="235"/>
        <v>0</v>
      </c>
      <c r="P758" s="55">
        <f t="shared" ca="1" si="235"/>
        <v>0</v>
      </c>
      <c r="Q758" s="55">
        <f t="shared" ca="1" si="235"/>
        <v>0</v>
      </c>
      <c r="R758" s="55">
        <f t="shared" ca="1" si="235"/>
        <v>0</v>
      </c>
      <c r="S758" s="55">
        <f t="shared" ca="1" si="235"/>
        <v>0</v>
      </c>
      <c r="T758" s="55">
        <f t="shared" ca="1" si="235"/>
        <v>0</v>
      </c>
      <c r="U758" s="55">
        <f t="shared" ca="1" si="235"/>
        <v>0</v>
      </c>
      <c r="V758" s="55">
        <f t="shared" ca="1" si="235"/>
        <v>0</v>
      </c>
      <c r="W758" s="55">
        <f t="shared" ca="1" si="235"/>
        <v>0</v>
      </c>
      <c r="X758" s="55">
        <f t="shared" ca="1" si="235"/>
        <v>0</v>
      </c>
      <c r="Y758" s="55">
        <f t="shared" ca="1" si="235"/>
        <v>0</v>
      </c>
      <c r="Z758" s="55">
        <f t="shared" ca="1" si="235"/>
        <v>0</v>
      </c>
      <c r="AA758" s="55">
        <f t="shared" ca="1" si="235"/>
        <v>0</v>
      </c>
      <c r="AB758" s="55">
        <f t="shared" ca="1" si="235"/>
        <v>0</v>
      </c>
      <c r="AC758" s="55">
        <f t="shared" ca="1" si="235"/>
        <v>0</v>
      </c>
      <c r="AD758" s="55">
        <f t="shared" ca="1" si="235"/>
        <v>0</v>
      </c>
      <c r="AE758" s="55">
        <f t="shared" ca="1" si="235"/>
        <v>0</v>
      </c>
      <c r="AF758" s="55">
        <f t="shared" ca="1" si="235"/>
        <v>0</v>
      </c>
      <c r="AG758" s="55">
        <f t="shared" ca="1" si="235"/>
        <v>0</v>
      </c>
      <c r="AH758" s="55">
        <f t="shared" ca="1" si="235"/>
        <v>0</v>
      </c>
      <c r="AI758" s="55">
        <f t="shared" ca="1" si="235"/>
        <v>0</v>
      </c>
      <c r="AJ758" s="55">
        <f t="shared" ca="1" si="235"/>
        <v>0</v>
      </c>
      <c r="AK758" s="55">
        <f t="shared" ca="1" si="235"/>
        <v>0</v>
      </c>
      <c r="AL758" s="55">
        <f t="shared" ca="1" si="235"/>
        <v>0</v>
      </c>
      <c r="AM758" s="55">
        <f t="shared" ca="1" si="235"/>
        <v>0</v>
      </c>
      <c r="AN758" s="55">
        <f t="shared" ca="1" si="235"/>
        <v>0</v>
      </c>
      <c r="AO758" s="55">
        <f t="shared" ca="1" si="235"/>
        <v>0</v>
      </c>
      <c r="AP758" s="55">
        <f t="shared" ca="1" si="235"/>
        <v>0</v>
      </c>
      <c r="AQ758" s="55">
        <f t="shared" ca="1" si="235"/>
        <v>0</v>
      </c>
      <c r="AR758" s="55">
        <f t="shared" ca="1" si="235"/>
        <v>0</v>
      </c>
      <c r="AS758" s="55">
        <f t="shared" ca="1" si="235"/>
        <v>0</v>
      </c>
      <c r="AT758" s="55">
        <f t="shared" ca="1" si="235"/>
        <v>0</v>
      </c>
      <c r="AU758" s="55">
        <f t="shared" ca="1" si="235"/>
        <v>0</v>
      </c>
      <c r="AV758" s="55">
        <f t="shared" ca="1" si="235"/>
        <v>0</v>
      </c>
      <c r="AW758" s="55">
        <f t="shared" ca="1" si="235"/>
        <v>0</v>
      </c>
      <c r="AX758" s="55">
        <f t="shared" ca="1" si="235"/>
        <v>0</v>
      </c>
    </row>
    <row r="759" spans="1:50" ht="15" customHeight="1" x14ac:dyDescent="0.25">
      <c r="A759" s="86"/>
      <c r="B759" s="677"/>
      <c r="C759" s="604"/>
      <c r="D759" s="217"/>
      <c r="E759" s="55"/>
      <c r="F759" s="64"/>
      <c r="G759" s="55"/>
      <c r="H759" s="55"/>
      <c r="I759" s="55"/>
      <c r="J759" s="55"/>
      <c r="K759" s="55"/>
      <c r="L759" s="55"/>
      <c r="M759" s="55"/>
      <c r="N759" s="55"/>
      <c r="O759" s="55"/>
      <c r="P759" s="55"/>
      <c r="Q759" s="55"/>
      <c r="R759" s="55"/>
      <c r="S759" s="55"/>
      <c r="T759" s="55"/>
      <c r="U759" s="55"/>
      <c r="V759" s="55"/>
      <c r="W759" s="55"/>
      <c r="X759" s="55"/>
      <c r="Y759" s="55"/>
      <c r="Z759" s="55"/>
      <c r="AA759" s="55"/>
      <c r="AB759" s="55"/>
      <c r="AC759" s="55"/>
      <c r="AD759" s="55"/>
      <c r="AE759" s="55"/>
      <c r="AF759" s="55"/>
      <c r="AG759" s="55"/>
      <c r="AH759" s="55"/>
      <c r="AI759" s="55"/>
      <c r="AJ759" s="55"/>
      <c r="AK759" s="55"/>
      <c r="AL759" s="55"/>
      <c r="AM759" s="55"/>
      <c r="AN759" s="55"/>
      <c r="AO759" s="55"/>
      <c r="AP759" s="55"/>
      <c r="AQ759" s="55"/>
      <c r="AR759" s="55"/>
      <c r="AS759" s="55"/>
      <c r="AT759" s="55"/>
      <c r="AU759" s="55"/>
      <c r="AV759" s="55"/>
      <c r="AW759" s="55"/>
      <c r="AX759" s="55"/>
    </row>
    <row r="760" spans="1:50" ht="15" customHeight="1" x14ac:dyDescent="0.25">
      <c r="A760" s="241"/>
      <c r="B760" s="675"/>
      <c r="C760" s="615"/>
      <c r="D760" s="55"/>
      <c r="E760" s="490" t="str">
        <f xml:space="preserve"> FiscalModel!E$66</f>
        <v>Exploration costs depreciated or deducted immediately</v>
      </c>
      <c r="F760" s="408" t="str">
        <f xml:space="preserve"> FiscalModel!F$66</f>
        <v>expensed</v>
      </c>
      <c r="G760" s="490" t="str">
        <f xml:space="preserve"> FiscalModel!G$66</f>
        <v>Option</v>
      </c>
      <c r="H760" s="55"/>
      <c r="I760" s="55"/>
      <c r="J760" s="55"/>
      <c r="K760" s="55"/>
      <c r="L760" s="55"/>
      <c r="M760" s="55"/>
      <c r="N760" s="55"/>
      <c r="O760" s="55"/>
      <c r="P760" s="55"/>
      <c r="Q760" s="55"/>
      <c r="R760" s="55"/>
      <c r="S760" s="55"/>
      <c r="T760" s="55"/>
      <c r="U760" s="55"/>
      <c r="V760" s="55"/>
      <c r="W760" s="55"/>
      <c r="X760" s="55"/>
      <c r="Y760" s="55"/>
      <c r="Z760" s="55"/>
      <c r="AA760" s="55"/>
      <c r="AB760" s="55"/>
      <c r="AC760" s="55"/>
      <c r="AD760" s="55"/>
      <c r="AE760" s="55"/>
      <c r="AF760" s="55"/>
      <c r="AG760" s="55"/>
      <c r="AH760" s="55"/>
      <c r="AI760" s="55"/>
      <c r="AJ760" s="55"/>
      <c r="AK760" s="55"/>
      <c r="AL760" s="55"/>
      <c r="AM760" s="55"/>
      <c r="AN760" s="55"/>
      <c r="AO760" s="55"/>
      <c r="AP760" s="55"/>
      <c r="AQ760" s="55"/>
      <c r="AR760" s="55"/>
      <c r="AS760" s="55"/>
      <c r="AT760" s="55"/>
      <c r="AU760" s="55"/>
      <c r="AV760" s="55"/>
      <c r="AW760" s="55"/>
      <c r="AX760" s="55"/>
    </row>
    <row r="761" spans="1:50" ht="15" customHeight="1" x14ac:dyDescent="0.25">
      <c r="A761" s="241"/>
      <c r="B761" s="675"/>
      <c r="C761" s="615"/>
      <c r="D761" s="55"/>
      <c r="E761" s="55"/>
      <c r="F761" s="584" t="str">
        <f>Translate!$E$742</f>
        <v>depreciated</v>
      </c>
      <c r="G761" s="55" t="str">
        <f xml:space="preserve"> Translate!E$103</f>
        <v>Option</v>
      </c>
      <c r="H761" s="55"/>
      <c r="I761" s="55"/>
      <c r="J761" s="55"/>
      <c r="K761" s="55"/>
      <c r="L761" s="55"/>
      <c r="M761" s="55"/>
      <c r="N761" s="55"/>
      <c r="O761" s="55"/>
      <c r="P761" s="55"/>
      <c r="Q761" s="55"/>
      <c r="R761" s="55"/>
      <c r="S761" s="55"/>
      <c r="T761" s="55"/>
      <c r="U761" s="55"/>
      <c r="V761" s="55"/>
      <c r="W761" s="55"/>
      <c r="X761" s="55"/>
      <c r="Y761" s="55"/>
      <c r="Z761" s="55"/>
      <c r="AA761" s="55"/>
      <c r="AB761" s="55"/>
      <c r="AC761" s="55"/>
      <c r="AD761" s="55"/>
      <c r="AE761" s="55"/>
      <c r="AF761" s="55"/>
      <c r="AG761" s="55"/>
      <c r="AH761" s="55"/>
      <c r="AI761" s="55"/>
      <c r="AJ761" s="55"/>
      <c r="AK761" s="55"/>
      <c r="AL761" s="55"/>
      <c r="AM761" s="55"/>
      <c r="AN761" s="55"/>
      <c r="AO761" s="55"/>
      <c r="AP761" s="55"/>
      <c r="AQ761" s="55"/>
      <c r="AR761" s="55"/>
      <c r="AS761" s="55"/>
      <c r="AT761" s="55"/>
      <c r="AU761" s="55"/>
      <c r="AV761" s="55"/>
      <c r="AW761" s="55"/>
      <c r="AX761" s="55"/>
    </row>
    <row r="762" spans="1:50" ht="15" customHeight="1" x14ac:dyDescent="0.25">
      <c r="A762" s="241"/>
      <c r="B762" s="675"/>
      <c r="C762" s="615"/>
      <c r="D762" s="55"/>
      <c r="E762" s="55"/>
      <c r="F762" s="584" t="str">
        <f>Translate!$E$743</f>
        <v>expensed</v>
      </c>
      <c r="G762" s="55" t="str">
        <f xml:space="preserve"> Translate!E$103</f>
        <v>Option</v>
      </c>
      <c r="H762" s="55"/>
      <c r="I762" s="55"/>
      <c r="J762" s="55"/>
      <c r="K762" s="55"/>
      <c r="L762" s="55"/>
      <c r="M762" s="55"/>
      <c r="N762" s="55"/>
      <c r="O762" s="55"/>
      <c r="P762" s="55"/>
      <c r="Q762" s="55"/>
      <c r="R762" s="55"/>
      <c r="S762" s="55"/>
      <c r="T762" s="55"/>
      <c r="U762" s="55"/>
      <c r="V762" s="55"/>
      <c r="W762" s="55"/>
      <c r="X762" s="55"/>
      <c r="Y762" s="55"/>
      <c r="Z762" s="55"/>
      <c r="AA762" s="55"/>
      <c r="AB762" s="55"/>
      <c r="AC762" s="55"/>
      <c r="AD762" s="55"/>
      <c r="AE762" s="55"/>
      <c r="AF762" s="55"/>
      <c r="AG762" s="55"/>
      <c r="AH762" s="55"/>
      <c r="AI762" s="55"/>
      <c r="AJ762" s="55"/>
      <c r="AK762" s="55"/>
      <c r="AL762" s="55"/>
      <c r="AM762" s="55"/>
      <c r="AN762" s="55"/>
      <c r="AO762" s="55"/>
      <c r="AP762" s="55"/>
      <c r="AQ762" s="55"/>
      <c r="AR762" s="55"/>
      <c r="AS762" s="55"/>
      <c r="AT762" s="55"/>
      <c r="AU762" s="55"/>
      <c r="AV762" s="55"/>
      <c r="AW762" s="55"/>
      <c r="AX762" s="55"/>
    </row>
    <row r="763" spans="1:50" ht="15" customHeight="1" x14ac:dyDescent="0.25">
      <c r="A763" s="86"/>
      <c r="B763" s="677"/>
      <c r="C763" s="604"/>
      <c r="D763" s="217"/>
      <c r="E763" s="55"/>
      <c r="F763" s="64"/>
      <c r="G763" s="55"/>
      <c r="H763" s="55"/>
      <c r="I763" s="55"/>
      <c r="J763" s="55"/>
      <c r="K763" s="55"/>
      <c r="L763" s="55"/>
      <c r="M763" s="55"/>
      <c r="N763" s="55"/>
      <c r="O763" s="55"/>
      <c r="P763" s="55"/>
      <c r="Q763" s="55"/>
      <c r="R763" s="55"/>
      <c r="S763" s="55"/>
      <c r="T763" s="55"/>
      <c r="U763" s="55"/>
      <c r="V763" s="55"/>
      <c r="W763" s="55"/>
      <c r="X763" s="55"/>
      <c r="Y763" s="55"/>
      <c r="Z763" s="55"/>
      <c r="AA763" s="55"/>
      <c r="AB763" s="55"/>
      <c r="AC763" s="55"/>
      <c r="AD763" s="55"/>
      <c r="AE763" s="55"/>
      <c r="AF763" s="55"/>
      <c r="AG763" s="55"/>
      <c r="AH763" s="55"/>
      <c r="AI763" s="55"/>
      <c r="AJ763" s="55"/>
      <c r="AK763" s="55"/>
      <c r="AL763" s="55"/>
      <c r="AM763" s="55"/>
      <c r="AN763" s="55"/>
      <c r="AO763" s="55"/>
      <c r="AP763" s="55"/>
      <c r="AQ763" s="55"/>
      <c r="AR763" s="55"/>
      <c r="AS763" s="55"/>
      <c r="AT763" s="55"/>
      <c r="AU763" s="55"/>
      <c r="AV763" s="55"/>
      <c r="AW763" s="55"/>
      <c r="AX763" s="55"/>
    </row>
    <row r="764" spans="1:50" ht="15" customHeight="1" x14ac:dyDescent="0.25">
      <c r="A764" s="86"/>
      <c r="B764" s="677"/>
      <c r="C764" s="604"/>
      <c r="D764" s="217"/>
      <c r="E764" s="55" t="str">
        <f xml:space="preserve"> E758 &amp; " " &amp; Translate!E$527</f>
        <v>Exploration costs, after ELT: IOC into depreciation</v>
      </c>
      <c r="F764" s="64"/>
      <c r="G764" s="55" t="str">
        <f xml:space="preserve"> G758</f>
        <v>US$ mn</v>
      </c>
      <c r="H764" s="55"/>
      <c r="I764" s="55">
        <f ca="1" xml:space="preserve"> SUM(K764:AX764)</f>
        <v>0</v>
      </c>
      <c r="J764" s="55"/>
      <c r="K764" s="55">
        <f t="shared" ref="K764:AX764" ca="1" si="236" xml:space="preserve"> ($F760 = $F761) * K758</f>
        <v>0</v>
      </c>
      <c r="L764" s="55">
        <f t="shared" ca="1" si="236"/>
        <v>0</v>
      </c>
      <c r="M764" s="55">
        <f t="shared" ca="1" si="236"/>
        <v>0</v>
      </c>
      <c r="N764" s="55">
        <f t="shared" ca="1" si="236"/>
        <v>0</v>
      </c>
      <c r="O764" s="55">
        <f t="shared" ca="1" si="236"/>
        <v>0</v>
      </c>
      <c r="P764" s="55">
        <f t="shared" ca="1" si="236"/>
        <v>0</v>
      </c>
      <c r="Q764" s="55">
        <f t="shared" ca="1" si="236"/>
        <v>0</v>
      </c>
      <c r="R764" s="55">
        <f t="shared" ca="1" si="236"/>
        <v>0</v>
      </c>
      <c r="S764" s="55">
        <f t="shared" ca="1" si="236"/>
        <v>0</v>
      </c>
      <c r="T764" s="55">
        <f t="shared" ca="1" si="236"/>
        <v>0</v>
      </c>
      <c r="U764" s="55">
        <f t="shared" ca="1" si="236"/>
        <v>0</v>
      </c>
      <c r="V764" s="55">
        <f t="shared" ca="1" si="236"/>
        <v>0</v>
      </c>
      <c r="W764" s="55">
        <f t="shared" ca="1" si="236"/>
        <v>0</v>
      </c>
      <c r="X764" s="55">
        <f t="shared" ca="1" si="236"/>
        <v>0</v>
      </c>
      <c r="Y764" s="55">
        <f t="shared" ca="1" si="236"/>
        <v>0</v>
      </c>
      <c r="Z764" s="55">
        <f t="shared" ca="1" si="236"/>
        <v>0</v>
      </c>
      <c r="AA764" s="55">
        <f t="shared" ca="1" si="236"/>
        <v>0</v>
      </c>
      <c r="AB764" s="55">
        <f t="shared" ca="1" si="236"/>
        <v>0</v>
      </c>
      <c r="AC764" s="55">
        <f t="shared" ca="1" si="236"/>
        <v>0</v>
      </c>
      <c r="AD764" s="55">
        <f t="shared" ca="1" si="236"/>
        <v>0</v>
      </c>
      <c r="AE764" s="55">
        <f t="shared" ca="1" si="236"/>
        <v>0</v>
      </c>
      <c r="AF764" s="55">
        <f t="shared" ca="1" si="236"/>
        <v>0</v>
      </c>
      <c r="AG764" s="55">
        <f t="shared" ca="1" si="236"/>
        <v>0</v>
      </c>
      <c r="AH764" s="55">
        <f t="shared" ca="1" si="236"/>
        <v>0</v>
      </c>
      <c r="AI764" s="55">
        <f t="shared" ca="1" si="236"/>
        <v>0</v>
      </c>
      <c r="AJ764" s="55">
        <f t="shared" ca="1" si="236"/>
        <v>0</v>
      </c>
      <c r="AK764" s="55">
        <f t="shared" ca="1" si="236"/>
        <v>0</v>
      </c>
      <c r="AL764" s="55">
        <f t="shared" ca="1" si="236"/>
        <v>0</v>
      </c>
      <c r="AM764" s="55">
        <f t="shared" ca="1" si="236"/>
        <v>0</v>
      </c>
      <c r="AN764" s="55">
        <f t="shared" ca="1" si="236"/>
        <v>0</v>
      </c>
      <c r="AO764" s="55">
        <f t="shared" ca="1" si="236"/>
        <v>0</v>
      </c>
      <c r="AP764" s="55">
        <f t="shared" ca="1" si="236"/>
        <v>0</v>
      </c>
      <c r="AQ764" s="55">
        <f t="shared" ca="1" si="236"/>
        <v>0</v>
      </c>
      <c r="AR764" s="55">
        <f t="shared" ca="1" si="236"/>
        <v>0</v>
      </c>
      <c r="AS764" s="55">
        <f t="shared" ca="1" si="236"/>
        <v>0</v>
      </c>
      <c r="AT764" s="55">
        <f t="shared" ca="1" si="236"/>
        <v>0</v>
      </c>
      <c r="AU764" s="55">
        <f t="shared" ca="1" si="236"/>
        <v>0</v>
      </c>
      <c r="AV764" s="55">
        <f t="shared" ca="1" si="236"/>
        <v>0</v>
      </c>
      <c r="AW764" s="55">
        <f t="shared" ca="1" si="236"/>
        <v>0</v>
      </c>
      <c r="AX764" s="55">
        <f t="shared" ca="1" si="236"/>
        <v>0</v>
      </c>
    </row>
    <row r="765" spans="1:50" ht="15" customHeight="1" x14ac:dyDescent="0.25">
      <c r="A765" s="86"/>
      <c r="B765" s="677"/>
      <c r="C765" s="604"/>
      <c r="D765" s="217"/>
      <c r="E765" s="55" t="str">
        <f xml:space="preserve"> E758 &amp;  ": " &amp; Translate!E541</f>
        <v>Exploration costs, after ELT: IOC: deducted immediately</v>
      </c>
      <c r="F765" s="64"/>
      <c r="G765" s="55" t="str">
        <f xml:space="preserve"> G758</f>
        <v>US$ mn</v>
      </c>
      <c r="H765" s="55"/>
      <c r="I765" s="55">
        <f ca="1" xml:space="preserve"> SUM(K765:AX765)</f>
        <v>420</v>
      </c>
      <c r="J765" s="55"/>
      <c r="K765" s="55">
        <f t="shared" ref="K765:AX765" ca="1" si="237" xml:space="preserve"> ($F760 = $F762) * K758</f>
        <v>420</v>
      </c>
      <c r="L765" s="55">
        <f t="shared" ca="1" si="237"/>
        <v>0</v>
      </c>
      <c r="M765" s="55">
        <f t="shared" ca="1" si="237"/>
        <v>0</v>
      </c>
      <c r="N765" s="55">
        <f t="shared" ca="1" si="237"/>
        <v>0</v>
      </c>
      <c r="O765" s="55">
        <f t="shared" ca="1" si="237"/>
        <v>0</v>
      </c>
      <c r="P765" s="55">
        <f t="shared" ca="1" si="237"/>
        <v>0</v>
      </c>
      <c r="Q765" s="55">
        <f t="shared" ca="1" si="237"/>
        <v>0</v>
      </c>
      <c r="R765" s="55">
        <f t="shared" ca="1" si="237"/>
        <v>0</v>
      </c>
      <c r="S765" s="55">
        <f t="shared" ca="1" si="237"/>
        <v>0</v>
      </c>
      <c r="T765" s="55">
        <f t="shared" ca="1" si="237"/>
        <v>0</v>
      </c>
      <c r="U765" s="55">
        <f t="shared" ca="1" si="237"/>
        <v>0</v>
      </c>
      <c r="V765" s="55">
        <f t="shared" ca="1" si="237"/>
        <v>0</v>
      </c>
      <c r="W765" s="55">
        <f t="shared" ca="1" si="237"/>
        <v>0</v>
      </c>
      <c r="X765" s="55">
        <f t="shared" ca="1" si="237"/>
        <v>0</v>
      </c>
      <c r="Y765" s="55">
        <f t="shared" ca="1" si="237"/>
        <v>0</v>
      </c>
      <c r="Z765" s="55">
        <f t="shared" ca="1" si="237"/>
        <v>0</v>
      </c>
      <c r="AA765" s="55">
        <f t="shared" ca="1" si="237"/>
        <v>0</v>
      </c>
      <c r="AB765" s="55">
        <f t="shared" ca="1" si="237"/>
        <v>0</v>
      </c>
      <c r="AC765" s="55">
        <f t="shared" ca="1" si="237"/>
        <v>0</v>
      </c>
      <c r="AD765" s="55">
        <f t="shared" ca="1" si="237"/>
        <v>0</v>
      </c>
      <c r="AE765" s="55">
        <f t="shared" ca="1" si="237"/>
        <v>0</v>
      </c>
      <c r="AF765" s="55">
        <f t="shared" ca="1" si="237"/>
        <v>0</v>
      </c>
      <c r="AG765" s="55">
        <f t="shared" ca="1" si="237"/>
        <v>0</v>
      </c>
      <c r="AH765" s="55">
        <f t="shared" ca="1" si="237"/>
        <v>0</v>
      </c>
      <c r="AI765" s="55">
        <f t="shared" ca="1" si="237"/>
        <v>0</v>
      </c>
      <c r="AJ765" s="55">
        <f t="shared" ca="1" si="237"/>
        <v>0</v>
      </c>
      <c r="AK765" s="55">
        <f t="shared" ca="1" si="237"/>
        <v>0</v>
      </c>
      <c r="AL765" s="55">
        <f t="shared" ca="1" si="237"/>
        <v>0</v>
      </c>
      <c r="AM765" s="55">
        <f t="shared" ca="1" si="237"/>
        <v>0</v>
      </c>
      <c r="AN765" s="55">
        <f t="shared" ca="1" si="237"/>
        <v>0</v>
      </c>
      <c r="AO765" s="55">
        <f t="shared" ca="1" si="237"/>
        <v>0</v>
      </c>
      <c r="AP765" s="55">
        <f t="shared" ca="1" si="237"/>
        <v>0</v>
      </c>
      <c r="AQ765" s="55">
        <f t="shared" ca="1" si="237"/>
        <v>0</v>
      </c>
      <c r="AR765" s="55">
        <f t="shared" ca="1" si="237"/>
        <v>0</v>
      </c>
      <c r="AS765" s="55">
        <f t="shared" ca="1" si="237"/>
        <v>0</v>
      </c>
      <c r="AT765" s="55">
        <f t="shared" ca="1" si="237"/>
        <v>0</v>
      </c>
      <c r="AU765" s="55">
        <f t="shared" ca="1" si="237"/>
        <v>0</v>
      </c>
      <c r="AV765" s="55">
        <f t="shared" ca="1" si="237"/>
        <v>0</v>
      </c>
      <c r="AW765" s="55">
        <f t="shared" ca="1" si="237"/>
        <v>0</v>
      </c>
      <c r="AX765" s="55">
        <f t="shared" ca="1" si="237"/>
        <v>0</v>
      </c>
    </row>
    <row r="766" spans="1:50" ht="15" customHeight="1" x14ac:dyDescent="0.25">
      <c r="A766" s="86"/>
      <c r="B766" s="677"/>
      <c r="C766" s="604"/>
      <c r="D766" s="217"/>
      <c r="E766" s="55"/>
      <c r="F766" s="64"/>
      <c r="G766" s="55"/>
      <c r="H766" s="55"/>
      <c r="I766" s="55"/>
      <c r="J766" s="55"/>
      <c r="K766" s="55"/>
      <c r="L766" s="55"/>
      <c r="M766" s="55"/>
      <c r="N766" s="55"/>
      <c r="O766" s="55"/>
      <c r="P766" s="55"/>
      <c r="Q766" s="55"/>
      <c r="R766" s="55"/>
      <c r="S766" s="55"/>
      <c r="T766" s="55"/>
      <c r="U766" s="55"/>
      <c r="V766" s="55"/>
      <c r="W766" s="55"/>
      <c r="X766" s="55"/>
      <c r="Y766" s="55"/>
      <c r="Z766" s="55"/>
      <c r="AA766" s="55"/>
      <c r="AB766" s="55"/>
      <c r="AC766" s="55"/>
      <c r="AD766" s="55"/>
      <c r="AE766" s="55"/>
      <c r="AF766" s="55"/>
      <c r="AG766" s="55"/>
      <c r="AH766" s="55"/>
      <c r="AI766" s="55"/>
      <c r="AJ766" s="55"/>
      <c r="AK766" s="55"/>
      <c r="AL766" s="55"/>
      <c r="AM766" s="55"/>
      <c r="AN766" s="55"/>
      <c r="AO766" s="55"/>
      <c r="AP766" s="55"/>
      <c r="AQ766" s="55"/>
      <c r="AR766" s="55"/>
      <c r="AS766" s="55"/>
      <c r="AT766" s="55"/>
      <c r="AU766" s="55"/>
      <c r="AV766" s="55"/>
      <c r="AW766" s="55"/>
      <c r="AX766" s="55"/>
    </row>
    <row r="767" spans="1:50" ht="15" customHeight="1" x14ac:dyDescent="0.25">
      <c r="A767" s="86"/>
      <c r="B767" s="677" t="str">
        <f>Translate!$E$446</f>
        <v>Bonus tax treatment</v>
      </c>
      <c r="C767" s="604"/>
      <c r="D767" s="217"/>
      <c r="E767" s="55"/>
      <c r="F767" s="64"/>
      <c r="G767" s="55"/>
      <c r="H767" s="55"/>
      <c r="I767" s="55"/>
      <c r="J767" s="55"/>
      <c r="K767" s="55"/>
      <c r="L767" s="55"/>
      <c r="M767" s="55"/>
      <c r="N767" s="55"/>
      <c r="O767" s="55"/>
      <c r="P767" s="55"/>
      <c r="Q767" s="55"/>
      <c r="R767" s="55"/>
      <c r="S767" s="55"/>
      <c r="T767" s="55"/>
      <c r="U767" s="55"/>
      <c r="V767" s="55"/>
      <c r="W767" s="55"/>
      <c r="X767" s="55"/>
      <c r="Y767" s="55"/>
      <c r="Z767" s="55"/>
      <c r="AA767" s="55"/>
      <c r="AB767" s="55"/>
      <c r="AC767" s="55"/>
      <c r="AD767" s="55"/>
      <c r="AE767" s="55"/>
      <c r="AF767" s="55"/>
      <c r="AG767" s="55"/>
      <c r="AH767" s="55"/>
      <c r="AI767" s="55"/>
      <c r="AJ767" s="55"/>
      <c r="AK767" s="55"/>
      <c r="AL767" s="55"/>
      <c r="AM767" s="55"/>
      <c r="AN767" s="55"/>
      <c r="AO767" s="55"/>
      <c r="AP767" s="55"/>
      <c r="AQ767" s="55"/>
      <c r="AR767" s="55"/>
      <c r="AS767" s="55"/>
      <c r="AT767" s="55"/>
      <c r="AU767" s="55"/>
      <c r="AV767" s="55"/>
      <c r="AW767" s="55"/>
      <c r="AX767" s="55"/>
    </row>
    <row r="768" spans="1:50" ht="15" customHeight="1" x14ac:dyDescent="0.25">
      <c r="A768" s="86"/>
      <c r="B768" s="677"/>
      <c r="C768" s="604"/>
      <c r="D768" s="217"/>
      <c r="E768" s="55" t="str">
        <f t="shared" ref="E768:AX768" si="238" xml:space="preserve"> E$747</f>
        <v>Bonuses: IOC</v>
      </c>
      <c r="F768" s="64">
        <f t="shared" si="238"/>
        <v>0</v>
      </c>
      <c r="G768" s="55" t="str">
        <f t="shared" si="238"/>
        <v>US$ mn</v>
      </c>
      <c r="H768" s="55">
        <f t="shared" si="238"/>
        <v>0</v>
      </c>
      <c r="I768" s="55">
        <f t="shared" ca="1" si="238"/>
        <v>60</v>
      </c>
      <c r="J768" s="55">
        <f t="shared" si="238"/>
        <v>0</v>
      </c>
      <c r="K768" s="55">
        <f t="shared" ca="1" si="238"/>
        <v>10</v>
      </c>
      <c r="L768" s="55">
        <f t="shared" ca="1" si="238"/>
        <v>0</v>
      </c>
      <c r="M768" s="55">
        <f t="shared" ca="1" si="238"/>
        <v>0</v>
      </c>
      <c r="N768" s="55">
        <f t="shared" ca="1" si="238"/>
        <v>0</v>
      </c>
      <c r="O768" s="55">
        <f t="shared" ca="1" si="238"/>
        <v>50</v>
      </c>
      <c r="P768" s="55">
        <f t="shared" ca="1" si="238"/>
        <v>0</v>
      </c>
      <c r="Q768" s="55">
        <f t="shared" ca="1" si="238"/>
        <v>0</v>
      </c>
      <c r="R768" s="55">
        <f t="shared" ca="1" si="238"/>
        <v>0</v>
      </c>
      <c r="S768" s="55">
        <f t="shared" ca="1" si="238"/>
        <v>0</v>
      </c>
      <c r="T768" s="55">
        <f t="shared" ca="1" si="238"/>
        <v>0</v>
      </c>
      <c r="U768" s="55">
        <f t="shared" ca="1" si="238"/>
        <v>0</v>
      </c>
      <c r="V768" s="55">
        <f t="shared" ca="1" si="238"/>
        <v>0</v>
      </c>
      <c r="W768" s="55">
        <f t="shared" ca="1" si="238"/>
        <v>0</v>
      </c>
      <c r="X768" s="55">
        <f t="shared" ca="1" si="238"/>
        <v>0</v>
      </c>
      <c r="Y768" s="55">
        <f t="shared" ca="1" si="238"/>
        <v>0</v>
      </c>
      <c r="Z768" s="55">
        <f t="shared" ca="1" si="238"/>
        <v>0</v>
      </c>
      <c r="AA768" s="55">
        <f t="shared" ca="1" si="238"/>
        <v>0</v>
      </c>
      <c r="AB768" s="55">
        <f t="shared" ca="1" si="238"/>
        <v>0</v>
      </c>
      <c r="AC768" s="55">
        <f t="shared" ca="1" si="238"/>
        <v>0</v>
      </c>
      <c r="AD768" s="55">
        <f t="shared" ca="1" si="238"/>
        <v>0</v>
      </c>
      <c r="AE768" s="55">
        <f t="shared" ca="1" si="238"/>
        <v>0</v>
      </c>
      <c r="AF768" s="55">
        <f t="shared" ca="1" si="238"/>
        <v>0</v>
      </c>
      <c r="AG768" s="55">
        <f t="shared" ca="1" si="238"/>
        <v>0</v>
      </c>
      <c r="AH768" s="55">
        <f t="shared" ca="1" si="238"/>
        <v>0</v>
      </c>
      <c r="AI768" s="55">
        <f t="shared" ca="1" si="238"/>
        <v>0</v>
      </c>
      <c r="AJ768" s="55">
        <f t="shared" ca="1" si="238"/>
        <v>0</v>
      </c>
      <c r="AK768" s="55">
        <f t="shared" ca="1" si="238"/>
        <v>0</v>
      </c>
      <c r="AL768" s="55">
        <f t="shared" ca="1" si="238"/>
        <v>0</v>
      </c>
      <c r="AM768" s="55">
        <f t="shared" ca="1" si="238"/>
        <v>0</v>
      </c>
      <c r="AN768" s="55">
        <f t="shared" ca="1" si="238"/>
        <v>0</v>
      </c>
      <c r="AO768" s="55">
        <f t="shared" ca="1" si="238"/>
        <v>0</v>
      </c>
      <c r="AP768" s="55">
        <f t="shared" ca="1" si="238"/>
        <v>0</v>
      </c>
      <c r="AQ768" s="55">
        <f t="shared" ca="1" si="238"/>
        <v>0</v>
      </c>
      <c r="AR768" s="55">
        <f t="shared" ca="1" si="238"/>
        <v>0</v>
      </c>
      <c r="AS768" s="55">
        <f t="shared" ca="1" si="238"/>
        <v>0</v>
      </c>
      <c r="AT768" s="55">
        <f t="shared" ca="1" si="238"/>
        <v>0</v>
      </c>
      <c r="AU768" s="55">
        <f t="shared" ca="1" si="238"/>
        <v>0</v>
      </c>
      <c r="AV768" s="55">
        <f t="shared" ca="1" si="238"/>
        <v>0</v>
      </c>
      <c r="AW768" s="55">
        <f t="shared" ca="1" si="238"/>
        <v>0</v>
      </c>
      <c r="AX768" s="55">
        <f t="shared" ca="1" si="238"/>
        <v>0</v>
      </c>
    </row>
    <row r="769" spans="1:50" ht="15" customHeight="1" x14ac:dyDescent="0.25">
      <c r="A769" s="86"/>
      <c r="B769" s="677"/>
      <c r="C769" s="604"/>
      <c r="D769" s="217"/>
      <c r="E769" s="490" t="str">
        <f xml:space="preserve"> FiscalModel!E$18</f>
        <v>Bonuses cost recoverable and CIT and RRT deductible</v>
      </c>
      <c r="F769" s="408" t="str">
        <f xml:space="preserve"> FiscalModel!F$18</f>
        <v>no</v>
      </c>
      <c r="G769" s="490" t="str">
        <f xml:space="preserve"> FiscalModel!G$18</f>
        <v>Option</v>
      </c>
      <c r="H769" s="55"/>
      <c r="I769" s="55"/>
      <c r="J769" s="55"/>
      <c r="K769" s="55"/>
      <c r="L769" s="55"/>
      <c r="M769" s="55"/>
      <c r="N769" s="55"/>
      <c r="O769" s="55"/>
      <c r="P769" s="55"/>
      <c r="Q769" s="55"/>
      <c r="R769" s="55"/>
      <c r="S769" s="55"/>
      <c r="T769" s="55"/>
      <c r="U769" s="55"/>
      <c r="V769" s="55"/>
      <c r="W769" s="55"/>
      <c r="X769" s="55"/>
      <c r="Y769" s="55"/>
      <c r="Z769" s="55"/>
      <c r="AA769" s="55"/>
      <c r="AB769" s="55"/>
      <c r="AC769" s="55"/>
      <c r="AD769" s="55"/>
      <c r="AE769" s="55"/>
      <c r="AF769" s="55"/>
      <c r="AG769" s="55"/>
      <c r="AH769" s="55"/>
      <c r="AI769" s="55"/>
      <c r="AJ769" s="55"/>
      <c r="AK769" s="55"/>
      <c r="AL769" s="55"/>
      <c r="AM769" s="55"/>
      <c r="AN769" s="55"/>
      <c r="AO769" s="55"/>
      <c r="AP769" s="55"/>
      <c r="AQ769" s="55"/>
      <c r="AR769" s="55"/>
      <c r="AS769" s="55"/>
      <c r="AT769" s="55"/>
      <c r="AU769" s="55"/>
      <c r="AV769" s="55"/>
      <c r="AW769" s="55"/>
      <c r="AX769" s="55"/>
    </row>
    <row r="770" spans="1:50" ht="15" customHeight="1" x14ac:dyDescent="0.25">
      <c r="B770" s="675"/>
      <c r="C770" s="615"/>
      <c r="D770" s="48"/>
      <c r="E770" s="222" t="str">
        <f>Inputs!E$87</f>
        <v>Label: yes</v>
      </c>
      <c r="F770" s="533" t="str">
        <f>Inputs!F$87</f>
        <v>yes</v>
      </c>
      <c r="G770" s="222" t="str">
        <f>Inputs!G$87</f>
        <v>Label</v>
      </c>
      <c r="H770" s="48"/>
      <c r="I770" s="48"/>
    </row>
    <row r="771" spans="1:50" ht="15" customHeight="1" x14ac:dyDescent="0.25">
      <c r="B771" s="675"/>
      <c r="C771" s="615"/>
      <c r="D771" s="48"/>
      <c r="E771" s="222" t="str">
        <f>Inputs!E$88</f>
        <v>Label: no</v>
      </c>
      <c r="F771" s="533" t="str">
        <f>Inputs!F$88</f>
        <v>no</v>
      </c>
      <c r="G771" s="222" t="str">
        <f>Inputs!G$88</f>
        <v>Label</v>
      </c>
      <c r="H771" s="48"/>
      <c r="I771" s="48"/>
    </row>
    <row r="772" spans="1:50" ht="15" customHeight="1" x14ac:dyDescent="0.25">
      <c r="A772" s="86"/>
      <c r="B772" s="677"/>
      <c r="C772" s="604"/>
      <c r="D772" s="217"/>
      <c r="E772" s="55" t="str">
        <f xml:space="preserve"> E768  &amp;  " " &amp; Translate!E538</f>
        <v>Bonuses: IOC deductible</v>
      </c>
      <c r="F772" s="64"/>
      <c r="G772" s="55" t="str">
        <f xml:space="preserve"> G768</f>
        <v>US$ mn</v>
      </c>
      <c r="H772" s="55" t="str">
        <f>Translate!E522</f>
        <v>assumed via depreciation</v>
      </c>
      <c r="I772" s="55">
        <f ca="1" xml:space="preserve"> SUM(K772:AX772)</f>
        <v>0</v>
      </c>
      <c r="J772" s="55"/>
      <c r="K772" s="55">
        <f ca="1" xml:space="preserve"> K768 * ($F769 = $F770)</f>
        <v>0</v>
      </c>
      <c r="L772" s="55">
        <f t="shared" ref="L772:AX772" ca="1" si="239" xml:space="preserve"> L768 * ($F769 = $F770)</f>
        <v>0</v>
      </c>
      <c r="M772" s="55">
        <f t="shared" ca="1" si="239"/>
        <v>0</v>
      </c>
      <c r="N772" s="55">
        <f t="shared" ca="1" si="239"/>
        <v>0</v>
      </c>
      <c r="O772" s="55">
        <f t="shared" ca="1" si="239"/>
        <v>0</v>
      </c>
      <c r="P772" s="55">
        <f t="shared" ca="1" si="239"/>
        <v>0</v>
      </c>
      <c r="Q772" s="55">
        <f t="shared" ca="1" si="239"/>
        <v>0</v>
      </c>
      <c r="R772" s="55">
        <f t="shared" ca="1" si="239"/>
        <v>0</v>
      </c>
      <c r="S772" s="55">
        <f t="shared" ca="1" si="239"/>
        <v>0</v>
      </c>
      <c r="T772" s="55">
        <f t="shared" ca="1" si="239"/>
        <v>0</v>
      </c>
      <c r="U772" s="55">
        <f t="shared" ca="1" si="239"/>
        <v>0</v>
      </c>
      <c r="V772" s="55">
        <f t="shared" ca="1" si="239"/>
        <v>0</v>
      </c>
      <c r="W772" s="55">
        <f t="shared" ca="1" si="239"/>
        <v>0</v>
      </c>
      <c r="X772" s="55">
        <f t="shared" ca="1" si="239"/>
        <v>0</v>
      </c>
      <c r="Y772" s="55">
        <f t="shared" ca="1" si="239"/>
        <v>0</v>
      </c>
      <c r="Z772" s="55">
        <f t="shared" ca="1" si="239"/>
        <v>0</v>
      </c>
      <c r="AA772" s="55">
        <f t="shared" ca="1" si="239"/>
        <v>0</v>
      </c>
      <c r="AB772" s="55">
        <f t="shared" ca="1" si="239"/>
        <v>0</v>
      </c>
      <c r="AC772" s="55">
        <f t="shared" ca="1" si="239"/>
        <v>0</v>
      </c>
      <c r="AD772" s="55">
        <f t="shared" ca="1" si="239"/>
        <v>0</v>
      </c>
      <c r="AE772" s="55">
        <f t="shared" ca="1" si="239"/>
        <v>0</v>
      </c>
      <c r="AF772" s="55">
        <f t="shared" ca="1" si="239"/>
        <v>0</v>
      </c>
      <c r="AG772" s="55">
        <f t="shared" ca="1" si="239"/>
        <v>0</v>
      </c>
      <c r="AH772" s="55">
        <f t="shared" ca="1" si="239"/>
        <v>0</v>
      </c>
      <c r="AI772" s="55">
        <f t="shared" ca="1" si="239"/>
        <v>0</v>
      </c>
      <c r="AJ772" s="55">
        <f t="shared" ca="1" si="239"/>
        <v>0</v>
      </c>
      <c r="AK772" s="55">
        <f t="shared" ca="1" si="239"/>
        <v>0</v>
      </c>
      <c r="AL772" s="55">
        <f t="shared" ca="1" si="239"/>
        <v>0</v>
      </c>
      <c r="AM772" s="55">
        <f t="shared" ca="1" si="239"/>
        <v>0</v>
      </c>
      <c r="AN772" s="55">
        <f t="shared" ca="1" si="239"/>
        <v>0</v>
      </c>
      <c r="AO772" s="55">
        <f t="shared" ca="1" si="239"/>
        <v>0</v>
      </c>
      <c r="AP772" s="55">
        <f t="shared" ca="1" si="239"/>
        <v>0</v>
      </c>
      <c r="AQ772" s="55">
        <f t="shared" ca="1" si="239"/>
        <v>0</v>
      </c>
      <c r="AR772" s="55">
        <f t="shared" ca="1" si="239"/>
        <v>0</v>
      </c>
      <c r="AS772" s="55">
        <f t="shared" ca="1" si="239"/>
        <v>0</v>
      </c>
      <c r="AT772" s="55">
        <f t="shared" ca="1" si="239"/>
        <v>0</v>
      </c>
      <c r="AU772" s="55">
        <f t="shared" ca="1" si="239"/>
        <v>0</v>
      </c>
      <c r="AV772" s="55">
        <f t="shared" ca="1" si="239"/>
        <v>0</v>
      </c>
      <c r="AW772" s="55">
        <f t="shared" ca="1" si="239"/>
        <v>0</v>
      </c>
      <c r="AX772" s="55">
        <f t="shared" ca="1" si="239"/>
        <v>0</v>
      </c>
    </row>
    <row r="773" spans="1:50" ht="15" customHeight="1" x14ac:dyDescent="0.25">
      <c r="A773" s="86"/>
      <c r="B773" s="677"/>
      <c r="C773" s="604"/>
      <c r="D773" s="217"/>
      <c r="E773" s="55"/>
      <c r="F773" s="64"/>
      <c r="G773" s="55"/>
      <c r="H773" s="55"/>
      <c r="I773" s="55"/>
      <c r="J773" s="55"/>
      <c r="K773" s="55"/>
      <c r="L773" s="55"/>
      <c r="M773" s="55"/>
      <c r="N773" s="55"/>
      <c r="O773" s="55"/>
      <c r="P773" s="55"/>
      <c r="Q773" s="55"/>
      <c r="R773" s="55"/>
      <c r="S773" s="55"/>
      <c r="T773" s="55"/>
      <c r="U773" s="55"/>
      <c r="V773" s="55"/>
      <c r="W773" s="55"/>
      <c r="X773" s="55"/>
      <c r="Y773" s="55"/>
      <c r="Z773" s="55"/>
      <c r="AA773" s="55"/>
      <c r="AB773" s="55"/>
      <c r="AC773" s="55"/>
      <c r="AD773" s="55"/>
      <c r="AE773" s="55"/>
      <c r="AF773" s="55"/>
      <c r="AG773" s="55"/>
      <c r="AH773" s="55"/>
      <c r="AI773" s="55"/>
      <c r="AJ773" s="55"/>
      <c r="AK773" s="55"/>
      <c r="AL773" s="55"/>
      <c r="AM773" s="55"/>
      <c r="AN773" s="55"/>
      <c r="AO773" s="55"/>
      <c r="AP773" s="55"/>
      <c r="AQ773" s="55"/>
      <c r="AR773" s="55"/>
      <c r="AS773" s="55"/>
      <c r="AT773" s="55"/>
      <c r="AU773" s="55"/>
      <c r="AV773" s="55"/>
      <c r="AW773" s="55"/>
      <c r="AX773" s="55"/>
    </row>
    <row r="774" spans="1:50" ht="15" customHeight="1" x14ac:dyDescent="0.25">
      <c r="A774" s="86"/>
      <c r="B774" s="677"/>
      <c r="C774" s="604"/>
      <c r="D774" s="217"/>
      <c r="E774" s="55"/>
      <c r="F774" s="64"/>
      <c r="G774" s="55"/>
      <c r="H774" s="55"/>
      <c r="I774" s="55"/>
      <c r="J774" s="55"/>
      <c r="K774" s="55"/>
      <c r="L774" s="55"/>
      <c r="M774" s="55"/>
      <c r="N774" s="55"/>
      <c r="O774" s="55"/>
      <c r="P774" s="55"/>
      <c r="Q774" s="55"/>
      <c r="R774" s="55"/>
      <c r="S774" s="55"/>
      <c r="T774" s="55"/>
      <c r="U774" s="55"/>
      <c r="V774" s="55"/>
      <c r="W774" s="55"/>
      <c r="X774" s="55"/>
      <c r="Y774" s="55"/>
      <c r="Z774" s="55"/>
      <c r="AA774" s="55"/>
      <c r="AB774" s="55"/>
      <c r="AC774" s="55"/>
      <c r="AD774" s="55"/>
      <c r="AE774" s="55"/>
      <c r="AF774" s="55"/>
      <c r="AG774" s="55"/>
      <c r="AH774" s="55"/>
      <c r="AI774" s="55"/>
      <c r="AJ774" s="55"/>
      <c r="AK774" s="55"/>
      <c r="AL774" s="55"/>
      <c r="AM774" s="55"/>
      <c r="AN774" s="55"/>
      <c r="AO774" s="55"/>
      <c r="AP774" s="55"/>
      <c r="AQ774" s="55"/>
      <c r="AR774" s="55"/>
      <c r="AS774" s="55"/>
      <c r="AT774" s="55"/>
      <c r="AU774" s="55"/>
      <c r="AV774" s="55"/>
      <c r="AW774" s="55"/>
      <c r="AX774" s="55"/>
    </row>
    <row r="775" spans="1:50" ht="15" customHeight="1" x14ac:dyDescent="0.25">
      <c r="A775" s="86"/>
      <c r="B775" s="677" t="str">
        <f>Translate!$E$447</f>
        <v>Costs for depreciation calculation</v>
      </c>
      <c r="C775" s="604"/>
      <c r="D775" s="217"/>
      <c r="E775" s="13"/>
      <c r="F775" s="169"/>
      <c r="G775" s="13"/>
      <c r="H775" s="13"/>
      <c r="I775" s="217"/>
      <c r="J775" s="56"/>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c r="AJ775" s="98"/>
      <c r="AK775" s="98"/>
      <c r="AL775" s="98"/>
      <c r="AM775" s="98"/>
      <c r="AN775" s="98"/>
      <c r="AO775" s="98"/>
      <c r="AP775" s="98"/>
      <c r="AQ775" s="98"/>
      <c r="AR775" s="98"/>
      <c r="AS775" s="98"/>
      <c r="AT775" s="98"/>
      <c r="AU775" s="98"/>
      <c r="AV775" s="98"/>
      <c r="AW775" s="98"/>
      <c r="AX775" s="98"/>
    </row>
    <row r="776" spans="1:50" ht="15" customHeight="1" x14ac:dyDescent="0.25">
      <c r="A776" s="86"/>
      <c r="B776" s="677"/>
      <c r="C776" s="604"/>
      <c r="D776" s="217"/>
      <c r="E776" s="55" t="str">
        <f t="shared" ref="E776:AX776" si="240" xml:space="preserve"> E$764</f>
        <v>Exploration costs, after ELT: IOC into depreciation</v>
      </c>
      <c r="F776" s="64">
        <f t="shared" si="240"/>
        <v>0</v>
      </c>
      <c r="G776" s="55" t="str">
        <f t="shared" si="240"/>
        <v>US$ mn</v>
      </c>
      <c r="H776" s="55">
        <f t="shared" si="240"/>
        <v>0</v>
      </c>
      <c r="I776" s="55">
        <f t="shared" ca="1" si="240"/>
        <v>0</v>
      </c>
      <c r="J776" s="55">
        <f t="shared" si="240"/>
        <v>0</v>
      </c>
      <c r="K776" s="55">
        <f t="shared" ca="1" si="240"/>
        <v>0</v>
      </c>
      <c r="L776" s="55">
        <f t="shared" ca="1" si="240"/>
        <v>0</v>
      </c>
      <c r="M776" s="55">
        <f t="shared" ca="1" si="240"/>
        <v>0</v>
      </c>
      <c r="N776" s="55">
        <f t="shared" ca="1" si="240"/>
        <v>0</v>
      </c>
      <c r="O776" s="55">
        <f t="shared" ca="1" si="240"/>
        <v>0</v>
      </c>
      <c r="P776" s="55">
        <f t="shared" ca="1" si="240"/>
        <v>0</v>
      </c>
      <c r="Q776" s="55">
        <f t="shared" ca="1" si="240"/>
        <v>0</v>
      </c>
      <c r="R776" s="55">
        <f t="shared" ca="1" si="240"/>
        <v>0</v>
      </c>
      <c r="S776" s="55">
        <f t="shared" ca="1" si="240"/>
        <v>0</v>
      </c>
      <c r="T776" s="55">
        <f t="shared" ca="1" si="240"/>
        <v>0</v>
      </c>
      <c r="U776" s="55">
        <f t="shared" ca="1" si="240"/>
        <v>0</v>
      </c>
      <c r="V776" s="55">
        <f t="shared" ca="1" si="240"/>
        <v>0</v>
      </c>
      <c r="W776" s="55">
        <f t="shared" ca="1" si="240"/>
        <v>0</v>
      </c>
      <c r="X776" s="55">
        <f t="shared" ca="1" si="240"/>
        <v>0</v>
      </c>
      <c r="Y776" s="55">
        <f t="shared" ca="1" si="240"/>
        <v>0</v>
      </c>
      <c r="Z776" s="55">
        <f t="shared" ca="1" si="240"/>
        <v>0</v>
      </c>
      <c r="AA776" s="55">
        <f t="shared" ca="1" si="240"/>
        <v>0</v>
      </c>
      <c r="AB776" s="55">
        <f t="shared" ca="1" si="240"/>
        <v>0</v>
      </c>
      <c r="AC776" s="55">
        <f t="shared" ca="1" si="240"/>
        <v>0</v>
      </c>
      <c r="AD776" s="55">
        <f t="shared" ca="1" si="240"/>
        <v>0</v>
      </c>
      <c r="AE776" s="55">
        <f t="shared" ca="1" si="240"/>
        <v>0</v>
      </c>
      <c r="AF776" s="55">
        <f t="shared" ca="1" si="240"/>
        <v>0</v>
      </c>
      <c r="AG776" s="55">
        <f t="shared" ca="1" si="240"/>
        <v>0</v>
      </c>
      <c r="AH776" s="55">
        <f t="shared" ca="1" si="240"/>
        <v>0</v>
      </c>
      <c r="AI776" s="55">
        <f t="shared" ca="1" si="240"/>
        <v>0</v>
      </c>
      <c r="AJ776" s="55">
        <f t="shared" ca="1" si="240"/>
        <v>0</v>
      </c>
      <c r="AK776" s="55">
        <f t="shared" ca="1" si="240"/>
        <v>0</v>
      </c>
      <c r="AL776" s="55">
        <f t="shared" ca="1" si="240"/>
        <v>0</v>
      </c>
      <c r="AM776" s="55">
        <f t="shared" ca="1" si="240"/>
        <v>0</v>
      </c>
      <c r="AN776" s="55">
        <f t="shared" ca="1" si="240"/>
        <v>0</v>
      </c>
      <c r="AO776" s="55">
        <f t="shared" ca="1" si="240"/>
        <v>0</v>
      </c>
      <c r="AP776" s="55">
        <f t="shared" ca="1" si="240"/>
        <v>0</v>
      </c>
      <c r="AQ776" s="55">
        <f t="shared" ca="1" si="240"/>
        <v>0</v>
      </c>
      <c r="AR776" s="55">
        <f t="shared" ca="1" si="240"/>
        <v>0</v>
      </c>
      <c r="AS776" s="55">
        <f t="shared" ca="1" si="240"/>
        <v>0</v>
      </c>
      <c r="AT776" s="55">
        <f t="shared" ca="1" si="240"/>
        <v>0</v>
      </c>
      <c r="AU776" s="55">
        <f t="shared" ca="1" si="240"/>
        <v>0</v>
      </c>
      <c r="AV776" s="55">
        <f t="shared" ca="1" si="240"/>
        <v>0</v>
      </c>
      <c r="AW776" s="55">
        <f t="shared" ca="1" si="240"/>
        <v>0</v>
      </c>
      <c r="AX776" s="55">
        <f t="shared" ca="1" si="240"/>
        <v>0</v>
      </c>
    </row>
    <row r="777" spans="1:50" ht="15" customHeight="1" x14ac:dyDescent="0.25">
      <c r="A777" s="86"/>
      <c r="B777" s="677"/>
      <c r="C777" s="604"/>
      <c r="D777" s="217"/>
      <c r="E777" s="55" t="str">
        <f t="shared" ref="E777:AX777" si="241" xml:space="preserve"> E$772</f>
        <v>Bonuses: IOC deductible</v>
      </c>
      <c r="F777" s="64">
        <f t="shared" si="241"/>
        <v>0</v>
      </c>
      <c r="G777" s="55" t="str">
        <f t="shared" si="241"/>
        <v>US$ mn</v>
      </c>
      <c r="H777" s="55" t="str">
        <f t="shared" si="241"/>
        <v>assumed via depreciation</v>
      </c>
      <c r="I777" s="55">
        <f t="shared" ca="1" si="241"/>
        <v>0</v>
      </c>
      <c r="J777" s="55">
        <f t="shared" si="241"/>
        <v>0</v>
      </c>
      <c r="K777" s="55">
        <f t="shared" ca="1" si="241"/>
        <v>0</v>
      </c>
      <c r="L777" s="55">
        <f t="shared" ca="1" si="241"/>
        <v>0</v>
      </c>
      <c r="M777" s="55">
        <f t="shared" ca="1" si="241"/>
        <v>0</v>
      </c>
      <c r="N777" s="55">
        <f t="shared" ca="1" si="241"/>
        <v>0</v>
      </c>
      <c r="O777" s="55">
        <f t="shared" ca="1" si="241"/>
        <v>0</v>
      </c>
      <c r="P777" s="55">
        <f t="shared" ca="1" si="241"/>
        <v>0</v>
      </c>
      <c r="Q777" s="55">
        <f t="shared" ca="1" si="241"/>
        <v>0</v>
      </c>
      <c r="R777" s="55">
        <f t="shared" ca="1" si="241"/>
        <v>0</v>
      </c>
      <c r="S777" s="55">
        <f t="shared" ca="1" si="241"/>
        <v>0</v>
      </c>
      <c r="T777" s="55">
        <f t="shared" ca="1" si="241"/>
        <v>0</v>
      </c>
      <c r="U777" s="55">
        <f t="shared" ca="1" si="241"/>
        <v>0</v>
      </c>
      <c r="V777" s="55">
        <f t="shared" ca="1" si="241"/>
        <v>0</v>
      </c>
      <c r="W777" s="55">
        <f t="shared" ca="1" si="241"/>
        <v>0</v>
      </c>
      <c r="X777" s="55">
        <f t="shared" ca="1" si="241"/>
        <v>0</v>
      </c>
      <c r="Y777" s="55">
        <f t="shared" ca="1" si="241"/>
        <v>0</v>
      </c>
      <c r="Z777" s="55">
        <f t="shared" ca="1" si="241"/>
        <v>0</v>
      </c>
      <c r="AA777" s="55">
        <f t="shared" ca="1" si="241"/>
        <v>0</v>
      </c>
      <c r="AB777" s="55">
        <f t="shared" ca="1" si="241"/>
        <v>0</v>
      </c>
      <c r="AC777" s="55">
        <f t="shared" ca="1" si="241"/>
        <v>0</v>
      </c>
      <c r="AD777" s="55">
        <f t="shared" ca="1" si="241"/>
        <v>0</v>
      </c>
      <c r="AE777" s="55">
        <f t="shared" ca="1" si="241"/>
        <v>0</v>
      </c>
      <c r="AF777" s="55">
        <f t="shared" ca="1" si="241"/>
        <v>0</v>
      </c>
      <c r="AG777" s="55">
        <f t="shared" ca="1" si="241"/>
        <v>0</v>
      </c>
      <c r="AH777" s="55">
        <f t="shared" ca="1" si="241"/>
        <v>0</v>
      </c>
      <c r="AI777" s="55">
        <f t="shared" ca="1" si="241"/>
        <v>0</v>
      </c>
      <c r="AJ777" s="55">
        <f t="shared" ca="1" si="241"/>
        <v>0</v>
      </c>
      <c r="AK777" s="55">
        <f t="shared" ca="1" si="241"/>
        <v>0</v>
      </c>
      <c r="AL777" s="55">
        <f t="shared" ca="1" si="241"/>
        <v>0</v>
      </c>
      <c r="AM777" s="55">
        <f t="shared" ca="1" si="241"/>
        <v>0</v>
      </c>
      <c r="AN777" s="55">
        <f t="shared" ca="1" si="241"/>
        <v>0</v>
      </c>
      <c r="AO777" s="55">
        <f t="shared" ca="1" si="241"/>
        <v>0</v>
      </c>
      <c r="AP777" s="55">
        <f t="shared" ca="1" si="241"/>
        <v>0</v>
      </c>
      <c r="AQ777" s="55">
        <f t="shared" ca="1" si="241"/>
        <v>0</v>
      </c>
      <c r="AR777" s="55">
        <f t="shared" ca="1" si="241"/>
        <v>0</v>
      </c>
      <c r="AS777" s="55">
        <f t="shared" ca="1" si="241"/>
        <v>0</v>
      </c>
      <c r="AT777" s="55">
        <f t="shared" ca="1" si="241"/>
        <v>0</v>
      </c>
      <c r="AU777" s="55">
        <f t="shared" ca="1" si="241"/>
        <v>0</v>
      </c>
      <c r="AV777" s="55">
        <f t="shared" ca="1" si="241"/>
        <v>0</v>
      </c>
      <c r="AW777" s="55">
        <f t="shared" ca="1" si="241"/>
        <v>0</v>
      </c>
      <c r="AX777" s="55">
        <f t="shared" ca="1" si="241"/>
        <v>0</v>
      </c>
    </row>
    <row r="778" spans="1:50" ht="15" customHeight="1" x14ac:dyDescent="0.25">
      <c r="A778" s="86"/>
      <c r="B778" s="677"/>
      <c r="C778" s="604"/>
      <c r="D778" s="217"/>
      <c r="E778" s="55" t="str">
        <f t="shared" ref="E778:AX778" si="242" xml:space="preserve"> E$743</f>
        <v>Development costs, after ELT: IOC</v>
      </c>
      <c r="F778" s="64">
        <f t="shared" si="242"/>
        <v>0</v>
      </c>
      <c r="G778" s="55" t="str">
        <f t="shared" si="242"/>
        <v>US$ mn</v>
      </c>
      <c r="H778" s="55">
        <f t="shared" si="242"/>
        <v>0</v>
      </c>
      <c r="I778" s="55">
        <f t="shared" ca="1" si="242"/>
        <v>8364.4578251446346</v>
      </c>
      <c r="J778" s="55">
        <f t="shared" si="242"/>
        <v>0</v>
      </c>
      <c r="K778" s="55">
        <f t="shared" ca="1" si="242"/>
        <v>0</v>
      </c>
      <c r="L778" s="55">
        <f t="shared" ca="1" si="242"/>
        <v>40.799999999999997</v>
      </c>
      <c r="M778" s="55">
        <f t="shared" ca="1" si="242"/>
        <v>249.696</v>
      </c>
      <c r="N778" s="55">
        <f t="shared" ca="1" si="242"/>
        <v>1018.7596799999999</v>
      </c>
      <c r="O778" s="55">
        <f t="shared" ca="1" si="242"/>
        <v>1039.1348736</v>
      </c>
      <c r="P778" s="55">
        <f t="shared" ca="1" si="242"/>
        <v>1854.8557493759999</v>
      </c>
      <c r="Q778" s="55">
        <f t="shared" ca="1" si="242"/>
        <v>991.02292895232006</v>
      </c>
      <c r="R778" s="55">
        <f t="shared" ca="1" si="242"/>
        <v>413.52684035374079</v>
      </c>
      <c r="S778" s="55">
        <f t="shared" ca="1" si="242"/>
        <v>234.33187620045314</v>
      </c>
      <c r="T778" s="55">
        <f t="shared" ca="1" si="242"/>
        <v>239.01851372446222</v>
      </c>
      <c r="U778" s="55">
        <f t="shared" ca="1" si="242"/>
        <v>243.79888399895148</v>
      </c>
      <c r="V778" s="55">
        <f t="shared" ca="1" si="242"/>
        <v>248.67486167893048</v>
      </c>
      <c r="W778" s="55">
        <f t="shared" ca="1" si="242"/>
        <v>253.64835891250908</v>
      </c>
      <c r="X778" s="55">
        <f t="shared" ca="1" si="242"/>
        <v>258.72132609075925</v>
      </c>
      <c r="Y778" s="55">
        <f t="shared" ca="1" si="242"/>
        <v>263.89575261257448</v>
      </c>
      <c r="Z778" s="55">
        <f t="shared" ca="1" si="242"/>
        <v>269.17366766482598</v>
      </c>
      <c r="AA778" s="55">
        <f t="shared" ca="1" si="242"/>
        <v>274.55714101812248</v>
      </c>
      <c r="AB778" s="55">
        <f t="shared" ca="1" si="242"/>
        <v>0</v>
      </c>
      <c r="AC778" s="55">
        <f t="shared" ca="1" si="242"/>
        <v>0</v>
      </c>
      <c r="AD778" s="55">
        <f t="shared" ca="1" si="242"/>
        <v>233.08978760444779</v>
      </c>
      <c r="AE778" s="55">
        <f t="shared" ca="1" si="242"/>
        <v>237.75158335653677</v>
      </c>
      <c r="AF778" s="55">
        <f t="shared" ca="1" si="242"/>
        <v>0</v>
      </c>
      <c r="AG778" s="55">
        <f t="shared" ca="1" si="242"/>
        <v>0</v>
      </c>
      <c r="AH778" s="55">
        <f t="shared" ca="1" si="242"/>
        <v>0</v>
      </c>
      <c r="AI778" s="55">
        <f t="shared" ca="1" si="242"/>
        <v>0</v>
      </c>
      <c r="AJ778" s="55">
        <f t="shared" ca="1" si="242"/>
        <v>0</v>
      </c>
      <c r="AK778" s="55">
        <f t="shared" ca="1" si="242"/>
        <v>0</v>
      </c>
      <c r="AL778" s="55">
        <f t="shared" ca="1" si="242"/>
        <v>0</v>
      </c>
      <c r="AM778" s="55">
        <f t="shared" ca="1" si="242"/>
        <v>0</v>
      </c>
      <c r="AN778" s="55">
        <f t="shared" ca="1" si="242"/>
        <v>0</v>
      </c>
      <c r="AO778" s="55">
        <f t="shared" ca="1" si="242"/>
        <v>0</v>
      </c>
      <c r="AP778" s="55">
        <f t="shared" ca="1" si="242"/>
        <v>0</v>
      </c>
      <c r="AQ778" s="55">
        <f t="shared" ca="1" si="242"/>
        <v>0</v>
      </c>
      <c r="AR778" s="55">
        <f t="shared" ca="1" si="242"/>
        <v>0</v>
      </c>
      <c r="AS778" s="55">
        <f t="shared" ca="1" si="242"/>
        <v>0</v>
      </c>
      <c r="AT778" s="55">
        <f t="shared" ca="1" si="242"/>
        <v>0</v>
      </c>
      <c r="AU778" s="55">
        <f t="shared" ca="1" si="242"/>
        <v>0</v>
      </c>
      <c r="AV778" s="55">
        <f t="shared" ca="1" si="242"/>
        <v>0</v>
      </c>
      <c r="AW778" s="55">
        <f t="shared" ca="1" si="242"/>
        <v>0</v>
      </c>
      <c r="AX778" s="55">
        <f t="shared" ca="1" si="242"/>
        <v>0</v>
      </c>
    </row>
    <row r="779" spans="1:50" ht="15" customHeight="1" x14ac:dyDescent="0.25">
      <c r="A779" s="86"/>
      <c r="B779" s="677"/>
      <c r="C779" s="604"/>
      <c r="D779" s="217"/>
      <c r="E779" s="55" t="str">
        <f t="shared" ref="E779:AX779" si="243" xml:space="preserve"> E$744</f>
        <v>Replacement capital costs, after ELT: IOC</v>
      </c>
      <c r="F779" s="64">
        <f t="shared" si="243"/>
        <v>0</v>
      </c>
      <c r="G779" s="55" t="str">
        <f t="shared" si="243"/>
        <v>US$ mn</v>
      </c>
      <c r="H779" s="55">
        <f t="shared" si="243"/>
        <v>0</v>
      </c>
      <c r="I779" s="55">
        <f t="shared" ca="1" si="243"/>
        <v>0</v>
      </c>
      <c r="J779" s="55">
        <f t="shared" si="243"/>
        <v>0</v>
      </c>
      <c r="K779" s="55">
        <f t="shared" ca="1" si="243"/>
        <v>0</v>
      </c>
      <c r="L779" s="55">
        <f t="shared" ca="1" si="243"/>
        <v>0</v>
      </c>
      <c r="M779" s="55">
        <f t="shared" ca="1" si="243"/>
        <v>0</v>
      </c>
      <c r="N779" s="55">
        <f t="shared" ca="1" si="243"/>
        <v>0</v>
      </c>
      <c r="O779" s="55">
        <f t="shared" ca="1" si="243"/>
        <v>0</v>
      </c>
      <c r="P779" s="55">
        <f t="shared" ca="1" si="243"/>
        <v>0</v>
      </c>
      <c r="Q779" s="55">
        <f t="shared" ca="1" si="243"/>
        <v>0</v>
      </c>
      <c r="R779" s="55">
        <f t="shared" ca="1" si="243"/>
        <v>0</v>
      </c>
      <c r="S779" s="55">
        <f t="shared" ca="1" si="243"/>
        <v>0</v>
      </c>
      <c r="T779" s="55">
        <f t="shared" ca="1" si="243"/>
        <v>0</v>
      </c>
      <c r="U779" s="55">
        <f t="shared" ca="1" si="243"/>
        <v>0</v>
      </c>
      <c r="V779" s="55">
        <f t="shared" ca="1" si="243"/>
        <v>0</v>
      </c>
      <c r="W779" s="55">
        <f t="shared" ca="1" si="243"/>
        <v>0</v>
      </c>
      <c r="X779" s="55">
        <f t="shared" ca="1" si="243"/>
        <v>0</v>
      </c>
      <c r="Y779" s="55">
        <f t="shared" ca="1" si="243"/>
        <v>0</v>
      </c>
      <c r="Z779" s="55">
        <f t="shared" ca="1" si="243"/>
        <v>0</v>
      </c>
      <c r="AA779" s="55">
        <f t="shared" ca="1" si="243"/>
        <v>0</v>
      </c>
      <c r="AB779" s="55">
        <f t="shared" ca="1" si="243"/>
        <v>0</v>
      </c>
      <c r="AC779" s="55">
        <f t="shared" ca="1" si="243"/>
        <v>0</v>
      </c>
      <c r="AD779" s="55">
        <f t="shared" ca="1" si="243"/>
        <v>0</v>
      </c>
      <c r="AE779" s="55">
        <f t="shared" ca="1" si="243"/>
        <v>0</v>
      </c>
      <c r="AF779" s="55">
        <f t="shared" ca="1" si="243"/>
        <v>0</v>
      </c>
      <c r="AG779" s="55">
        <f t="shared" ca="1" si="243"/>
        <v>0</v>
      </c>
      <c r="AH779" s="55">
        <f t="shared" ca="1" si="243"/>
        <v>0</v>
      </c>
      <c r="AI779" s="55">
        <f t="shared" ca="1" si="243"/>
        <v>0</v>
      </c>
      <c r="AJ779" s="55">
        <f t="shared" ca="1" si="243"/>
        <v>0</v>
      </c>
      <c r="AK779" s="55">
        <f t="shared" ca="1" si="243"/>
        <v>0</v>
      </c>
      <c r="AL779" s="55">
        <f t="shared" ca="1" si="243"/>
        <v>0</v>
      </c>
      <c r="AM779" s="55">
        <f t="shared" ca="1" si="243"/>
        <v>0</v>
      </c>
      <c r="AN779" s="55">
        <f t="shared" ca="1" si="243"/>
        <v>0</v>
      </c>
      <c r="AO779" s="55">
        <f t="shared" ca="1" si="243"/>
        <v>0</v>
      </c>
      <c r="AP779" s="55">
        <f t="shared" ca="1" si="243"/>
        <v>0</v>
      </c>
      <c r="AQ779" s="55">
        <f t="shared" ca="1" si="243"/>
        <v>0</v>
      </c>
      <c r="AR779" s="55">
        <f t="shared" ca="1" si="243"/>
        <v>0</v>
      </c>
      <c r="AS779" s="55">
        <f t="shared" ca="1" si="243"/>
        <v>0</v>
      </c>
      <c r="AT779" s="55">
        <f t="shared" ca="1" si="243"/>
        <v>0</v>
      </c>
      <c r="AU779" s="55">
        <f t="shared" ca="1" si="243"/>
        <v>0</v>
      </c>
      <c r="AV779" s="55">
        <f t="shared" ca="1" si="243"/>
        <v>0</v>
      </c>
      <c r="AW779" s="55">
        <f t="shared" ca="1" si="243"/>
        <v>0</v>
      </c>
      <c r="AX779" s="55">
        <f t="shared" ca="1" si="243"/>
        <v>0</v>
      </c>
    </row>
    <row r="780" spans="1:50" ht="15" customHeight="1" x14ac:dyDescent="0.25">
      <c r="A780" s="86"/>
      <c r="B780" s="677"/>
      <c r="C780" s="604"/>
      <c r="D780" s="217"/>
      <c r="E780" s="55" t="str">
        <f t="shared" ref="E780:AX780" si="244" xml:space="preserve"> E$398</f>
        <v>Interest capitalized into development costs: IOC</v>
      </c>
      <c r="F780" s="64">
        <f t="shared" si="244"/>
        <v>0</v>
      </c>
      <c r="G780" s="55" t="str">
        <f t="shared" si="244"/>
        <v>US$ mn</v>
      </c>
      <c r="H780" s="55">
        <f t="shared" si="244"/>
        <v>0</v>
      </c>
      <c r="I780" s="55">
        <f t="shared" ca="1" si="244"/>
        <v>35.293279287900461</v>
      </c>
      <c r="J780" s="55">
        <f t="shared" si="244"/>
        <v>0</v>
      </c>
      <c r="K780" s="55">
        <f t="shared" ca="1" si="244"/>
        <v>0</v>
      </c>
      <c r="L780" s="55">
        <f t="shared" ca="1" si="244"/>
        <v>0.72256799999999966</v>
      </c>
      <c r="M780" s="55">
        <f t="shared" ca="1" si="244"/>
        <v>5.9038141007999974</v>
      </c>
      <c r="N780" s="55">
        <f t="shared" ca="1" si="244"/>
        <v>28.666897187100467</v>
      </c>
      <c r="O780" s="55">
        <f t="shared" ca="1" si="244"/>
        <v>0</v>
      </c>
      <c r="P780" s="55">
        <f t="shared" ca="1" si="244"/>
        <v>0</v>
      </c>
      <c r="Q780" s="55">
        <f t="shared" ca="1" si="244"/>
        <v>0</v>
      </c>
      <c r="R780" s="55">
        <f t="shared" ca="1" si="244"/>
        <v>0</v>
      </c>
      <c r="S780" s="55">
        <f t="shared" ca="1" si="244"/>
        <v>0</v>
      </c>
      <c r="T780" s="55">
        <f t="shared" ca="1" si="244"/>
        <v>0</v>
      </c>
      <c r="U780" s="55">
        <f t="shared" ca="1" si="244"/>
        <v>0</v>
      </c>
      <c r="V780" s="55">
        <f t="shared" ca="1" si="244"/>
        <v>0</v>
      </c>
      <c r="W780" s="55">
        <f t="shared" ca="1" si="244"/>
        <v>0</v>
      </c>
      <c r="X780" s="55">
        <f t="shared" ca="1" si="244"/>
        <v>0</v>
      </c>
      <c r="Y780" s="55">
        <f t="shared" ca="1" si="244"/>
        <v>0</v>
      </c>
      <c r="Z780" s="55">
        <f t="shared" ca="1" si="244"/>
        <v>0</v>
      </c>
      <c r="AA780" s="55">
        <f t="shared" ca="1" si="244"/>
        <v>0</v>
      </c>
      <c r="AB780" s="55">
        <f t="shared" ca="1" si="244"/>
        <v>0</v>
      </c>
      <c r="AC780" s="55">
        <f t="shared" ca="1" si="244"/>
        <v>0</v>
      </c>
      <c r="AD780" s="55">
        <f t="shared" ca="1" si="244"/>
        <v>0</v>
      </c>
      <c r="AE780" s="55">
        <f t="shared" ca="1" si="244"/>
        <v>0</v>
      </c>
      <c r="AF780" s="55">
        <f t="shared" ca="1" si="244"/>
        <v>0</v>
      </c>
      <c r="AG780" s="55">
        <f t="shared" ca="1" si="244"/>
        <v>0</v>
      </c>
      <c r="AH780" s="55">
        <f t="shared" ca="1" si="244"/>
        <v>0</v>
      </c>
      <c r="AI780" s="55">
        <f t="shared" ca="1" si="244"/>
        <v>0</v>
      </c>
      <c r="AJ780" s="55">
        <f t="shared" ca="1" si="244"/>
        <v>0</v>
      </c>
      <c r="AK780" s="55">
        <f t="shared" ca="1" si="244"/>
        <v>0</v>
      </c>
      <c r="AL780" s="55">
        <f t="shared" ca="1" si="244"/>
        <v>0</v>
      </c>
      <c r="AM780" s="55">
        <f t="shared" ca="1" si="244"/>
        <v>0</v>
      </c>
      <c r="AN780" s="55">
        <f t="shared" ca="1" si="244"/>
        <v>0</v>
      </c>
      <c r="AO780" s="55">
        <f t="shared" ca="1" si="244"/>
        <v>0</v>
      </c>
      <c r="AP780" s="55">
        <f t="shared" ca="1" si="244"/>
        <v>0</v>
      </c>
      <c r="AQ780" s="55">
        <f t="shared" ca="1" si="244"/>
        <v>0</v>
      </c>
      <c r="AR780" s="55">
        <f t="shared" ca="1" si="244"/>
        <v>0</v>
      </c>
      <c r="AS780" s="55">
        <f t="shared" ca="1" si="244"/>
        <v>0</v>
      </c>
      <c r="AT780" s="55">
        <f t="shared" ca="1" si="244"/>
        <v>0</v>
      </c>
      <c r="AU780" s="55">
        <f t="shared" ca="1" si="244"/>
        <v>0</v>
      </c>
      <c r="AV780" s="55">
        <f t="shared" ca="1" si="244"/>
        <v>0</v>
      </c>
      <c r="AW780" s="55">
        <f t="shared" ca="1" si="244"/>
        <v>0</v>
      </c>
      <c r="AX780" s="55">
        <f t="shared" ca="1" si="244"/>
        <v>0</v>
      </c>
    </row>
    <row r="781" spans="1:50" s="485" customFormat="1" ht="15" customHeight="1" x14ac:dyDescent="0.25">
      <c r="A781" s="479"/>
      <c r="B781" s="687"/>
      <c r="C781" s="621"/>
      <c r="D781" s="508"/>
      <c r="E781" s="482" t="str">
        <f xml:space="preserve"> Translate!E$328</f>
        <v>Capitalized costs: IOC</v>
      </c>
      <c r="F781" s="504"/>
      <c r="G781" s="482" t="str">
        <f xml:space="preserve"> Translate!E$603</f>
        <v>US$ mn</v>
      </c>
      <c r="H781" s="482"/>
      <c r="I781" s="482">
        <f ca="1" xml:space="preserve"> SUM(K781:AX781)</f>
        <v>8399.7511044325347</v>
      </c>
      <c r="J781" s="482"/>
      <c r="K781" s="482">
        <f t="shared" ref="K781:AX781" ca="1" si="245">SUM(K776:K780)</f>
        <v>0</v>
      </c>
      <c r="L781" s="482">
        <f t="shared" ca="1" si="245"/>
        <v>41.522568</v>
      </c>
      <c r="M781" s="482">
        <f t="shared" ca="1" si="245"/>
        <v>255.59981410079999</v>
      </c>
      <c r="N781" s="482">
        <f t="shared" ca="1" si="245"/>
        <v>1047.4265771871003</v>
      </c>
      <c r="O781" s="482">
        <f t="shared" ca="1" si="245"/>
        <v>1039.1348736</v>
      </c>
      <c r="P781" s="482">
        <f t="shared" ca="1" si="245"/>
        <v>1854.8557493759999</v>
      </c>
      <c r="Q781" s="482">
        <f t="shared" ca="1" si="245"/>
        <v>991.02292895232006</v>
      </c>
      <c r="R781" s="482">
        <f t="shared" ca="1" si="245"/>
        <v>413.52684035374079</v>
      </c>
      <c r="S781" s="482">
        <f t="shared" ca="1" si="245"/>
        <v>234.33187620045314</v>
      </c>
      <c r="T781" s="482">
        <f t="shared" ca="1" si="245"/>
        <v>239.01851372446222</v>
      </c>
      <c r="U781" s="482">
        <f t="shared" ca="1" si="245"/>
        <v>243.79888399895148</v>
      </c>
      <c r="V781" s="482">
        <f t="shared" ca="1" si="245"/>
        <v>248.67486167893048</v>
      </c>
      <c r="W781" s="482">
        <f t="shared" ca="1" si="245"/>
        <v>253.64835891250908</v>
      </c>
      <c r="X781" s="482">
        <f t="shared" ca="1" si="245"/>
        <v>258.72132609075925</v>
      </c>
      <c r="Y781" s="482">
        <f t="shared" ca="1" si="245"/>
        <v>263.89575261257448</v>
      </c>
      <c r="Z781" s="482">
        <f t="shared" ca="1" si="245"/>
        <v>269.17366766482598</v>
      </c>
      <c r="AA781" s="482">
        <f t="shared" ca="1" si="245"/>
        <v>274.55714101812248</v>
      </c>
      <c r="AB781" s="482">
        <f t="shared" ca="1" si="245"/>
        <v>0</v>
      </c>
      <c r="AC781" s="482">
        <f t="shared" ca="1" si="245"/>
        <v>0</v>
      </c>
      <c r="AD781" s="482">
        <f t="shared" ca="1" si="245"/>
        <v>233.08978760444779</v>
      </c>
      <c r="AE781" s="482">
        <f t="shared" ca="1" si="245"/>
        <v>237.75158335653677</v>
      </c>
      <c r="AF781" s="482">
        <f t="shared" ca="1" si="245"/>
        <v>0</v>
      </c>
      <c r="AG781" s="482">
        <f t="shared" ca="1" si="245"/>
        <v>0</v>
      </c>
      <c r="AH781" s="482">
        <f t="shared" ca="1" si="245"/>
        <v>0</v>
      </c>
      <c r="AI781" s="482">
        <f t="shared" ca="1" si="245"/>
        <v>0</v>
      </c>
      <c r="AJ781" s="482">
        <f t="shared" ca="1" si="245"/>
        <v>0</v>
      </c>
      <c r="AK781" s="482">
        <f t="shared" ca="1" si="245"/>
        <v>0</v>
      </c>
      <c r="AL781" s="482">
        <f t="shared" ca="1" si="245"/>
        <v>0</v>
      </c>
      <c r="AM781" s="482">
        <f t="shared" ca="1" si="245"/>
        <v>0</v>
      </c>
      <c r="AN781" s="482">
        <f t="shared" ca="1" si="245"/>
        <v>0</v>
      </c>
      <c r="AO781" s="482">
        <f t="shared" ca="1" si="245"/>
        <v>0</v>
      </c>
      <c r="AP781" s="482">
        <f t="shared" ca="1" si="245"/>
        <v>0</v>
      </c>
      <c r="AQ781" s="482">
        <f t="shared" ca="1" si="245"/>
        <v>0</v>
      </c>
      <c r="AR781" s="482">
        <f t="shared" ca="1" si="245"/>
        <v>0</v>
      </c>
      <c r="AS781" s="482">
        <f t="shared" ca="1" si="245"/>
        <v>0</v>
      </c>
      <c r="AT781" s="482">
        <f t="shared" ca="1" si="245"/>
        <v>0</v>
      </c>
      <c r="AU781" s="482">
        <f t="shared" ca="1" si="245"/>
        <v>0</v>
      </c>
      <c r="AV781" s="482">
        <f t="shared" ca="1" si="245"/>
        <v>0</v>
      </c>
      <c r="AW781" s="482">
        <f t="shared" ca="1" si="245"/>
        <v>0</v>
      </c>
      <c r="AX781" s="482">
        <f t="shared" ca="1" si="245"/>
        <v>0</v>
      </c>
    </row>
    <row r="782" spans="1:50" ht="15" customHeight="1" x14ac:dyDescent="0.25">
      <c r="A782" s="86"/>
      <c r="B782" s="677"/>
      <c r="C782" s="604"/>
      <c r="D782" s="217"/>
      <c r="E782" s="55" t="str">
        <f xml:space="preserve"> E781 &amp; ": " &amp; Translate!E$811</f>
        <v>Capitalized costs: IOC: cumulative</v>
      </c>
      <c r="F782" s="64"/>
      <c r="G782" s="55" t="str">
        <f xml:space="preserve"> G781</f>
        <v>US$ mn</v>
      </c>
      <c r="H782" s="55"/>
      <c r="I782" s="55"/>
      <c r="J782" s="236"/>
      <c r="K782" s="55">
        <f t="shared" ref="K782:AX782" ca="1" si="246" xml:space="preserve"> J782 + K781</f>
        <v>0</v>
      </c>
      <c r="L782" s="55">
        <f t="shared" ca="1" si="246"/>
        <v>41.522568</v>
      </c>
      <c r="M782" s="55">
        <f t="shared" ca="1" si="246"/>
        <v>297.1223821008</v>
      </c>
      <c r="N782" s="55">
        <f t="shared" ca="1" si="246"/>
        <v>1344.5489592879003</v>
      </c>
      <c r="O782" s="55">
        <f t="shared" ca="1" si="246"/>
        <v>2383.6838328879003</v>
      </c>
      <c r="P782" s="55">
        <f t="shared" ca="1" si="246"/>
        <v>4238.5395822639002</v>
      </c>
      <c r="Q782" s="55">
        <f t="shared" ca="1" si="246"/>
        <v>5229.5625112162206</v>
      </c>
      <c r="R782" s="55">
        <f t="shared" ca="1" si="246"/>
        <v>5643.0893515699618</v>
      </c>
      <c r="S782" s="55">
        <f t="shared" ca="1" si="246"/>
        <v>5877.4212277704146</v>
      </c>
      <c r="T782" s="55">
        <f t="shared" ca="1" si="246"/>
        <v>6116.4397414948771</v>
      </c>
      <c r="U782" s="55">
        <f t="shared" ca="1" si="246"/>
        <v>6360.2386254938283</v>
      </c>
      <c r="V782" s="55">
        <f t="shared" ca="1" si="246"/>
        <v>6608.9134871727583</v>
      </c>
      <c r="W782" s="55">
        <f t="shared" ca="1" si="246"/>
        <v>6862.5618460852675</v>
      </c>
      <c r="X782" s="55">
        <f t="shared" ca="1" si="246"/>
        <v>7121.2831721760267</v>
      </c>
      <c r="Y782" s="55">
        <f t="shared" ca="1" si="246"/>
        <v>7385.1789247886009</v>
      </c>
      <c r="Z782" s="55">
        <f t="shared" ca="1" si="246"/>
        <v>7654.352592453427</v>
      </c>
      <c r="AA782" s="55">
        <f t="shared" ca="1" si="246"/>
        <v>7928.9097334715498</v>
      </c>
      <c r="AB782" s="55">
        <f t="shared" ca="1" si="246"/>
        <v>7928.9097334715498</v>
      </c>
      <c r="AC782" s="55">
        <f t="shared" ca="1" si="246"/>
        <v>7928.9097334715498</v>
      </c>
      <c r="AD782" s="55">
        <f t="shared" ca="1" si="246"/>
        <v>8161.9995210759971</v>
      </c>
      <c r="AE782" s="55">
        <f t="shared" ca="1" si="246"/>
        <v>8399.7511044325347</v>
      </c>
      <c r="AF782" s="55">
        <f t="shared" ca="1" si="246"/>
        <v>8399.7511044325347</v>
      </c>
      <c r="AG782" s="55">
        <f t="shared" ca="1" si="246"/>
        <v>8399.7511044325347</v>
      </c>
      <c r="AH782" s="55">
        <f t="shared" ca="1" si="246"/>
        <v>8399.7511044325347</v>
      </c>
      <c r="AI782" s="55">
        <f t="shared" ca="1" si="246"/>
        <v>8399.7511044325347</v>
      </c>
      <c r="AJ782" s="55">
        <f t="shared" ca="1" si="246"/>
        <v>8399.7511044325347</v>
      </c>
      <c r="AK782" s="55">
        <f t="shared" ca="1" si="246"/>
        <v>8399.7511044325347</v>
      </c>
      <c r="AL782" s="55">
        <f t="shared" ca="1" si="246"/>
        <v>8399.7511044325347</v>
      </c>
      <c r="AM782" s="55">
        <f t="shared" ca="1" si="246"/>
        <v>8399.7511044325347</v>
      </c>
      <c r="AN782" s="55">
        <f t="shared" ca="1" si="246"/>
        <v>8399.7511044325347</v>
      </c>
      <c r="AO782" s="55">
        <f t="shared" ca="1" si="246"/>
        <v>8399.7511044325347</v>
      </c>
      <c r="AP782" s="55">
        <f t="shared" ca="1" si="246"/>
        <v>8399.7511044325347</v>
      </c>
      <c r="AQ782" s="55">
        <f t="shared" ca="1" si="246"/>
        <v>8399.7511044325347</v>
      </c>
      <c r="AR782" s="55">
        <f t="shared" ca="1" si="246"/>
        <v>8399.7511044325347</v>
      </c>
      <c r="AS782" s="55">
        <f t="shared" ca="1" si="246"/>
        <v>8399.7511044325347</v>
      </c>
      <c r="AT782" s="55">
        <f t="shared" ca="1" si="246"/>
        <v>8399.7511044325347</v>
      </c>
      <c r="AU782" s="55">
        <f t="shared" ca="1" si="246"/>
        <v>8399.7511044325347</v>
      </c>
      <c r="AV782" s="55">
        <f t="shared" ca="1" si="246"/>
        <v>8399.7511044325347</v>
      </c>
      <c r="AW782" s="55">
        <f t="shared" ca="1" si="246"/>
        <v>8399.7511044325347</v>
      </c>
      <c r="AX782" s="55">
        <f t="shared" ca="1" si="246"/>
        <v>8399.7511044325347</v>
      </c>
    </row>
    <row r="783" spans="1:50" ht="15" customHeight="1" x14ac:dyDescent="0.25">
      <c r="A783" s="86"/>
      <c r="B783" s="677"/>
      <c r="C783" s="604"/>
      <c r="D783" s="217"/>
      <c r="E783" s="98"/>
      <c r="F783" s="169"/>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c r="AJ783" s="98"/>
      <c r="AK783" s="98"/>
      <c r="AL783" s="98"/>
      <c r="AM783" s="98"/>
      <c r="AN783" s="98"/>
      <c r="AO783" s="98"/>
      <c r="AP783" s="98"/>
      <c r="AQ783" s="98"/>
      <c r="AR783" s="98"/>
      <c r="AS783" s="98"/>
      <c r="AT783" s="98"/>
      <c r="AU783" s="98"/>
      <c r="AV783" s="98"/>
      <c r="AW783" s="98"/>
      <c r="AX783" s="98"/>
    </row>
    <row r="784" spans="1:50" ht="15" customHeight="1" x14ac:dyDescent="0.25">
      <c r="A784" s="86"/>
      <c r="B784" s="677"/>
      <c r="C784" s="604" t="str">
        <f>Translate!$E$503</f>
        <v>Capitalized costs excluding interest (for RRT)</v>
      </c>
      <c r="D784" s="217"/>
      <c r="E784" s="98"/>
      <c r="F784" s="169"/>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c r="AJ784" s="98"/>
      <c r="AK784" s="98"/>
      <c r="AL784" s="98"/>
      <c r="AM784" s="98"/>
      <c r="AN784" s="98"/>
      <c r="AO784" s="98"/>
      <c r="AP784" s="98"/>
      <c r="AQ784" s="98"/>
      <c r="AR784" s="98"/>
      <c r="AS784" s="98"/>
      <c r="AT784" s="98"/>
      <c r="AU784" s="98"/>
      <c r="AV784" s="98"/>
      <c r="AW784" s="98"/>
      <c r="AX784" s="98"/>
    </row>
    <row r="785" spans="1:50" ht="15" customHeight="1" x14ac:dyDescent="0.25">
      <c r="A785" s="86"/>
      <c r="B785" s="677"/>
      <c r="C785" s="604"/>
      <c r="D785" s="217" t="str">
        <f>Translate!E529</f>
        <v>add</v>
      </c>
      <c r="E785" s="55" t="str">
        <f t="shared" ref="E785:AX785" si="247" xml:space="preserve"> E$781</f>
        <v>Capitalized costs: IOC</v>
      </c>
      <c r="F785" s="64">
        <f t="shared" si="247"/>
        <v>0</v>
      </c>
      <c r="G785" s="55" t="str">
        <f t="shared" si="247"/>
        <v>US$ mn</v>
      </c>
      <c r="H785" s="55">
        <f t="shared" si="247"/>
        <v>0</v>
      </c>
      <c r="I785" s="55">
        <f t="shared" ca="1" si="247"/>
        <v>8399.7511044325347</v>
      </c>
      <c r="J785" s="55">
        <f t="shared" si="247"/>
        <v>0</v>
      </c>
      <c r="K785" s="55">
        <f t="shared" ca="1" si="247"/>
        <v>0</v>
      </c>
      <c r="L785" s="55">
        <f t="shared" ca="1" si="247"/>
        <v>41.522568</v>
      </c>
      <c r="M785" s="55">
        <f t="shared" ca="1" si="247"/>
        <v>255.59981410079999</v>
      </c>
      <c r="N785" s="55">
        <f t="shared" ca="1" si="247"/>
        <v>1047.4265771871003</v>
      </c>
      <c r="O785" s="55">
        <f t="shared" ca="1" si="247"/>
        <v>1039.1348736</v>
      </c>
      <c r="P785" s="55">
        <f t="shared" ca="1" si="247"/>
        <v>1854.8557493759999</v>
      </c>
      <c r="Q785" s="55">
        <f t="shared" ca="1" si="247"/>
        <v>991.02292895232006</v>
      </c>
      <c r="R785" s="55">
        <f t="shared" ca="1" si="247"/>
        <v>413.52684035374079</v>
      </c>
      <c r="S785" s="55">
        <f t="shared" ca="1" si="247"/>
        <v>234.33187620045314</v>
      </c>
      <c r="T785" s="55">
        <f t="shared" ca="1" si="247"/>
        <v>239.01851372446222</v>
      </c>
      <c r="U785" s="55">
        <f t="shared" ca="1" si="247"/>
        <v>243.79888399895148</v>
      </c>
      <c r="V785" s="55">
        <f t="shared" ca="1" si="247"/>
        <v>248.67486167893048</v>
      </c>
      <c r="W785" s="55">
        <f t="shared" ca="1" si="247"/>
        <v>253.64835891250908</v>
      </c>
      <c r="X785" s="55">
        <f t="shared" ca="1" si="247"/>
        <v>258.72132609075925</v>
      </c>
      <c r="Y785" s="55">
        <f t="shared" ca="1" si="247"/>
        <v>263.89575261257448</v>
      </c>
      <c r="Z785" s="55">
        <f t="shared" ca="1" si="247"/>
        <v>269.17366766482598</v>
      </c>
      <c r="AA785" s="55">
        <f t="shared" ca="1" si="247"/>
        <v>274.55714101812248</v>
      </c>
      <c r="AB785" s="55">
        <f t="shared" ca="1" si="247"/>
        <v>0</v>
      </c>
      <c r="AC785" s="55">
        <f t="shared" ca="1" si="247"/>
        <v>0</v>
      </c>
      <c r="AD785" s="55">
        <f t="shared" ca="1" si="247"/>
        <v>233.08978760444779</v>
      </c>
      <c r="AE785" s="55">
        <f t="shared" ca="1" si="247"/>
        <v>237.75158335653677</v>
      </c>
      <c r="AF785" s="55">
        <f t="shared" ca="1" si="247"/>
        <v>0</v>
      </c>
      <c r="AG785" s="55">
        <f t="shared" ca="1" si="247"/>
        <v>0</v>
      </c>
      <c r="AH785" s="55">
        <f t="shared" ca="1" si="247"/>
        <v>0</v>
      </c>
      <c r="AI785" s="55">
        <f t="shared" ca="1" si="247"/>
        <v>0</v>
      </c>
      <c r="AJ785" s="55">
        <f t="shared" ca="1" si="247"/>
        <v>0</v>
      </c>
      <c r="AK785" s="55">
        <f t="shared" ca="1" si="247"/>
        <v>0</v>
      </c>
      <c r="AL785" s="55">
        <f t="shared" ca="1" si="247"/>
        <v>0</v>
      </c>
      <c r="AM785" s="55">
        <f t="shared" ca="1" si="247"/>
        <v>0</v>
      </c>
      <c r="AN785" s="55">
        <f t="shared" ca="1" si="247"/>
        <v>0</v>
      </c>
      <c r="AO785" s="55">
        <f t="shared" ca="1" si="247"/>
        <v>0</v>
      </c>
      <c r="AP785" s="55">
        <f t="shared" ca="1" si="247"/>
        <v>0</v>
      </c>
      <c r="AQ785" s="55">
        <f t="shared" ca="1" si="247"/>
        <v>0</v>
      </c>
      <c r="AR785" s="55">
        <f t="shared" ca="1" si="247"/>
        <v>0</v>
      </c>
      <c r="AS785" s="55">
        <f t="shared" ca="1" si="247"/>
        <v>0</v>
      </c>
      <c r="AT785" s="55">
        <f t="shared" ca="1" si="247"/>
        <v>0</v>
      </c>
      <c r="AU785" s="55">
        <f t="shared" ca="1" si="247"/>
        <v>0</v>
      </c>
      <c r="AV785" s="55">
        <f t="shared" ca="1" si="247"/>
        <v>0</v>
      </c>
      <c r="AW785" s="55">
        <f t="shared" ca="1" si="247"/>
        <v>0</v>
      </c>
      <c r="AX785" s="55">
        <f t="shared" ca="1" si="247"/>
        <v>0</v>
      </c>
    </row>
    <row r="786" spans="1:50" ht="15" customHeight="1" x14ac:dyDescent="0.25">
      <c r="A786" s="86"/>
      <c r="B786" s="677"/>
      <c r="C786" s="604"/>
      <c r="D786" s="217" t="str">
        <f>Translate!E530</f>
        <v>less</v>
      </c>
      <c r="E786" s="55" t="str">
        <f t="shared" ref="E786:AX786" si="248" xml:space="preserve"> E$398</f>
        <v>Interest capitalized into development costs: IOC</v>
      </c>
      <c r="F786" s="64">
        <f t="shared" si="248"/>
        <v>0</v>
      </c>
      <c r="G786" s="55" t="str">
        <f t="shared" si="248"/>
        <v>US$ mn</v>
      </c>
      <c r="H786" s="55">
        <f t="shared" si="248"/>
        <v>0</v>
      </c>
      <c r="I786" s="55">
        <f t="shared" ca="1" si="248"/>
        <v>35.293279287900461</v>
      </c>
      <c r="J786" s="55">
        <f t="shared" si="248"/>
        <v>0</v>
      </c>
      <c r="K786" s="55">
        <f t="shared" ca="1" si="248"/>
        <v>0</v>
      </c>
      <c r="L786" s="55">
        <f t="shared" ca="1" si="248"/>
        <v>0.72256799999999966</v>
      </c>
      <c r="M786" s="55">
        <f t="shared" ca="1" si="248"/>
        <v>5.9038141007999974</v>
      </c>
      <c r="N786" s="55">
        <f t="shared" ca="1" si="248"/>
        <v>28.666897187100467</v>
      </c>
      <c r="O786" s="55">
        <f t="shared" ca="1" si="248"/>
        <v>0</v>
      </c>
      <c r="P786" s="55">
        <f t="shared" ca="1" si="248"/>
        <v>0</v>
      </c>
      <c r="Q786" s="55">
        <f t="shared" ca="1" si="248"/>
        <v>0</v>
      </c>
      <c r="R786" s="55">
        <f t="shared" ca="1" si="248"/>
        <v>0</v>
      </c>
      <c r="S786" s="55">
        <f t="shared" ca="1" si="248"/>
        <v>0</v>
      </c>
      <c r="T786" s="55">
        <f t="shared" ca="1" si="248"/>
        <v>0</v>
      </c>
      <c r="U786" s="55">
        <f t="shared" ca="1" si="248"/>
        <v>0</v>
      </c>
      <c r="V786" s="55">
        <f t="shared" ca="1" si="248"/>
        <v>0</v>
      </c>
      <c r="W786" s="55">
        <f t="shared" ca="1" si="248"/>
        <v>0</v>
      </c>
      <c r="X786" s="55">
        <f t="shared" ca="1" si="248"/>
        <v>0</v>
      </c>
      <c r="Y786" s="55">
        <f t="shared" ca="1" si="248"/>
        <v>0</v>
      </c>
      <c r="Z786" s="55">
        <f t="shared" ca="1" si="248"/>
        <v>0</v>
      </c>
      <c r="AA786" s="55">
        <f t="shared" ca="1" si="248"/>
        <v>0</v>
      </c>
      <c r="AB786" s="55">
        <f t="shared" ca="1" si="248"/>
        <v>0</v>
      </c>
      <c r="AC786" s="55">
        <f t="shared" ca="1" si="248"/>
        <v>0</v>
      </c>
      <c r="AD786" s="55">
        <f t="shared" ca="1" si="248"/>
        <v>0</v>
      </c>
      <c r="AE786" s="55">
        <f t="shared" ca="1" si="248"/>
        <v>0</v>
      </c>
      <c r="AF786" s="55">
        <f t="shared" ca="1" si="248"/>
        <v>0</v>
      </c>
      <c r="AG786" s="55">
        <f t="shared" ca="1" si="248"/>
        <v>0</v>
      </c>
      <c r="AH786" s="55">
        <f t="shared" ca="1" si="248"/>
        <v>0</v>
      </c>
      <c r="AI786" s="55">
        <f t="shared" ca="1" si="248"/>
        <v>0</v>
      </c>
      <c r="AJ786" s="55">
        <f t="shared" ca="1" si="248"/>
        <v>0</v>
      </c>
      <c r="AK786" s="55">
        <f t="shared" ca="1" si="248"/>
        <v>0</v>
      </c>
      <c r="AL786" s="55">
        <f t="shared" ca="1" si="248"/>
        <v>0</v>
      </c>
      <c r="AM786" s="55">
        <f t="shared" ca="1" si="248"/>
        <v>0</v>
      </c>
      <c r="AN786" s="55">
        <f t="shared" ca="1" si="248"/>
        <v>0</v>
      </c>
      <c r="AO786" s="55">
        <f t="shared" ca="1" si="248"/>
        <v>0</v>
      </c>
      <c r="AP786" s="55">
        <f t="shared" ca="1" si="248"/>
        <v>0</v>
      </c>
      <c r="AQ786" s="55">
        <f t="shared" ca="1" si="248"/>
        <v>0</v>
      </c>
      <c r="AR786" s="55">
        <f t="shared" ca="1" si="248"/>
        <v>0</v>
      </c>
      <c r="AS786" s="55">
        <f t="shared" ca="1" si="248"/>
        <v>0</v>
      </c>
      <c r="AT786" s="55">
        <f t="shared" ca="1" si="248"/>
        <v>0</v>
      </c>
      <c r="AU786" s="55">
        <f t="shared" ca="1" si="248"/>
        <v>0</v>
      </c>
      <c r="AV786" s="55">
        <f t="shared" ca="1" si="248"/>
        <v>0</v>
      </c>
      <c r="AW786" s="55">
        <f t="shared" ca="1" si="248"/>
        <v>0</v>
      </c>
      <c r="AX786" s="55">
        <f t="shared" ca="1" si="248"/>
        <v>0</v>
      </c>
    </row>
    <row r="787" spans="1:50" s="485" customFormat="1" ht="15" customHeight="1" x14ac:dyDescent="0.25">
      <c r="A787" s="502"/>
      <c r="B787" s="684"/>
      <c r="C787" s="645"/>
      <c r="D787" s="482"/>
      <c r="E787" s="482" t="str">
        <f xml:space="preserve"> Translate!E$329</f>
        <v>Capitalized costs excluding interest</v>
      </c>
      <c r="F787" s="504"/>
      <c r="G787" s="482" t="str">
        <f xml:space="preserve"> Translate!E$603</f>
        <v>US$ mn</v>
      </c>
      <c r="H787" s="482"/>
      <c r="I787" s="482">
        <f ca="1" xml:space="preserve"> SUM(K787:AX787)</f>
        <v>8364.4578251446346</v>
      </c>
      <c r="J787" s="482"/>
      <c r="K787" s="482">
        <f t="shared" ref="K787:AX787" ca="1" si="249" xml:space="preserve"> K785 - K786</f>
        <v>0</v>
      </c>
      <c r="L787" s="482">
        <f t="shared" ca="1" si="249"/>
        <v>40.799999999999997</v>
      </c>
      <c r="M787" s="482">
        <f t="shared" ca="1" si="249"/>
        <v>249.696</v>
      </c>
      <c r="N787" s="482">
        <f t="shared" ca="1" si="249"/>
        <v>1018.7596799999998</v>
      </c>
      <c r="O787" s="482">
        <f t="shared" ca="1" si="249"/>
        <v>1039.1348736</v>
      </c>
      <c r="P787" s="482">
        <f t="shared" ca="1" si="249"/>
        <v>1854.8557493759999</v>
      </c>
      <c r="Q787" s="482">
        <f t="shared" ca="1" si="249"/>
        <v>991.02292895232006</v>
      </c>
      <c r="R787" s="482">
        <f t="shared" ca="1" si="249"/>
        <v>413.52684035374079</v>
      </c>
      <c r="S787" s="482">
        <f t="shared" ca="1" si="249"/>
        <v>234.33187620045314</v>
      </c>
      <c r="T787" s="482">
        <f t="shared" ca="1" si="249"/>
        <v>239.01851372446222</v>
      </c>
      <c r="U787" s="482">
        <f t="shared" ca="1" si="249"/>
        <v>243.79888399895148</v>
      </c>
      <c r="V787" s="482">
        <f t="shared" ca="1" si="249"/>
        <v>248.67486167893048</v>
      </c>
      <c r="W787" s="482">
        <f t="shared" ca="1" si="249"/>
        <v>253.64835891250908</v>
      </c>
      <c r="X787" s="482">
        <f t="shared" ca="1" si="249"/>
        <v>258.72132609075925</v>
      </c>
      <c r="Y787" s="482">
        <f t="shared" ca="1" si="249"/>
        <v>263.89575261257448</v>
      </c>
      <c r="Z787" s="482">
        <f t="shared" ca="1" si="249"/>
        <v>269.17366766482598</v>
      </c>
      <c r="AA787" s="482">
        <f t="shared" ca="1" si="249"/>
        <v>274.55714101812248</v>
      </c>
      <c r="AB787" s="482">
        <f t="shared" ca="1" si="249"/>
        <v>0</v>
      </c>
      <c r="AC787" s="482">
        <f t="shared" ca="1" si="249"/>
        <v>0</v>
      </c>
      <c r="AD787" s="482">
        <f t="shared" ca="1" si="249"/>
        <v>233.08978760444779</v>
      </c>
      <c r="AE787" s="482">
        <f t="shared" ca="1" si="249"/>
        <v>237.75158335653677</v>
      </c>
      <c r="AF787" s="482">
        <f t="shared" ca="1" si="249"/>
        <v>0</v>
      </c>
      <c r="AG787" s="482">
        <f t="shared" ca="1" si="249"/>
        <v>0</v>
      </c>
      <c r="AH787" s="482">
        <f t="shared" ca="1" si="249"/>
        <v>0</v>
      </c>
      <c r="AI787" s="482">
        <f t="shared" ca="1" si="249"/>
        <v>0</v>
      </c>
      <c r="AJ787" s="482">
        <f t="shared" ca="1" si="249"/>
        <v>0</v>
      </c>
      <c r="AK787" s="482">
        <f t="shared" ca="1" si="249"/>
        <v>0</v>
      </c>
      <c r="AL787" s="482">
        <f t="shared" ca="1" si="249"/>
        <v>0</v>
      </c>
      <c r="AM787" s="482">
        <f t="shared" ca="1" si="249"/>
        <v>0</v>
      </c>
      <c r="AN787" s="482">
        <f t="shared" ca="1" si="249"/>
        <v>0</v>
      </c>
      <c r="AO787" s="482">
        <f t="shared" ca="1" si="249"/>
        <v>0</v>
      </c>
      <c r="AP787" s="482">
        <f t="shared" ca="1" si="249"/>
        <v>0</v>
      </c>
      <c r="AQ787" s="482">
        <f t="shared" ca="1" si="249"/>
        <v>0</v>
      </c>
      <c r="AR787" s="482">
        <f t="shared" ca="1" si="249"/>
        <v>0</v>
      </c>
      <c r="AS787" s="482">
        <f t="shared" ca="1" si="249"/>
        <v>0</v>
      </c>
      <c r="AT787" s="482">
        <f t="shared" ca="1" si="249"/>
        <v>0</v>
      </c>
      <c r="AU787" s="482">
        <f t="shared" ca="1" si="249"/>
        <v>0</v>
      </c>
      <c r="AV787" s="482">
        <f t="shared" ca="1" si="249"/>
        <v>0</v>
      </c>
      <c r="AW787" s="482">
        <f t="shared" ca="1" si="249"/>
        <v>0</v>
      </c>
      <c r="AX787" s="482">
        <f t="shared" ca="1" si="249"/>
        <v>0</v>
      </c>
    </row>
    <row r="788" spans="1:50" ht="15" customHeight="1" x14ac:dyDescent="0.25">
      <c r="A788" s="86"/>
      <c r="B788" s="677"/>
      <c r="C788" s="604"/>
      <c r="D788" s="217"/>
      <c r="E788" s="98"/>
      <c r="F788" s="169"/>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c r="AJ788" s="98"/>
      <c r="AK788" s="98"/>
      <c r="AL788" s="98"/>
      <c r="AM788" s="98"/>
      <c r="AN788" s="98"/>
      <c r="AO788" s="98"/>
      <c r="AP788" s="98"/>
      <c r="AQ788" s="98"/>
      <c r="AR788" s="98"/>
      <c r="AS788" s="98"/>
      <c r="AT788" s="98"/>
      <c r="AU788" s="98"/>
      <c r="AV788" s="98"/>
      <c r="AW788" s="98"/>
      <c r="AX788" s="98"/>
    </row>
    <row r="789" spans="1:50" ht="15" customHeight="1" x14ac:dyDescent="0.25">
      <c r="A789" s="86"/>
      <c r="B789" s="677" t="str">
        <f>Translate!$E$448</f>
        <v>Costs into depreciation calculation</v>
      </c>
      <c r="C789" s="604"/>
      <c r="D789" s="217"/>
      <c r="E789" s="55"/>
      <c r="F789" s="64"/>
      <c r="G789" s="55"/>
      <c r="H789" s="55"/>
      <c r="I789" s="55"/>
      <c r="J789" s="55"/>
      <c r="K789" s="55"/>
      <c r="L789" s="55"/>
      <c r="M789" s="55"/>
      <c r="N789" s="55"/>
      <c r="O789" s="55"/>
      <c r="P789" s="55"/>
      <c r="Q789" s="55"/>
      <c r="R789" s="55"/>
      <c r="S789" s="55"/>
      <c r="T789" s="55"/>
      <c r="U789" s="55"/>
      <c r="V789" s="55"/>
      <c r="W789" s="55"/>
      <c r="X789" s="55"/>
      <c r="Y789" s="55"/>
      <c r="Z789" s="55"/>
      <c r="AA789" s="55"/>
      <c r="AB789" s="55"/>
      <c r="AC789" s="55"/>
      <c r="AD789" s="55"/>
      <c r="AE789" s="55"/>
      <c r="AF789" s="55"/>
      <c r="AG789" s="55"/>
      <c r="AH789" s="55"/>
      <c r="AI789" s="55"/>
      <c r="AJ789" s="55"/>
      <c r="AK789" s="55"/>
      <c r="AL789" s="55"/>
      <c r="AM789" s="55"/>
      <c r="AN789" s="55"/>
      <c r="AO789" s="55"/>
      <c r="AP789" s="55"/>
      <c r="AQ789" s="55"/>
      <c r="AR789" s="55"/>
      <c r="AS789" s="55"/>
      <c r="AT789" s="55"/>
      <c r="AU789" s="55"/>
      <c r="AV789" s="55"/>
      <c r="AW789" s="55"/>
      <c r="AX789" s="55"/>
    </row>
    <row r="790" spans="1:50" s="40" customFormat="1" ht="15" customHeight="1" x14ac:dyDescent="0.25">
      <c r="A790" s="139"/>
      <c r="B790" s="677"/>
      <c r="C790" s="613"/>
      <c r="D790" s="351"/>
      <c r="E790" s="140" t="str">
        <f xml:space="preserve"> ProjectCashflows!E$177</f>
        <v>Project activity (excl. decommissioning)</v>
      </c>
      <c r="F790" s="540">
        <f xml:space="preserve"> ProjectCashflows!F$177</f>
        <v>0</v>
      </c>
      <c r="G790" s="140" t="str">
        <f xml:space="preserve"> ProjectCashflows!G$177</f>
        <v>Flag</v>
      </c>
      <c r="H790" s="140">
        <f xml:space="preserve"> ProjectCashflows!H$177</f>
        <v>0</v>
      </c>
      <c r="I790" s="140">
        <f ca="1" xml:space="preserve"> ProjectCashflows!I$177</f>
        <v>31</v>
      </c>
      <c r="J790" s="140">
        <f xml:space="preserve"> ProjectCashflows!J$177</f>
        <v>0</v>
      </c>
      <c r="K790" s="140">
        <f ca="1" xml:space="preserve"> ProjectCashflows!K$177</f>
        <v>1</v>
      </c>
      <c r="L790" s="140">
        <f ca="1" xml:space="preserve"> ProjectCashflows!L$177</f>
        <v>1</v>
      </c>
      <c r="M790" s="140">
        <f ca="1" xml:space="preserve"> ProjectCashflows!M$177</f>
        <v>1</v>
      </c>
      <c r="N790" s="140">
        <f ca="1" xml:space="preserve"> ProjectCashflows!N$177</f>
        <v>1</v>
      </c>
      <c r="O790" s="140">
        <f ca="1" xml:space="preserve"> ProjectCashflows!O$177</f>
        <v>1</v>
      </c>
      <c r="P790" s="140">
        <f ca="1" xml:space="preserve"> ProjectCashflows!P$177</f>
        <v>1</v>
      </c>
      <c r="Q790" s="140">
        <f ca="1" xml:space="preserve"> ProjectCashflows!Q$177</f>
        <v>1</v>
      </c>
      <c r="R790" s="140">
        <f ca="1" xml:space="preserve"> ProjectCashflows!R$177</f>
        <v>1</v>
      </c>
      <c r="S790" s="140">
        <f ca="1" xml:space="preserve"> ProjectCashflows!S$177</f>
        <v>1</v>
      </c>
      <c r="T790" s="140">
        <f ca="1" xml:space="preserve"> ProjectCashflows!T$177</f>
        <v>1</v>
      </c>
      <c r="U790" s="140">
        <f ca="1" xml:space="preserve"> ProjectCashflows!U$177</f>
        <v>1</v>
      </c>
      <c r="V790" s="140">
        <f ca="1" xml:space="preserve"> ProjectCashflows!V$177</f>
        <v>1</v>
      </c>
      <c r="W790" s="140">
        <f ca="1" xml:space="preserve"> ProjectCashflows!W$177</f>
        <v>1</v>
      </c>
      <c r="X790" s="140">
        <f ca="1" xml:space="preserve"> ProjectCashflows!X$177</f>
        <v>1</v>
      </c>
      <c r="Y790" s="140">
        <f ca="1" xml:space="preserve"> ProjectCashflows!Y$177</f>
        <v>1</v>
      </c>
      <c r="Z790" s="140">
        <f ca="1" xml:space="preserve"> ProjectCashflows!Z$177</f>
        <v>1</v>
      </c>
      <c r="AA790" s="140">
        <f ca="1" xml:space="preserve"> ProjectCashflows!AA$177</f>
        <v>1</v>
      </c>
      <c r="AB790" s="140">
        <f ca="1" xml:space="preserve"> ProjectCashflows!AB$177</f>
        <v>1</v>
      </c>
      <c r="AC790" s="140">
        <f ca="1" xml:space="preserve"> ProjectCashflows!AC$177</f>
        <v>1</v>
      </c>
      <c r="AD790" s="140">
        <f ca="1" xml:space="preserve"> ProjectCashflows!AD$177</f>
        <v>1</v>
      </c>
      <c r="AE790" s="140">
        <f ca="1" xml:space="preserve"> ProjectCashflows!AE$177</f>
        <v>1</v>
      </c>
      <c r="AF790" s="140">
        <f ca="1" xml:space="preserve"> ProjectCashflows!AF$177</f>
        <v>1</v>
      </c>
      <c r="AG790" s="140">
        <f ca="1" xml:space="preserve"> ProjectCashflows!AG$177</f>
        <v>1</v>
      </c>
      <c r="AH790" s="140">
        <f ca="1" xml:space="preserve"> ProjectCashflows!AH$177</f>
        <v>1</v>
      </c>
      <c r="AI790" s="140">
        <f ca="1" xml:space="preserve"> ProjectCashflows!AI$177</f>
        <v>1</v>
      </c>
      <c r="AJ790" s="140">
        <f ca="1" xml:space="preserve"> ProjectCashflows!AJ$177</f>
        <v>1</v>
      </c>
      <c r="AK790" s="140">
        <f ca="1" xml:space="preserve"> ProjectCashflows!AK$177</f>
        <v>1</v>
      </c>
      <c r="AL790" s="140">
        <f ca="1" xml:space="preserve"> ProjectCashflows!AL$177</f>
        <v>1</v>
      </c>
      <c r="AM790" s="140">
        <f ca="1" xml:space="preserve"> ProjectCashflows!AM$177</f>
        <v>1</v>
      </c>
      <c r="AN790" s="140">
        <f ca="1" xml:space="preserve"> ProjectCashflows!AN$177</f>
        <v>1</v>
      </c>
      <c r="AO790" s="140">
        <f ca="1" xml:space="preserve"> ProjectCashflows!AO$177</f>
        <v>1</v>
      </c>
      <c r="AP790" s="140">
        <f ca="1" xml:space="preserve"> ProjectCashflows!AP$177</f>
        <v>0</v>
      </c>
      <c r="AQ790" s="140">
        <f ca="1" xml:space="preserve"> ProjectCashflows!AQ$177</f>
        <v>0</v>
      </c>
      <c r="AR790" s="140">
        <f ca="1" xml:space="preserve"> ProjectCashflows!AR$177</f>
        <v>0</v>
      </c>
      <c r="AS790" s="140">
        <f ca="1" xml:space="preserve"> ProjectCashflows!AS$177</f>
        <v>0</v>
      </c>
      <c r="AT790" s="140">
        <f ca="1" xml:space="preserve"> ProjectCashflows!AT$177</f>
        <v>0</v>
      </c>
      <c r="AU790" s="140">
        <f ca="1" xml:space="preserve"> ProjectCashflows!AU$177</f>
        <v>0</v>
      </c>
      <c r="AV790" s="140">
        <f ca="1" xml:space="preserve"> ProjectCashflows!AV$177</f>
        <v>0</v>
      </c>
      <c r="AW790" s="140">
        <f ca="1" xml:space="preserve"> ProjectCashflows!AW$177</f>
        <v>0</v>
      </c>
      <c r="AX790" s="140">
        <f ca="1" xml:space="preserve"> ProjectCashflows!AX$177</f>
        <v>0</v>
      </c>
    </row>
    <row r="791" spans="1:50" s="40" customFormat="1" ht="15" customHeight="1" x14ac:dyDescent="0.25">
      <c r="A791" s="139"/>
      <c r="B791" s="677"/>
      <c r="C791" s="613"/>
      <c r="D791" s="351"/>
      <c r="E791" s="140" t="str">
        <f xml:space="preserve"> ProjectCashflows!E$180</f>
        <v>Production years, after ELT</v>
      </c>
      <c r="F791" s="540">
        <f xml:space="preserve"> ProjectCashflows!F$180</f>
        <v>0</v>
      </c>
      <c r="G791" s="140" t="str">
        <f xml:space="preserve"> ProjectCashflows!G$180</f>
        <v>Year</v>
      </c>
      <c r="H791" s="140">
        <f xml:space="preserve"> ProjectCashflows!H$180</f>
        <v>0</v>
      </c>
      <c r="I791" s="140">
        <f xml:space="preserve"> ProjectCashflows!I$180</f>
        <v>0</v>
      </c>
      <c r="J791" s="140">
        <f xml:space="preserve"> ProjectCashflows!J$180</f>
        <v>0</v>
      </c>
      <c r="K791" s="140">
        <f ca="1" xml:space="preserve"> ProjectCashflows!K$180</f>
        <v>0</v>
      </c>
      <c r="L791" s="140">
        <f ca="1" xml:space="preserve"> ProjectCashflows!L$180</f>
        <v>0</v>
      </c>
      <c r="M791" s="140">
        <f ca="1" xml:space="preserve"> ProjectCashflows!M$180</f>
        <v>0</v>
      </c>
      <c r="N791" s="140">
        <f ca="1" xml:space="preserve"> ProjectCashflows!N$180</f>
        <v>0</v>
      </c>
      <c r="O791" s="140">
        <f ca="1" xml:space="preserve"> ProjectCashflows!O$180</f>
        <v>1</v>
      </c>
      <c r="P791" s="140">
        <f ca="1" xml:space="preserve"> ProjectCashflows!P$180</f>
        <v>1</v>
      </c>
      <c r="Q791" s="140">
        <f ca="1" xml:space="preserve"> ProjectCashflows!Q$180</f>
        <v>1</v>
      </c>
      <c r="R791" s="140">
        <f ca="1" xml:space="preserve"> ProjectCashflows!R$180</f>
        <v>1</v>
      </c>
      <c r="S791" s="140">
        <f ca="1" xml:space="preserve"> ProjectCashflows!S$180</f>
        <v>1</v>
      </c>
      <c r="T791" s="140">
        <f ca="1" xml:space="preserve"> ProjectCashflows!T$180</f>
        <v>1</v>
      </c>
      <c r="U791" s="140">
        <f ca="1" xml:space="preserve"> ProjectCashflows!U$180</f>
        <v>1</v>
      </c>
      <c r="V791" s="140">
        <f ca="1" xml:space="preserve"> ProjectCashflows!V$180</f>
        <v>1</v>
      </c>
      <c r="W791" s="140">
        <f ca="1" xml:space="preserve"> ProjectCashflows!W$180</f>
        <v>1</v>
      </c>
      <c r="X791" s="140">
        <f ca="1" xml:space="preserve"> ProjectCashflows!X$180</f>
        <v>1</v>
      </c>
      <c r="Y791" s="140">
        <f ca="1" xml:space="preserve"> ProjectCashflows!Y$180</f>
        <v>1</v>
      </c>
      <c r="Z791" s="140">
        <f ca="1" xml:space="preserve"> ProjectCashflows!Z$180</f>
        <v>1</v>
      </c>
      <c r="AA791" s="140">
        <f ca="1" xml:space="preserve"> ProjectCashflows!AA$180</f>
        <v>1</v>
      </c>
      <c r="AB791" s="140">
        <f ca="1" xml:space="preserve"> ProjectCashflows!AB$180</f>
        <v>1</v>
      </c>
      <c r="AC791" s="140">
        <f ca="1" xml:space="preserve"> ProjectCashflows!AC$180</f>
        <v>1</v>
      </c>
      <c r="AD791" s="140">
        <f ca="1" xml:space="preserve"> ProjectCashflows!AD$180</f>
        <v>1</v>
      </c>
      <c r="AE791" s="140">
        <f ca="1" xml:space="preserve"> ProjectCashflows!AE$180</f>
        <v>1</v>
      </c>
      <c r="AF791" s="140">
        <f ca="1" xml:space="preserve"> ProjectCashflows!AF$180</f>
        <v>1</v>
      </c>
      <c r="AG791" s="140">
        <f ca="1" xml:space="preserve"> ProjectCashflows!AG$180</f>
        <v>1</v>
      </c>
      <c r="AH791" s="140">
        <f ca="1" xml:space="preserve"> ProjectCashflows!AH$180</f>
        <v>1</v>
      </c>
      <c r="AI791" s="140">
        <f ca="1" xml:space="preserve"> ProjectCashflows!AI$180</f>
        <v>1</v>
      </c>
      <c r="AJ791" s="140">
        <f ca="1" xml:space="preserve"> ProjectCashflows!AJ$180</f>
        <v>1</v>
      </c>
      <c r="AK791" s="140">
        <f ca="1" xml:space="preserve"> ProjectCashflows!AK$180</f>
        <v>1</v>
      </c>
      <c r="AL791" s="140">
        <f ca="1" xml:space="preserve"> ProjectCashflows!AL$180</f>
        <v>1</v>
      </c>
      <c r="AM791" s="140">
        <f ca="1" xml:space="preserve"> ProjectCashflows!AM$180</f>
        <v>1</v>
      </c>
      <c r="AN791" s="140">
        <f ca="1" xml:space="preserve"> ProjectCashflows!AN$180</f>
        <v>1</v>
      </c>
      <c r="AO791" s="140">
        <f ca="1" xml:space="preserve"> ProjectCashflows!AO$180</f>
        <v>1</v>
      </c>
      <c r="AP791" s="140">
        <f ca="1" xml:space="preserve"> ProjectCashflows!AP$180</f>
        <v>0</v>
      </c>
      <c r="AQ791" s="140">
        <f ca="1" xml:space="preserve"> ProjectCashflows!AQ$180</f>
        <v>0</v>
      </c>
      <c r="AR791" s="140">
        <f ca="1" xml:space="preserve"> ProjectCashflows!AR$180</f>
        <v>0</v>
      </c>
      <c r="AS791" s="140">
        <f ca="1" xml:space="preserve"> ProjectCashflows!AS$180</f>
        <v>0</v>
      </c>
      <c r="AT791" s="140">
        <f ca="1" xml:space="preserve"> ProjectCashflows!AT$180</f>
        <v>0</v>
      </c>
      <c r="AU791" s="140">
        <f ca="1" xml:space="preserve"> ProjectCashflows!AU$180</f>
        <v>0</v>
      </c>
      <c r="AV791" s="140">
        <f ca="1" xml:space="preserve"> ProjectCashflows!AV$180</f>
        <v>0</v>
      </c>
      <c r="AW791" s="140">
        <f ca="1" xml:space="preserve"> ProjectCashflows!AW$180</f>
        <v>0</v>
      </c>
      <c r="AX791" s="140">
        <f ca="1" xml:space="preserve"> ProjectCashflows!AX$180</f>
        <v>0</v>
      </c>
    </row>
    <row r="792" spans="1:50" ht="15" customHeight="1" x14ac:dyDescent="0.25">
      <c r="A792" s="86"/>
      <c r="B792" s="677"/>
      <c r="C792" s="604"/>
      <c r="D792" s="217"/>
      <c r="E792" s="55" t="str">
        <f xml:space="preserve"> Translate!E$330</f>
        <v>Capitalized costs accumulated till production starts</v>
      </c>
      <c r="F792" s="64"/>
      <c r="G792" s="55" t="str">
        <f xml:space="preserve"> Translate!E$603</f>
        <v>US$ mn</v>
      </c>
      <c r="H792" s="55"/>
      <c r="I792" s="55"/>
      <c r="J792" s="55"/>
      <c r="K792" s="55">
        <f t="shared" ref="K792:AX792" ca="1" si="250">IF( K791 = 0, 0, IF( K791 = 1, K782, K781) )</f>
        <v>0</v>
      </c>
      <c r="L792" s="55">
        <f t="shared" ca="1" si="250"/>
        <v>0</v>
      </c>
      <c r="M792" s="55">
        <f t="shared" ca="1" si="250"/>
        <v>0</v>
      </c>
      <c r="N792" s="55">
        <f t="shared" ca="1" si="250"/>
        <v>0</v>
      </c>
      <c r="O792" s="55">
        <f t="shared" ca="1" si="250"/>
        <v>2383.6838328879003</v>
      </c>
      <c r="P792" s="55">
        <f t="shared" ca="1" si="250"/>
        <v>4238.5395822639002</v>
      </c>
      <c r="Q792" s="55">
        <f t="shared" ca="1" si="250"/>
        <v>5229.5625112162206</v>
      </c>
      <c r="R792" s="55">
        <f t="shared" ca="1" si="250"/>
        <v>5643.0893515699618</v>
      </c>
      <c r="S792" s="55">
        <f t="shared" ca="1" si="250"/>
        <v>5877.4212277704146</v>
      </c>
      <c r="T792" s="55">
        <f t="shared" ca="1" si="250"/>
        <v>6116.4397414948771</v>
      </c>
      <c r="U792" s="55">
        <f t="shared" ca="1" si="250"/>
        <v>6360.2386254938283</v>
      </c>
      <c r="V792" s="55">
        <f t="shared" ca="1" si="250"/>
        <v>6608.9134871727583</v>
      </c>
      <c r="W792" s="55">
        <f t="shared" ca="1" si="250"/>
        <v>6862.5618460852675</v>
      </c>
      <c r="X792" s="55">
        <f t="shared" ca="1" si="250"/>
        <v>7121.2831721760267</v>
      </c>
      <c r="Y792" s="55">
        <f t="shared" ca="1" si="250"/>
        <v>7385.1789247886009</v>
      </c>
      <c r="Z792" s="55">
        <f t="shared" ca="1" si="250"/>
        <v>7654.352592453427</v>
      </c>
      <c r="AA792" s="55">
        <f t="shared" ca="1" si="250"/>
        <v>7928.9097334715498</v>
      </c>
      <c r="AB792" s="55">
        <f t="shared" ca="1" si="250"/>
        <v>7928.9097334715498</v>
      </c>
      <c r="AC792" s="55">
        <f t="shared" ca="1" si="250"/>
        <v>7928.9097334715498</v>
      </c>
      <c r="AD792" s="55">
        <f t="shared" ca="1" si="250"/>
        <v>8161.9995210759971</v>
      </c>
      <c r="AE792" s="55">
        <f t="shared" ca="1" si="250"/>
        <v>8399.7511044325347</v>
      </c>
      <c r="AF792" s="55">
        <f t="shared" ca="1" si="250"/>
        <v>8399.7511044325347</v>
      </c>
      <c r="AG792" s="55">
        <f t="shared" ca="1" si="250"/>
        <v>8399.7511044325347</v>
      </c>
      <c r="AH792" s="55">
        <f t="shared" ca="1" si="250"/>
        <v>8399.7511044325347</v>
      </c>
      <c r="AI792" s="55">
        <f t="shared" ca="1" si="250"/>
        <v>8399.7511044325347</v>
      </c>
      <c r="AJ792" s="55">
        <f t="shared" ca="1" si="250"/>
        <v>8399.7511044325347</v>
      </c>
      <c r="AK792" s="55">
        <f t="shared" ca="1" si="250"/>
        <v>8399.7511044325347</v>
      </c>
      <c r="AL792" s="55">
        <f t="shared" ca="1" si="250"/>
        <v>8399.7511044325347</v>
      </c>
      <c r="AM792" s="55">
        <f t="shared" ca="1" si="250"/>
        <v>8399.7511044325347</v>
      </c>
      <c r="AN792" s="55">
        <f t="shared" ca="1" si="250"/>
        <v>8399.7511044325347</v>
      </c>
      <c r="AO792" s="55">
        <f t="shared" ca="1" si="250"/>
        <v>8399.7511044325347</v>
      </c>
      <c r="AP792" s="55">
        <f t="shared" ca="1" si="250"/>
        <v>0</v>
      </c>
      <c r="AQ792" s="55">
        <f t="shared" ca="1" si="250"/>
        <v>0</v>
      </c>
      <c r="AR792" s="55">
        <f t="shared" ca="1" si="250"/>
        <v>0</v>
      </c>
      <c r="AS792" s="55">
        <f t="shared" ca="1" si="250"/>
        <v>0</v>
      </c>
      <c r="AT792" s="55">
        <f t="shared" ca="1" si="250"/>
        <v>0</v>
      </c>
      <c r="AU792" s="55">
        <f t="shared" ca="1" si="250"/>
        <v>0</v>
      </c>
      <c r="AV792" s="55">
        <f t="shared" ca="1" si="250"/>
        <v>0</v>
      </c>
      <c r="AW792" s="55">
        <f t="shared" ca="1" si="250"/>
        <v>0</v>
      </c>
      <c r="AX792" s="55">
        <f t="shared" ca="1" si="250"/>
        <v>0</v>
      </c>
    </row>
    <row r="793" spans="1:50" ht="15" customHeight="1" x14ac:dyDescent="0.25">
      <c r="A793" s="86"/>
      <c r="B793" s="677"/>
      <c r="C793" s="604"/>
      <c r="D793" s="217"/>
      <c r="E793" s="55"/>
      <c r="F793" s="64"/>
      <c r="G793" s="55"/>
      <c r="H793" s="55"/>
      <c r="I793" s="55"/>
      <c r="J793" s="55"/>
      <c r="K793" s="55"/>
      <c r="L793" s="55"/>
      <c r="M793" s="55"/>
      <c r="N793" s="55"/>
      <c r="O793" s="55"/>
      <c r="P793" s="55"/>
      <c r="Q793" s="55"/>
      <c r="R793" s="55"/>
      <c r="S793" s="55"/>
      <c r="T793" s="55"/>
      <c r="U793" s="55"/>
      <c r="V793" s="55"/>
      <c r="W793" s="55"/>
      <c r="X793" s="55"/>
      <c r="Y793" s="55"/>
      <c r="Z793" s="55"/>
      <c r="AA793" s="55"/>
      <c r="AB793" s="55"/>
      <c r="AC793" s="55"/>
      <c r="AD793" s="55"/>
      <c r="AE793" s="55"/>
      <c r="AF793" s="55"/>
      <c r="AG793" s="55"/>
      <c r="AH793" s="55"/>
      <c r="AI793" s="55"/>
      <c r="AJ793" s="55"/>
      <c r="AK793" s="55"/>
      <c r="AL793" s="55"/>
      <c r="AM793" s="55"/>
      <c r="AN793" s="55"/>
      <c r="AO793" s="55"/>
      <c r="AP793" s="55"/>
      <c r="AQ793" s="55"/>
      <c r="AR793" s="55"/>
      <c r="AS793" s="55"/>
      <c r="AT793" s="55"/>
      <c r="AU793" s="55"/>
      <c r="AV793" s="55"/>
      <c r="AW793" s="55"/>
      <c r="AX793" s="55"/>
    </row>
    <row r="794" spans="1:50" ht="15" customHeight="1" x14ac:dyDescent="0.25">
      <c r="A794" s="241"/>
      <c r="B794" s="675"/>
      <c r="C794" s="615"/>
      <c r="D794" s="55"/>
      <c r="E794" s="490" t="str">
        <f xml:space="preserve"> FiscalModel!E$67</f>
        <v>Depreciation starts from</v>
      </c>
      <c r="F794" s="408" t="str">
        <f xml:space="preserve"> FiscalModel!F$67</f>
        <v>Production</v>
      </c>
      <c r="G794" s="490" t="str">
        <f xml:space="preserve"> FiscalModel!G$67</f>
        <v>Option</v>
      </c>
      <c r="H794" s="55"/>
      <c r="I794" s="55"/>
      <c r="J794" s="55"/>
      <c r="K794" s="55"/>
      <c r="L794" s="55"/>
      <c r="M794" s="55"/>
      <c r="N794" s="55"/>
      <c r="O794" s="55"/>
      <c r="P794" s="55"/>
      <c r="Q794" s="55"/>
      <c r="R794" s="55"/>
      <c r="S794" s="55"/>
      <c r="T794" s="55"/>
      <c r="U794" s="55"/>
      <c r="V794" s="55"/>
      <c r="W794" s="55"/>
      <c r="X794" s="55"/>
      <c r="Y794" s="55"/>
      <c r="Z794" s="55"/>
      <c r="AA794" s="55"/>
      <c r="AB794" s="55"/>
      <c r="AC794" s="55"/>
      <c r="AD794" s="55"/>
      <c r="AE794" s="55"/>
      <c r="AF794" s="55"/>
      <c r="AG794" s="55"/>
      <c r="AH794" s="55"/>
      <c r="AI794" s="55"/>
      <c r="AJ794" s="55"/>
      <c r="AK794" s="55"/>
      <c r="AL794" s="55"/>
      <c r="AM794" s="55"/>
      <c r="AN794" s="55"/>
      <c r="AO794" s="55"/>
      <c r="AP794" s="55"/>
      <c r="AQ794" s="55"/>
      <c r="AR794" s="55"/>
      <c r="AS794" s="55"/>
      <c r="AT794" s="55"/>
      <c r="AU794" s="55"/>
      <c r="AV794" s="55"/>
      <c r="AW794" s="55"/>
      <c r="AX794" s="55"/>
    </row>
    <row r="795" spans="1:50" ht="15" customHeight="1" x14ac:dyDescent="0.25">
      <c r="A795" s="241"/>
      <c r="B795" s="675"/>
      <c r="C795" s="615"/>
      <c r="D795" s="55"/>
      <c r="E795" s="55"/>
      <c r="F795" s="584" t="str">
        <f>Translate!$E$744</f>
        <v>Spend</v>
      </c>
      <c r="G795" s="55" t="str">
        <f xml:space="preserve"> Translate!E$103</f>
        <v>Option</v>
      </c>
      <c r="H795" s="55"/>
      <c r="I795" s="55"/>
      <c r="J795" s="55"/>
      <c r="K795" s="55"/>
      <c r="L795" s="55"/>
      <c r="M795" s="55"/>
      <c r="N795" s="55"/>
      <c r="O795" s="55"/>
      <c r="P795" s="55"/>
      <c r="Q795" s="55"/>
      <c r="R795" s="55"/>
      <c r="S795" s="55"/>
      <c r="T795" s="55"/>
      <c r="U795" s="55"/>
      <c r="V795" s="55"/>
      <c r="W795" s="55"/>
      <c r="X795" s="55"/>
      <c r="Y795" s="55"/>
      <c r="Z795" s="55"/>
      <c r="AA795" s="55"/>
      <c r="AB795" s="55"/>
      <c r="AC795" s="55"/>
      <c r="AD795" s="55"/>
      <c r="AE795" s="55"/>
      <c r="AF795" s="55"/>
      <c r="AG795" s="55"/>
      <c r="AH795" s="55"/>
      <c r="AI795" s="55"/>
      <c r="AJ795" s="55"/>
      <c r="AK795" s="55"/>
      <c r="AL795" s="55"/>
      <c r="AM795" s="55"/>
      <c r="AN795" s="55"/>
      <c r="AO795" s="55"/>
      <c r="AP795" s="55"/>
      <c r="AQ795" s="55"/>
      <c r="AR795" s="55"/>
      <c r="AS795" s="55"/>
      <c r="AT795" s="55"/>
      <c r="AU795" s="55"/>
      <c r="AV795" s="55"/>
      <c r="AW795" s="55"/>
      <c r="AX795" s="55"/>
    </row>
    <row r="796" spans="1:50" ht="15" customHeight="1" x14ac:dyDescent="0.25">
      <c r="A796" s="241"/>
      <c r="B796" s="675"/>
      <c r="C796" s="615"/>
      <c r="D796" s="55"/>
      <c r="E796" s="55"/>
      <c r="F796" s="584" t="str">
        <f xml:space="preserve"> Translate!E$738</f>
        <v>Production</v>
      </c>
      <c r="G796" s="55" t="str">
        <f xml:space="preserve"> Translate!E$103</f>
        <v>Option</v>
      </c>
      <c r="H796" s="55"/>
      <c r="I796" s="55"/>
      <c r="J796" s="55"/>
      <c r="K796" s="55"/>
      <c r="L796" s="55"/>
      <c r="M796" s="55"/>
      <c r="N796" s="55"/>
      <c r="O796" s="55"/>
      <c r="P796" s="55"/>
      <c r="Q796" s="55"/>
      <c r="R796" s="55"/>
      <c r="S796" s="55"/>
      <c r="T796" s="55"/>
      <c r="U796" s="55"/>
      <c r="V796" s="55"/>
      <c r="W796" s="55"/>
      <c r="X796" s="55"/>
      <c r="Y796" s="55"/>
      <c r="Z796" s="55"/>
      <c r="AA796" s="55"/>
      <c r="AB796" s="55"/>
      <c r="AC796" s="55"/>
      <c r="AD796" s="55"/>
      <c r="AE796" s="55"/>
      <c r="AF796" s="55"/>
      <c r="AG796" s="55"/>
      <c r="AH796" s="55"/>
      <c r="AI796" s="55"/>
      <c r="AJ796" s="55"/>
      <c r="AK796" s="55"/>
      <c r="AL796" s="55"/>
      <c r="AM796" s="55"/>
      <c r="AN796" s="55"/>
      <c r="AO796" s="55"/>
      <c r="AP796" s="55"/>
      <c r="AQ796" s="55"/>
      <c r="AR796" s="55"/>
      <c r="AS796" s="55"/>
      <c r="AT796" s="55"/>
      <c r="AU796" s="55"/>
      <c r="AV796" s="55"/>
      <c r="AW796" s="55"/>
      <c r="AX796" s="55"/>
    </row>
    <row r="798" spans="1:50" ht="15" customHeight="1" x14ac:dyDescent="0.25">
      <c r="E798" s="3" t="str">
        <f>Translate!E768 &amp; ": " &amp; IF($F794 = $F795, E790, E791)</f>
        <v>prior period: Production years, after ELT</v>
      </c>
      <c r="G798" s="3" t="str">
        <f>Translate!$E$405</f>
        <v>Flag</v>
      </c>
      <c r="K798" s="3">
        <f t="shared" ref="K798:AX798" ca="1" si="251" xml:space="preserve"> IF($F794 = $F795, K790, K791)</f>
        <v>0</v>
      </c>
      <c r="L798" s="3">
        <f t="shared" ca="1" si="251"/>
        <v>0</v>
      </c>
      <c r="M798" s="3">
        <f t="shared" ca="1" si="251"/>
        <v>0</v>
      </c>
      <c r="N798" s="3">
        <f t="shared" ca="1" si="251"/>
        <v>0</v>
      </c>
      <c r="O798" s="3">
        <f t="shared" ca="1" si="251"/>
        <v>1</v>
      </c>
      <c r="P798" s="3">
        <f t="shared" ca="1" si="251"/>
        <v>1</v>
      </c>
      <c r="Q798" s="3">
        <f t="shared" ca="1" si="251"/>
        <v>1</v>
      </c>
      <c r="R798" s="3">
        <f t="shared" ca="1" si="251"/>
        <v>1</v>
      </c>
      <c r="S798" s="3">
        <f t="shared" ca="1" si="251"/>
        <v>1</v>
      </c>
      <c r="T798" s="3">
        <f t="shared" ca="1" si="251"/>
        <v>1</v>
      </c>
      <c r="U798" s="3">
        <f t="shared" ca="1" si="251"/>
        <v>1</v>
      </c>
      <c r="V798" s="3">
        <f t="shared" ca="1" si="251"/>
        <v>1</v>
      </c>
      <c r="W798" s="3">
        <f t="shared" ca="1" si="251"/>
        <v>1</v>
      </c>
      <c r="X798" s="3">
        <f t="shared" ca="1" si="251"/>
        <v>1</v>
      </c>
      <c r="Y798" s="3">
        <f t="shared" ca="1" si="251"/>
        <v>1</v>
      </c>
      <c r="Z798" s="3">
        <f t="shared" ca="1" si="251"/>
        <v>1</v>
      </c>
      <c r="AA798" s="3">
        <f t="shared" ca="1" si="251"/>
        <v>1</v>
      </c>
      <c r="AB798" s="3">
        <f t="shared" ca="1" si="251"/>
        <v>1</v>
      </c>
      <c r="AC798" s="3">
        <f t="shared" ca="1" si="251"/>
        <v>1</v>
      </c>
      <c r="AD798" s="3">
        <f t="shared" ca="1" si="251"/>
        <v>1</v>
      </c>
      <c r="AE798" s="3">
        <f t="shared" ca="1" si="251"/>
        <v>1</v>
      </c>
      <c r="AF798" s="3">
        <f t="shared" ca="1" si="251"/>
        <v>1</v>
      </c>
      <c r="AG798" s="3">
        <f t="shared" ca="1" si="251"/>
        <v>1</v>
      </c>
      <c r="AH798" s="3">
        <f t="shared" ca="1" si="251"/>
        <v>1</v>
      </c>
      <c r="AI798" s="3">
        <f t="shared" ca="1" si="251"/>
        <v>1</v>
      </c>
      <c r="AJ798" s="3">
        <f t="shared" ca="1" si="251"/>
        <v>1</v>
      </c>
      <c r="AK798" s="3">
        <f t="shared" ca="1" si="251"/>
        <v>1</v>
      </c>
      <c r="AL798" s="3">
        <f t="shared" ca="1" si="251"/>
        <v>1</v>
      </c>
      <c r="AM798" s="3">
        <f t="shared" ca="1" si="251"/>
        <v>1</v>
      </c>
      <c r="AN798" s="3">
        <f t="shared" ca="1" si="251"/>
        <v>1</v>
      </c>
      <c r="AO798" s="3">
        <f t="shared" ca="1" si="251"/>
        <v>1</v>
      </c>
      <c r="AP798" s="3">
        <f t="shared" ca="1" si="251"/>
        <v>0</v>
      </c>
      <c r="AQ798" s="3">
        <f t="shared" ca="1" si="251"/>
        <v>0</v>
      </c>
      <c r="AR798" s="3">
        <f t="shared" ca="1" si="251"/>
        <v>0</v>
      </c>
      <c r="AS798" s="3">
        <f t="shared" ca="1" si="251"/>
        <v>0</v>
      </c>
      <c r="AT798" s="3">
        <f t="shared" ca="1" si="251"/>
        <v>0</v>
      </c>
      <c r="AU798" s="3">
        <f t="shared" ca="1" si="251"/>
        <v>0</v>
      </c>
      <c r="AV798" s="3">
        <f t="shared" ca="1" si="251"/>
        <v>0</v>
      </c>
      <c r="AW798" s="3">
        <f t="shared" ca="1" si="251"/>
        <v>0</v>
      </c>
      <c r="AX798" s="3">
        <f t="shared" ca="1" si="251"/>
        <v>0</v>
      </c>
    </row>
    <row r="799" spans="1:50" ht="15" customHeight="1" x14ac:dyDescent="0.25">
      <c r="E799" s="3" t="str">
        <f xml:space="preserve"> Translate!E$331</f>
        <v>Cumulative depreciation years</v>
      </c>
      <c r="G799" s="3" t="str">
        <f xml:space="preserve"> Translate!E$608</f>
        <v>Year</v>
      </c>
      <c r="J799" s="542"/>
      <c r="K799" s="3">
        <f t="shared" ref="K799:AX799" ca="1" si="252" xml:space="preserve"> J799 + K798</f>
        <v>0</v>
      </c>
      <c r="L799" s="3">
        <f t="shared" ca="1" si="252"/>
        <v>0</v>
      </c>
      <c r="M799" s="3">
        <f t="shared" ca="1" si="252"/>
        <v>0</v>
      </c>
      <c r="N799" s="3">
        <f t="shared" ca="1" si="252"/>
        <v>0</v>
      </c>
      <c r="O799" s="3">
        <f t="shared" ca="1" si="252"/>
        <v>1</v>
      </c>
      <c r="P799" s="3">
        <f t="shared" ca="1" si="252"/>
        <v>2</v>
      </c>
      <c r="Q799" s="3">
        <f t="shared" ca="1" si="252"/>
        <v>3</v>
      </c>
      <c r="R799" s="3">
        <f t="shared" ca="1" si="252"/>
        <v>4</v>
      </c>
      <c r="S799" s="3">
        <f t="shared" ca="1" si="252"/>
        <v>5</v>
      </c>
      <c r="T799" s="3">
        <f t="shared" ca="1" si="252"/>
        <v>6</v>
      </c>
      <c r="U799" s="3">
        <f t="shared" ca="1" si="252"/>
        <v>7</v>
      </c>
      <c r="V799" s="3">
        <f t="shared" ca="1" si="252"/>
        <v>8</v>
      </c>
      <c r="W799" s="3">
        <f t="shared" ca="1" si="252"/>
        <v>9</v>
      </c>
      <c r="X799" s="3">
        <f t="shared" ca="1" si="252"/>
        <v>10</v>
      </c>
      <c r="Y799" s="3">
        <f t="shared" ca="1" si="252"/>
        <v>11</v>
      </c>
      <c r="Z799" s="3">
        <f t="shared" ca="1" si="252"/>
        <v>12</v>
      </c>
      <c r="AA799" s="3">
        <f t="shared" ca="1" si="252"/>
        <v>13</v>
      </c>
      <c r="AB799" s="3">
        <f t="shared" ca="1" si="252"/>
        <v>14</v>
      </c>
      <c r="AC799" s="3">
        <f t="shared" ca="1" si="252"/>
        <v>15</v>
      </c>
      <c r="AD799" s="3">
        <f t="shared" ca="1" si="252"/>
        <v>16</v>
      </c>
      <c r="AE799" s="3">
        <f t="shared" ca="1" si="252"/>
        <v>17</v>
      </c>
      <c r="AF799" s="3">
        <f t="shared" ca="1" si="252"/>
        <v>18</v>
      </c>
      <c r="AG799" s="3">
        <f t="shared" ca="1" si="252"/>
        <v>19</v>
      </c>
      <c r="AH799" s="3">
        <f t="shared" ca="1" si="252"/>
        <v>20</v>
      </c>
      <c r="AI799" s="3">
        <f t="shared" ca="1" si="252"/>
        <v>21</v>
      </c>
      <c r="AJ799" s="3">
        <f t="shared" ca="1" si="252"/>
        <v>22</v>
      </c>
      <c r="AK799" s="3">
        <f t="shared" ca="1" si="252"/>
        <v>23</v>
      </c>
      <c r="AL799" s="3">
        <f t="shared" ca="1" si="252"/>
        <v>24</v>
      </c>
      <c r="AM799" s="3">
        <f t="shared" ca="1" si="252"/>
        <v>25</v>
      </c>
      <c r="AN799" s="3">
        <f t="shared" ca="1" si="252"/>
        <v>26</v>
      </c>
      <c r="AO799" s="3">
        <f t="shared" ca="1" si="252"/>
        <v>27</v>
      </c>
      <c r="AP799" s="3">
        <f t="shared" ca="1" si="252"/>
        <v>27</v>
      </c>
      <c r="AQ799" s="3">
        <f t="shared" ca="1" si="252"/>
        <v>27</v>
      </c>
      <c r="AR799" s="3">
        <f t="shared" ca="1" si="252"/>
        <v>27</v>
      </c>
      <c r="AS799" s="3">
        <f t="shared" ca="1" si="252"/>
        <v>27</v>
      </c>
      <c r="AT799" s="3">
        <f t="shared" ca="1" si="252"/>
        <v>27</v>
      </c>
      <c r="AU799" s="3">
        <f t="shared" ca="1" si="252"/>
        <v>27</v>
      </c>
      <c r="AV799" s="3">
        <f t="shared" ca="1" si="252"/>
        <v>27</v>
      </c>
      <c r="AW799" s="3">
        <f t="shared" ca="1" si="252"/>
        <v>27</v>
      </c>
      <c r="AX799" s="3">
        <f t="shared" ca="1" si="252"/>
        <v>27</v>
      </c>
    </row>
    <row r="800" spans="1:50" ht="15" customHeight="1" x14ac:dyDescent="0.25">
      <c r="E800" s="3" t="str">
        <f xml:space="preserve"> Translate!E$332</f>
        <v>Remaining depreciation years</v>
      </c>
      <c r="G800" s="3" t="str">
        <f xml:space="preserve"> Translate!E$608</f>
        <v>Year</v>
      </c>
      <c r="J800" s="48"/>
      <c r="K800" s="544">
        <f ca="1" xml:space="preserve"> SUM(K798:$AX798) * K798</f>
        <v>0</v>
      </c>
      <c r="L800" s="544">
        <f ca="1" xml:space="preserve"> SUM(L798:$AX798) * L798</f>
        <v>0</v>
      </c>
      <c r="M800" s="544">
        <f ca="1" xml:space="preserve"> SUM(M798:$AX798) * M798</f>
        <v>0</v>
      </c>
      <c r="N800" s="544">
        <f ca="1" xml:space="preserve"> SUM(N798:$AX798) * N798</f>
        <v>0</v>
      </c>
      <c r="O800" s="544">
        <f ca="1" xml:space="preserve"> SUM(O798:$AX798) * O798</f>
        <v>27</v>
      </c>
      <c r="P800" s="544">
        <f ca="1" xml:space="preserve"> SUM(P798:$AX798) * P798</f>
        <v>26</v>
      </c>
      <c r="Q800" s="544">
        <f ca="1" xml:space="preserve"> SUM(Q798:$AX798) * Q798</f>
        <v>25</v>
      </c>
      <c r="R800" s="544">
        <f ca="1" xml:space="preserve"> SUM(R798:$AX798) * R798</f>
        <v>24</v>
      </c>
      <c r="S800" s="544">
        <f ca="1" xml:space="preserve"> SUM(S798:$AX798) * S798</f>
        <v>23</v>
      </c>
      <c r="T800" s="544">
        <f ca="1" xml:space="preserve"> SUM(T798:$AX798) * T798</f>
        <v>22</v>
      </c>
      <c r="U800" s="544">
        <f ca="1" xml:space="preserve"> SUM(U798:$AX798) * U798</f>
        <v>21</v>
      </c>
      <c r="V800" s="544">
        <f ca="1" xml:space="preserve"> SUM(V798:$AX798) * V798</f>
        <v>20</v>
      </c>
      <c r="W800" s="544">
        <f ca="1" xml:space="preserve"> SUM(W798:$AX798) * W798</f>
        <v>19</v>
      </c>
      <c r="X800" s="544">
        <f ca="1" xml:space="preserve"> SUM(X798:$AX798) * X798</f>
        <v>18</v>
      </c>
      <c r="Y800" s="544">
        <f ca="1" xml:space="preserve"> SUM(Y798:$AX798) * Y798</f>
        <v>17</v>
      </c>
      <c r="Z800" s="544">
        <f ca="1" xml:space="preserve"> SUM(Z798:$AX798) * Z798</f>
        <v>16</v>
      </c>
      <c r="AA800" s="544">
        <f ca="1" xml:space="preserve"> SUM(AA798:$AX798) * AA798</f>
        <v>15</v>
      </c>
      <c r="AB800" s="544">
        <f ca="1" xml:space="preserve"> SUM(AB798:$AX798) * AB798</f>
        <v>14</v>
      </c>
      <c r="AC800" s="544">
        <f ca="1" xml:space="preserve"> SUM(AC798:$AX798) * AC798</f>
        <v>13</v>
      </c>
      <c r="AD800" s="544">
        <f ca="1" xml:space="preserve"> SUM(AD798:$AX798) * AD798</f>
        <v>12</v>
      </c>
      <c r="AE800" s="544">
        <f ca="1" xml:space="preserve"> SUM(AE798:$AX798) * AE798</f>
        <v>11</v>
      </c>
      <c r="AF800" s="544">
        <f ca="1" xml:space="preserve"> SUM(AF798:$AX798) * AF798</f>
        <v>10</v>
      </c>
      <c r="AG800" s="544">
        <f ca="1" xml:space="preserve"> SUM(AG798:$AX798) * AG798</f>
        <v>9</v>
      </c>
      <c r="AH800" s="544">
        <f ca="1" xml:space="preserve"> SUM(AH798:$AX798) * AH798</f>
        <v>8</v>
      </c>
      <c r="AI800" s="544">
        <f ca="1" xml:space="preserve"> SUM(AI798:$AX798) * AI798</f>
        <v>7</v>
      </c>
      <c r="AJ800" s="544">
        <f ca="1" xml:space="preserve"> SUM(AJ798:$AX798) * AJ798</f>
        <v>6</v>
      </c>
      <c r="AK800" s="544">
        <f ca="1" xml:space="preserve"> SUM(AK798:$AX798) * AK798</f>
        <v>5</v>
      </c>
      <c r="AL800" s="544">
        <f ca="1" xml:space="preserve"> SUM(AL798:$AX798) * AL798</f>
        <v>4</v>
      </c>
      <c r="AM800" s="544">
        <f ca="1" xml:space="preserve"> SUM(AM798:$AX798) * AM798</f>
        <v>3</v>
      </c>
      <c r="AN800" s="544">
        <f ca="1" xml:space="preserve"> SUM(AN798:$AX798) * AN798</f>
        <v>2</v>
      </c>
      <c r="AO800" s="544">
        <f ca="1" xml:space="preserve"> SUM(AO798:$AX798) * AO798</f>
        <v>1</v>
      </c>
      <c r="AP800" s="544">
        <f ca="1" xml:space="preserve"> SUM(AP798:$AX798) * AP798</f>
        <v>0</v>
      </c>
      <c r="AQ800" s="544">
        <f ca="1" xml:space="preserve"> SUM(AQ798:$AX798) * AQ798</f>
        <v>0</v>
      </c>
      <c r="AR800" s="544">
        <f ca="1" xml:space="preserve"> SUM(AR798:$AX798) * AR798</f>
        <v>0</v>
      </c>
      <c r="AS800" s="544">
        <f ca="1" xml:space="preserve"> SUM(AS798:$AX798) * AS798</f>
        <v>0</v>
      </c>
      <c r="AT800" s="544">
        <f ca="1" xml:space="preserve"> SUM(AT798:$AX798) * AT798</f>
        <v>0</v>
      </c>
      <c r="AU800" s="544">
        <f ca="1" xml:space="preserve"> SUM(AU798:$AX798) * AU798</f>
        <v>0</v>
      </c>
      <c r="AV800" s="544">
        <f ca="1" xml:space="preserve"> SUM(AV798:$AX798) * AV798</f>
        <v>0</v>
      </c>
      <c r="AW800" s="544">
        <f ca="1" xml:space="preserve"> SUM(AW798:$AX798) * AW798</f>
        <v>0</v>
      </c>
      <c r="AX800" s="544">
        <f ca="1" xml:space="preserve"> SUM(AX798:$AX798) * AX798</f>
        <v>0</v>
      </c>
    </row>
    <row r="802" spans="1:50" ht="15" customHeight="1" x14ac:dyDescent="0.25">
      <c r="A802" s="86"/>
      <c r="B802" s="677"/>
      <c r="C802" s="604"/>
      <c r="D802" s="217"/>
      <c r="E802" s="55" t="str">
        <f xml:space="preserve"> E781 &amp; " " &amp; Translate!E$527</f>
        <v>Capitalized costs: IOC into depreciation</v>
      </c>
      <c r="F802" s="64"/>
      <c r="G802" s="55" t="str">
        <f xml:space="preserve"> Translate!E$603</f>
        <v>US$ mn</v>
      </c>
      <c r="H802" s="55"/>
      <c r="I802" s="55">
        <f ca="1" xml:space="preserve"> SUM(K802:AX802)</f>
        <v>8399.7511044325347</v>
      </c>
      <c r="J802" s="55"/>
      <c r="K802" s="543">
        <f t="shared" ref="K802:AX802" ca="1" si="253" xml:space="preserve"> IF( K799 = 0, 0, IF( K799 = 1, K782, K781))</f>
        <v>0</v>
      </c>
      <c r="L802" s="543">
        <f t="shared" ca="1" si="253"/>
        <v>0</v>
      </c>
      <c r="M802" s="543">
        <f t="shared" ca="1" si="253"/>
        <v>0</v>
      </c>
      <c r="N802" s="543">
        <f t="shared" ca="1" si="253"/>
        <v>0</v>
      </c>
      <c r="O802" s="543">
        <f t="shared" ca="1" si="253"/>
        <v>2383.6838328879003</v>
      </c>
      <c r="P802" s="543">
        <f t="shared" ca="1" si="253"/>
        <v>1854.8557493759999</v>
      </c>
      <c r="Q802" s="543">
        <f t="shared" ca="1" si="253"/>
        <v>991.02292895232006</v>
      </c>
      <c r="R802" s="543">
        <f t="shared" ca="1" si="253"/>
        <v>413.52684035374079</v>
      </c>
      <c r="S802" s="543">
        <f t="shared" ca="1" si="253"/>
        <v>234.33187620045314</v>
      </c>
      <c r="T802" s="543">
        <f t="shared" ca="1" si="253"/>
        <v>239.01851372446222</v>
      </c>
      <c r="U802" s="543">
        <f t="shared" ca="1" si="253"/>
        <v>243.79888399895148</v>
      </c>
      <c r="V802" s="543">
        <f t="shared" ca="1" si="253"/>
        <v>248.67486167893048</v>
      </c>
      <c r="W802" s="543">
        <f t="shared" ca="1" si="253"/>
        <v>253.64835891250908</v>
      </c>
      <c r="X802" s="543">
        <f t="shared" ca="1" si="253"/>
        <v>258.72132609075925</v>
      </c>
      <c r="Y802" s="543">
        <f t="shared" ca="1" si="253"/>
        <v>263.89575261257448</v>
      </c>
      <c r="Z802" s="543">
        <f t="shared" ca="1" si="253"/>
        <v>269.17366766482598</v>
      </c>
      <c r="AA802" s="543">
        <f t="shared" ca="1" si="253"/>
        <v>274.55714101812248</v>
      </c>
      <c r="AB802" s="543">
        <f t="shared" ca="1" si="253"/>
        <v>0</v>
      </c>
      <c r="AC802" s="543">
        <f t="shared" ca="1" si="253"/>
        <v>0</v>
      </c>
      <c r="AD802" s="543">
        <f t="shared" ca="1" si="253"/>
        <v>233.08978760444779</v>
      </c>
      <c r="AE802" s="543">
        <f t="shared" ca="1" si="253"/>
        <v>237.75158335653677</v>
      </c>
      <c r="AF802" s="543">
        <f t="shared" ca="1" si="253"/>
        <v>0</v>
      </c>
      <c r="AG802" s="543">
        <f t="shared" ca="1" si="253"/>
        <v>0</v>
      </c>
      <c r="AH802" s="543">
        <f t="shared" ca="1" si="253"/>
        <v>0</v>
      </c>
      <c r="AI802" s="543">
        <f t="shared" ca="1" si="253"/>
        <v>0</v>
      </c>
      <c r="AJ802" s="543">
        <f t="shared" ca="1" si="253"/>
        <v>0</v>
      </c>
      <c r="AK802" s="543">
        <f t="shared" ca="1" si="253"/>
        <v>0</v>
      </c>
      <c r="AL802" s="543">
        <f t="shared" ca="1" si="253"/>
        <v>0</v>
      </c>
      <c r="AM802" s="543">
        <f t="shared" ca="1" si="253"/>
        <v>0</v>
      </c>
      <c r="AN802" s="543">
        <f t="shared" ca="1" si="253"/>
        <v>0</v>
      </c>
      <c r="AO802" s="543">
        <f t="shared" ca="1" si="253"/>
        <v>0</v>
      </c>
      <c r="AP802" s="543">
        <f t="shared" ca="1" si="253"/>
        <v>0</v>
      </c>
      <c r="AQ802" s="543">
        <f t="shared" ca="1" si="253"/>
        <v>0</v>
      </c>
      <c r="AR802" s="543">
        <f t="shared" ca="1" si="253"/>
        <v>0</v>
      </c>
      <c r="AS802" s="543">
        <f t="shared" ca="1" si="253"/>
        <v>0</v>
      </c>
      <c r="AT802" s="543">
        <f t="shared" ca="1" si="253"/>
        <v>0</v>
      </c>
      <c r="AU802" s="543">
        <f t="shared" ca="1" si="253"/>
        <v>0</v>
      </c>
      <c r="AV802" s="543">
        <f t="shared" ca="1" si="253"/>
        <v>0</v>
      </c>
      <c r="AW802" s="543">
        <f t="shared" ca="1" si="253"/>
        <v>0</v>
      </c>
      <c r="AX802" s="543">
        <f t="shared" ca="1" si="253"/>
        <v>0</v>
      </c>
    </row>
    <row r="803" spans="1:50" ht="15" customHeight="1" x14ac:dyDescent="0.25">
      <c r="A803" s="86"/>
      <c r="B803" s="677"/>
      <c r="C803" s="604"/>
      <c r="D803" s="217"/>
      <c r="E803" s="55"/>
      <c r="F803" s="64"/>
      <c r="G803" s="55"/>
      <c r="H803" s="55"/>
      <c r="I803" s="55"/>
      <c r="J803" s="55"/>
      <c r="K803" s="55"/>
      <c r="L803" s="55"/>
      <c r="M803" s="55"/>
      <c r="N803" s="55"/>
      <c r="O803" s="55"/>
      <c r="P803" s="55"/>
      <c r="Q803" s="55"/>
      <c r="R803" s="55"/>
      <c r="S803" s="55"/>
      <c r="T803" s="55"/>
      <c r="U803" s="55"/>
      <c r="V803" s="55"/>
      <c r="W803" s="55"/>
      <c r="X803" s="55"/>
      <c r="Y803" s="55"/>
      <c r="Z803" s="55"/>
      <c r="AA803" s="55"/>
      <c r="AB803" s="55"/>
      <c r="AC803" s="55"/>
      <c r="AD803" s="55"/>
      <c r="AE803" s="55"/>
      <c r="AF803" s="55"/>
      <c r="AG803" s="55"/>
      <c r="AH803" s="55"/>
      <c r="AI803" s="55"/>
      <c r="AJ803" s="55"/>
      <c r="AK803" s="55"/>
      <c r="AL803" s="55"/>
      <c r="AM803" s="55"/>
      <c r="AN803" s="55"/>
      <c r="AO803" s="55"/>
      <c r="AP803" s="55"/>
      <c r="AQ803" s="55"/>
      <c r="AR803" s="55"/>
      <c r="AS803" s="55"/>
      <c r="AT803" s="55"/>
      <c r="AU803" s="55"/>
      <c r="AV803" s="55"/>
      <c r="AW803" s="55"/>
      <c r="AX803" s="55"/>
    </row>
    <row r="804" spans="1:50" ht="15" customHeight="1" x14ac:dyDescent="0.25">
      <c r="A804" s="86"/>
      <c r="B804" s="677"/>
      <c r="C804" s="604"/>
      <c r="D804" s="217"/>
      <c r="E804" s="55" t="str">
        <f>Translate!E$601 &amp; ": "  &amp; E781</f>
        <v>Total: Capitalized costs: IOC</v>
      </c>
      <c r="F804" s="64">
        <f ca="1" xml:space="preserve"> SUM(K781:AX781)</f>
        <v>8399.7511044325347</v>
      </c>
      <c r="G804" s="55" t="str">
        <f xml:space="preserve"> Translate!E$603</f>
        <v>US$ mn</v>
      </c>
      <c r="H804" s="55"/>
      <c r="I804" s="55"/>
      <c r="J804" s="55"/>
      <c r="K804" s="55"/>
      <c r="L804" s="55"/>
      <c r="M804" s="55"/>
      <c r="N804" s="55"/>
      <c r="O804" s="55"/>
      <c r="P804" s="55"/>
      <c r="Q804" s="55"/>
      <c r="R804" s="55"/>
      <c r="S804" s="55"/>
      <c r="T804" s="55"/>
      <c r="U804" s="55"/>
      <c r="V804" s="55"/>
      <c r="W804" s="55"/>
      <c r="X804" s="55"/>
      <c r="Y804" s="55"/>
      <c r="Z804" s="55"/>
      <c r="AA804" s="55"/>
      <c r="AB804" s="55"/>
      <c r="AC804" s="55"/>
      <c r="AD804" s="55"/>
      <c r="AE804" s="55"/>
      <c r="AF804" s="55"/>
      <c r="AG804" s="55"/>
      <c r="AH804" s="55"/>
      <c r="AI804" s="55"/>
      <c r="AJ804" s="55"/>
      <c r="AK804" s="55"/>
      <c r="AL804" s="55"/>
      <c r="AM804" s="55"/>
      <c r="AN804" s="55"/>
      <c r="AO804" s="55"/>
      <c r="AP804" s="55"/>
      <c r="AQ804" s="55"/>
      <c r="AR804" s="55"/>
      <c r="AS804" s="55"/>
      <c r="AT804" s="55"/>
      <c r="AU804" s="55"/>
      <c r="AV804" s="55"/>
      <c r="AW804" s="55"/>
      <c r="AX804" s="55"/>
    </row>
    <row r="805" spans="1:50" ht="15" customHeight="1" x14ac:dyDescent="0.25">
      <c r="A805" s="86"/>
      <c r="B805" s="677"/>
      <c r="C805" s="604"/>
      <c r="D805" s="217"/>
      <c r="E805" s="55" t="str">
        <f xml:space="preserve"> Translate!E$601 &amp; ": "  &amp; E802</f>
        <v>Total: Capitalized costs: IOC into depreciation</v>
      </c>
      <c r="F805" s="64">
        <f ca="1" xml:space="preserve"> SUM(K802:AX802)</f>
        <v>8399.7511044325347</v>
      </c>
      <c r="G805" s="55" t="str">
        <f>G802</f>
        <v>US$ mn</v>
      </c>
      <c r="H805" s="55"/>
      <c r="I805" s="55"/>
      <c r="J805" s="55"/>
      <c r="K805" s="55"/>
      <c r="L805" s="55"/>
      <c r="M805" s="55"/>
      <c r="N805" s="55"/>
      <c r="O805" s="55"/>
      <c r="P805" s="55"/>
      <c r="Q805" s="55"/>
      <c r="R805" s="55"/>
      <c r="S805" s="55"/>
      <c r="T805" s="55"/>
      <c r="U805" s="55"/>
      <c r="V805" s="55"/>
      <c r="W805" s="55"/>
      <c r="X805" s="55"/>
      <c r="Y805" s="55"/>
      <c r="Z805" s="55"/>
      <c r="AA805" s="55"/>
      <c r="AB805" s="55"/>
      <c r="AC805" s="55"/>
      <c r="AD805" s="55"/>
      <c r="AE805" s="55"/>
      <c r="AF805" s="55"/>
      <c r="AG805" s="55"/>
      <c r="AH805" s="55"/>
      <c r="AI805" s="55"/>
      <c r="AJ805" s="55"/>
      <c r="AK805" s="55"/>
      <c r="AL805" s="55"/>
      <c r="AM805" s="55"/>
      <c r="AN805" s="55"/>
      <c r="AO805" s="55"/>
      <c r="AP805" s="55"/>
      <c r="AQ805" s="55"/>
      <c r="AR805" s="55"/>
      <c r="AS805" s="55"/>
      <c r="AT805" s="55"/>
      <c r="AU805" s="55"/>
      <c r="AV805" s="55"/>
      <c r="AW805" s="55"/>
      <c r="AX805" s="55"/>
    </row>
    <row r="806" spans="1:50" ht="15" customHeight="1" x14ac:dyDescent="0.25">
      <c r="A806" s="86"/>
      <c r="B806" s="677"/>
      <c r="C806" s="604"/>
      <c r="D806" s="217"/>
      <c r="E806" s="55" t="str">
        <f xml:space="preserve"> Translate!E$755 &amp; " " &amp; Translate!E$333</f>
        <v>Check:  Costs into depreciation</v>
      </c>
      <c r="F806" s="157">
        <f ca="1" xml:space="preserve"> IF( ABS( F804 -  F805) &gt; CHK_TOL, 1, 0)</f>
        <v>0</v>
      </c>
      <c r="G806" s="55" t="str">
        <f xml:space="preserve"> Translate!E$604</f>
        <v>Check</v>
      </c>
      <c r="H806" s="55"/>
      <c r="I806" s="55"/>
      <c r="J806" s="55"/>
      <c r="K806" s="55"/>
      <c r="L806" s="55"/>
      <c r="M806" s="55"/>
      <c r="N806" s="55"/>
      <c r="O806" s="55"/>
      <c r="P806" s="55"/>
      <c r="Q806" s="55"/>
      <c r="R806" s="55"/>
      <c r="S806" s="55"/>
      <c r="T806" s="55"/>
      <c r="U806" s="55"/>
      <c r="V806" s="55"/>
      <c r="W806" s="55"/>
      <c r="X806" s="55"/>
      <c r="Y806" s="55"/>
      <c r="Z806" s="55"/>
      <c r="AA806" s="55"/>
      <c r="AB806" s="55"/>
      <c r="AC806" s="55"/>
      <c r="AD806" s="55"/>
      <c r="AE806" s="55"/>
      <c r="AF806" s="55"/>
      <c r="AG806" s="55"/>
      <c r="AH806" s="55"/>
      <c r="AI806" s="55"/>
      <c r="AJ806" s="55"/>
      <c r="AK806" s="55"/>
      <c r="AL806" s="55"/>
      <c r="AM806" s="55"/>
      <c r="AN806" s="55"/>
      <c r="AO806" s="55"/>
      <c r="AP806" s="55"/>
      <c r="AQ806" s="55"/>
      <c r="AR806" s="55"/>
      <c r="AS806" s="55"/>
      <c r="AT806" s="55"/>
      <c r="AU806" s="55"/>
      <c r="AV806" s="55"/>
      <c r="AW806" s="55"/>
      <c r="AX806" s="55"/>
    </row>
    <row r="807" spans="1:50" ht="15" customHeight="1" x14ac:dyDescent="0.25">
      <c r="A807" s="86"/>
      <c r="B807" s="677"/>
      <c r="C807" s="604"/>
      <c r="D807" s="217"/>
      <c r="E807" s="55"/>
      <c r="F807" s="64"/>
      <c r="G807" s="55"/>
      <c r="H807" s="55"/>
      <c r="I807" s="55"/>
      <c r="J807" s="55"/>
      <c r="K807" s="55"/>
      <c r="L807" s="55"/>
      <c r="M807" s="55"/>
      <c r="N807" s="55"/>
      <c r="O807" s="55"/>
      <c r="P807" s="55"/>
      <c r="Q807" s="55"/>
      <c r="R807" s="55"/>
      <c r="S807" s="55"/>
      <c r="T807" s="55"/>
      <c r="U807" s="55"/>
      <c r="V807" s="55"/>
      <c r="W807" s="55"/>
      <c r="X807" s="55"/>
      <c r="Y807" s="55"/>
      <c r="Z807" s="55"/>
      <c r="AA807" s="55"/>
      <c r="AB807" s="55"/>
      <c r="AC807" s="55"/>
      <c r="AD807" s="55"/>
      <c r="AE807" s="55"/>
      <c r="AF807" s="55"/>
      <c r="AG807" s="55"/>
      <c r="AH807" s="55"/>
      <c r="AI807" s="55"/>
      <c r="AJ807" s="55"/>
      <c r="AK807" s="55"/>
      <c r="AL807" s="55"/>
      <c r="AM807" s="55"/>
      <c r="AN807" s="55"/>
      <c r="AO807" s="55"/>
      <c r="AP807" s="55"/>
      <c r="AQ807" s="55"/>
      <c r="AR807" s="55"/>
      <c r="AS807" s="55"/>
      <c r="AT807" s="55"/>
      <c r="AU807" s="55"/>
      <c r="AV807" s="55"/>
      <c r="AW807" s="55"/>
      <c r="AX807" s="55"/>
    </row>
    <row r="808" spans="1:50" ht="15" customHeight="1" x14ac:dyDescent="0.25">
      <c r="A808" s="86"/>
      <c r="B808" s="677" t="str">
        <f>Translate!$E$449</f>
        <v>Straight-line depreciation</v>
      </c>
      <c r="C808" s="649"/>
      <c r="D808" s="217"/>
      <c r="E808" s="55"/>
      <c r="F808" s="64"/>
      <c r="G808" s="55"/>
      <c r="H808" s="55"/>
      <c r="I808" s="55"/>
      <c r="J808" s="55"/>
      <c r="K808" s="55"/>
      <c r="L808" s="55"/>
      <c r="M808" s="55"/>
      <c r="N808" s="55"/>
      <c r="O808" s="55"/>
      <c r="P808" s="55"/>
      <c r="Q808" s="55"/>
      <c r="R808" s="55"/>
      <c r="S808" s="55"/>
      <c r="T808" s="55"/>
      <c r="U808" s="55"/>
      <c r="V808" s="55"/>
      <c r="W808" s="55"/>
      <c r="X808" s="55"/>
      <c r="Y808" s="55"/>
      <c r="Z808" s="55"/>
      <c r="AA808" s="55"/>
      <c r="AB808" s="55"/>
      <c r="AC808" s="55"/>
      <c r="AD808" s="55"/>
      <c r="AE808" s="55"/>
      <c r="AF808" s="55"/>
      <c r="AG808" s="55"/>
      <c r="AH808" s="55"/>
      <c r="AI808" s="55"/>
      <c r="AJ808" s="55"/>
      <c r="AK808" s="55"/>
      <c r="AL808" s="55"/>
      <c r="AM808" s="55"/>
      <c r="AN808" s="55"/>
      <c r="AO808" s="55"/>
      <c r="AP808" s="55"/>
      <c r="AQ808" s="55"/>
      <c r="AR808" s="55"/>
      <c r="AS808" s="55"/>
      <c r="AT808" s="55"/>
      <c r="AU808" s="55"/>
      <c r="AV808" s="55"/>
      <c r="AW808" s="55"/>
      <c r="AX808" s="55"/>
    </row>
    <row r="809" spans="1:50" s="412" customFormat="1" ht="15" customHeight="1" x14ac:dyDescent="0.25">
      <c r="A809" s="420"/>
      <c r="B809" s="677"/>
      <c r="C809" s="627"/>
      <c r="D809" s="414"/>
      <c r="E809" s="411" t="str">
        <f t="shared" ref="E809:AX809" si="254" xml:space="preserve"> E$800</f>
        <v>Remaining depreciation years</v>
      </c>
      <c r="F809" s="410">
        <f t="shared" si="254"/>
        <v>0</v>
      </c>
      <c r="G809" s="411" t="str">
        <f t="shared" si="254"/>
        <v>Year</v>
      </c>
      <c r="H809" s="411">
        <f t="shared" si="254"/>
        <v>0</v>
      </c>
      <c r="I809" s="411">
        <f t="shared" si="254"/>
        <v>0</v>
      </c>
      <c r="J809" s="411">
        <f t="shared" si="254"/>
        <v>0</v>
      </c>
      <c r="K809" s="411">
        <f t="shared" ca="1" si="254"/>
        <v>0</v>
      </c>
      <c r="L809" s="411">
        <f t="shared" ca="1" si="254"/>
        <v>0</v>
      </c>
      <c r="M809" s="411">
        <f t="shared" ca="1" si="254"/>
        <v>0</v>
      </c>
      <c r="N809" s="411">
        <f t="shared" ca="1" si="254"/>
        <v>0</v>
      </c>
      <c r="O809" s="411">
        <f t="shared" ca="1" si="254"/>
        <v>27</v>
      </c>
      <c r="P809" s="411">
        <f t="shared" ca="1" si="254"/>
        <v>26</v>
      </c>
      <c r="Q809" s="411">
        <f t="shared" ca="1" si="254"/>
        <v>25</v>
      </c>
      <c r="R809" s="411">
        <f t="shared" ca="1" si="254"/>
        <v>24</v>
      </c>
      <c r="S809" s="411">
        <f t="shared" ca="1" si="254"/>
        <v>23</v>
      </c>
      <c r="T809" s="411">
        <f t="shared" ca="1" si="254"/>
        <v>22</v>
      </c>
      <c r="U809" s="411">
        <f t="shared" ca="1" si="254"/>
        <v>21</v>
      </c>
      <c r="V809" s="411">
        <f t="shared" ca="1" si="254"/>
        <v>20</v>
      </c>
      <c r="W809" s="411">
        <f t="shared" ca="1" si="254"/>
        <v>19</v>
      </c>
      <c r="X809" s="411">
        <f t="shared" ca="1" si="254"/>
        <v>18</v>
      </c>
      <c r="Y809" s="411">
        <f t="shared" ca="1" si="254"/>
        <v>17</v>
      </c>
      <c r="Z809" s="411">
        <f t="shared" ca="1" si="254"/>
        <v>16</v>
      </c>
      <c r="AA809" s="411">
        <f t="shared" ca="1" si="254"/>
        <v>15</v>
      </c>
      <c r="AB809" s="411">
        <f t="shared" ca="1" si="254"/>
        <v>14</v>
      </c>
      <c r="AC809" s="411">
        <f t="shared" ca="1" si="254"/>
        <v>13</v>
      </c>
      <c r="AD809" s="411">
        <f t="shared" ca="1" si="254"/>
        <v>12</v>
      </c>
      <c r="AE809" s="411">
        <f t="shared" ca="1" si="254"/>
        <v>11</v>
      </c>
      <c r="AF809" s="411">
        <f t="shared" ca="1" si="254"/>
        <v>10</v>
      </c>
      <c r="AG809" s="411">
        <f t="shared" ca="1" si="254"/>
        <v>9</v>
      </c>
      <c r="AH809" s="411">
        <f t="shared" ca="1" si="254"/>
        <v>8</v>
      </c>
      <c r="AI809" s="411">
        <f t="shared" ca="1" si="254"/>
        <v>7</v>
      </c>
      <c r="AJ809" s="411">
        <f t="shared" ca="1" si="254"/>
        <v>6</v>
      </c>
      <c r="AK809" s="411">
        <f t="shared" ca="1" si="254"/>
        <v>5</v>
      </c>
      <c r="AL809" s="411">
        <f t="shared" ca="1" si="254"/>
        <v>4</v>
      </c>
      <c r="AM809" s="411">
        <f t="shared" ca="1" si="254"/>
        <v>3</v>
      </c>
      <c r="AN809" s="411">
        <f t="shared" ca="1" si="254"/>
        <v>2</v>
      </c>
      <c r="AO809" s="411">
        <f t="shared" ca="1" si="254"/>
        <v>1</v>
      </c>
      <c r="AP809" s="411">
        <f t="shared" ca="1" si="254"/>
        <v>0</v>
      </c>
      <c r="AQ809" s="411">
        <f t="shared" ca="1" si="254"/>
        <v>0</v>
      </c>
      <c r="AR809" s="411">
        <f t="shared" ca="1" si="254"/>
        <v>0</v>
      </c>
      <c r="AS809" s="411">
        <f t="shared" ca="1" si="254"/>
        <v>0</v>
      </c>
      <c r="AT809" s="411">
        <f t="shared" ca="1" si="254"/>
        <v>0</v>
      </c>
      <c r="AU809" s="411">
        <f t="shared" ca="1" si="254"/>
        <v>0</v>
      </c>
      <c r="AV809" s="411">
        <f t="shared" ca="1" si="254"/>
        <v>0</v>
      </c>
      <c r="AW809" s="411">
        <f t="shared" ca="1" si="254"/>
        <v>0</v>
      </c>
      <c r="AX809" s="411">
        <f t="shared" ca="1" si="254"/>
        <v>0</v>
      </c>
    </row>
    <row r="810" spans="1:50" ht="15" customHeight="1" x14ac:dyDescent="0.25">
      <c r="A810" s="86"/>
      <c r="B810" s="677"/>
      <c r="C810" s="604"/>
      <c r="D810" s="217"/>
      <c r="E810" s="55"/>
      <c r="F810" s="64"/>
      <c r="G810" s="55"/>
      <c r="H810" s="55"/>
      <c r="I810" s="55"/>
      <c r="J810" s="55"/>
      <c r="K810" s="55"/>
      <c r="L810" s="55"/>
      <c r="M810" s="55"/>
      <c r="N810" s="55"/>
      <c r="O810" s="55"/>
      <c r="P810" s="55"/>
      <c r="Q810" s="55"/>
      <c r="R810" s="55"/>
      <c r="S810" s="55"/>
      <c r="T810" s="55"/>
      <c r="U810" s="55"/>
      <c r="V810" s="55"/>
      <c r="W810" s="55"/>
      <c r="X810" s="55"/>
      <c r="Y810" s="55"/>
      <c r="Z810" s="55"/>
      <c r="AA810" s="55"/>
      <c r="AB810" s="55"/>
      <c r="AC810" s="55"/>
      <c r="AD810" s="55"/>
      <c r="AE810" s="55"/>
      <c r="AF810" s="55"/>
      <c r="AG810" s="55"/>
      <c r="AH810" s="55"/>
      <c r="AI810" s="55"/>
      <c r="AJ810" s="55"/>
      <c r="AK810" s="55"/>
      <c r="AL810" s="55"/>
      <c r="AM810" s="55"/>
      <c r="AN810" s="55"/>
      <c r="AO810" s="55"/>
      <c r="AP810" s="55"/>
      <c r="AQ810" s="55"/>
      <c r="AR810" s="55"/>
      <c r="AS810" s="55"/>
      <c r="AT810" s="55"/>
      <c r="AU810" s="55"/>
      <c r="AV810" s="55"/>
      <c r="AW810" s="55"/>
      <c r="AX810" s="55"/>
    </row>
    <row r="811" spans="1:50" ht="15" customHeight="1" x14ac:dyDescent="0.25">
      <c r="A811" s="86"/>
      <c r="B811" s="677"/>
      <c r="C811" s="604" t="str">
        <f>Translate!$E$504</f>
        <v>Cost base for straight-line depreciation</v>
      </c>
      <c r="D811" s="272"/>
      <c r="E811" s="55"/>
      <c r="F811" s="64"/>
      <c r="G811" s="55"/>
      <c r="H811" s="55"/>
      <c r="I811" s="55"/>
      <c r="J811" s="55"/>
      <c r="K811" s="55"/>
      <c r="L811" s="55"/>
      <c r="M811" s="55"/>
      <c r="N811" s="55"/>
      <c r="O811" s="55"/>
      <c r="P811" s="55"/>
      <c r="Q811" s="55"/>
      <c r="R811" s="55"/>
      <c r="S811" s="55"/>
      <c r="T811" s="55"/>
      <c r="U811" s="55"/>
      <c r="V811" s="55"/>
      <c r="W811" s="55"/>
      <c r="X811" s="55"/>
      <c r="Y811" s="55"/>
      <c r="Z811" s="55"/>
      <c r="AA811" s="55"/>
      <c r="AB811" s="55"/>
      <c r="AC811" s="55"/>
      <c r="AD811" s="55"/>
      <c r="AE811" s="55"/>
      <c r="AF811" s="55"/>
      <c r="AG811" s="55"/>
      <c r="AH811" s="55"/>
      <c r="AI811" s="55"/>
      <c r="AJ811" s="55"/>
      <c r="AK811" s="55"/>
      <c r="AL811" s="55"/>
      <c r="AM811" s="55"/>
      <c r="AN811" s="55"/>
      <c r="AO811" s="55"/>
      <c r="AP811" s="55"/>
      <c r="AQ811" s="55"/>
      <c r="AR811" s="55"/>
      <c r="AS811" s="55"/>
      <c r="AT811" s="55"/>
      <c r="AU811" s="55"/>
      <c r="AV811" s="55"/>
      <c r="AW811" s="55"/>
      <c r="AX811" s="55"/>
    </row>
    <row r="812" spans="1:50" ht="15" customHeight="1" x14ac:dyDescent="0.25">
      <c r="A812" s="273"/>
      <c r="B812" s="671"/>
      <c r="C812" s="616"/>
      <c r="D812" s="224"/>
      <c r="E812" s="223" t="str">
        <f xml:space="preserve"> Translate!E$336</f>
        <v>Undepreciated costs: Opening balance BEG</v>
      </c>
      <c r="F812" s="224"/>
      <c r="G812" s="223" t="str">
        <f xml:space="preserve"> Translate!E$603</f>
        <v>US$ mn</v>
      </c>
      <c r="H812" s="223"/>
      <c r="I812" s="223"/>
      <c r="J812" s="223"/>
      <c r="K812" s="223">
        <f t="shared" ref="K812:AX812" si="255" xml:space="preserve"> J816</f>
        <v>0</v>
      </c>
      <c r="L812" s="223">
        <f t="shared" ca="1" si="255"/>
        <v>0</v>
      </c>
      <c r="M812" s="223">
        <f t="shared" ca="1" si="255"/>
        <v>0</v>
      </c>
      <c r="N812" s="223">
        <f t="shared" ca="1" si="255"/>
        <v>0</v>
      </c>
      <c r="O812" s="223">
        <f t="shared" ca="1" si="255"/>
        <v>0</v>
      </c>
      <c r="P812" s="223">
        <f t="shared" ca="1" si="255"/>
        <v>2383.6838328879003</v>
      </c>
      <c r="Q812" s="223">
        <f t="shared" ca="1" si="255"/>
        <v>4238.5395822639002</v>
      </c>
      <c r="R812" s="223">
        <f t="shared" ca="1" si="255"/>
        <v>5229.5625112162206</v>
      </c>
      <c r="S812" s="223">
        <f t="shared" ca="1" si="255"/>
        <v>5643.0893515699618</v>
      </c>
      <c r="T812" s="223">
        <f t="shared" ca="1" si="255"/>
        <v>5877.4212277704146</v>
      </c>
      <c r="U812" s="223">
        <f t="shared" ca="1" si="255"/>
        <v>3732.7559086069768</v>
      </c>
      <c r="V812" s="223">
        <f t="shared" ca="1" si="255"/>
        <v>2121.6990432299285</v>
      </c>
      <c r="W812" s="223">
        <f t="shared" ca="1" si="255"/>
        <v>1379.3509759565391</v>
      </c>
      <c r="X812" s="223">
        <f t="shared" ca="1" si="255"/>
        <v>1219.4724945153075</v>
      </c>
      <c r="Y812" s="223">
        <f t="shared" ca="1" si="255"/>
        <v>1243.8619444056137</v>
      </c>
      <c r="Z812" s="223">
        <f t="shared" ca="1" si="255"/>
        <v>1268.7391832937258</v>
      </c>
      <c r="AA812" s="223">
        <f t="shared" ca="1" si="255"/>
        <v>1294.1139669596002</v>
      </c>
      <c r="AB812" s="223">
        <f t="shared" ca="1" si="255"/>
        <v>1319.9962462987924</v>
      </c>
      <c r="AC812" s="223">
        <f t="shared" ca="1" si="255"/>
        <v>1066.3478873862832</v>
      </c>
      <c r="AD812" s="223">
        <f t="shared" ca="1" si="255"/>
        <v>807.62656129552397</v>
      </c>
      <c r="AE812" s="223">
        <f t="shared" ca="1" si="255"/>
        <v>776.82059628739728</v>
      </c>
      <c r="AF812" s="223">
        <f t="shared" ca="1" si="255"/>
        <v>745.39851197910809</v>
      </c>
      <c r="AG812" s="223">
        <f t="shared" ca="1" si="255"/>
        <v>470.84137096098561</v>
      </c>
      <c r="AH812" s="223">
        <f t="shared" ca="1" si="255"/>
        <v>470.84137096098561</v>
      </c>
      <c r="AI812" s="223">
        <f t="shared" ca="1" si="255"/>
        <v>470.84137096098561</v>
      </c>
      <c r="AJ812" s="223">
        <f t="shared" ca="1" si="255"/>
        <v>237.75158335653782</v>
      </c>
      <c r="AK812" s="223">
        <f t="shared" ca="1" si="255"/>
        <v>1.0516032489249483E-12</v>
      </c>
      <c r="AL812" s="223">
        <f t="shared" ca="1" si="255"/>
        <v>1.0516032489249483E-12</v>
      </c>
      <c r="AM812" s="223">
        <f t="shared" ca="1" si="255"/>
        <v>1.0516032489249483E-12</v>
      </c>
      <c r="AN812" s="223">
        <f t="shared" ca="1" si="255"/>
        <v>1.0516032489249483E-12</v>
      </c>
      <c r="AO812" s="223">
        <f t="shared" ca="1" si="255"/>
        <v>1.0516032489249483E-12</v>
      </c>
      <c r="AP812" s="223">
        <f t="shared" ca="1" si="255"/>
        <v>0</v>
      </c>
      <c r="AQ812" s="223">
        <f t="shared" ca="1" si="255"/>
        <v>0</v>
      </c>
      <c r="AR812" s="223">
        <f t="shared" ca="1" si="255"/>
        <v>0</v>
      </c>
      <c r="AS812" s="223">
        <f t="shared" ca="1" si="255"/>
        <v>0</v>
      </c>
      <c r="AT812" s="223">
        <f t="shared" ca="1" si="255"/>
        <v>0</v>
      </c>
      <c r="AU812" s="223">
        <f t="shared" ca="1" si="255"/>
        <v>0</v>
      </c>
      <c r="AV812" s="223">
        <f t="shared" ca="1" si="255"/>
        <v>0</v>
      </c>
      <c r="AW812" s="223">
        <f t="shared" ca="1" si="255"/>
        <v>0</v>
      </c>
      <c r="AX812" s="223">
        <f t="shared" ca="1" si="255"/>
        <v>0</v>
      </c>
    </row>
    <row r="813" spans="1:50" ht="15" customHeight="1" x14ac:dyDescent="0.25">
      <c r="A813" s="274"/>
      <c r="B813" s="672"/>
      <c r="C813" s="618"/>
      <c r="D813" s="64" t="str">
        <f>Translate!E529</f>
        <v>add</v>
      </c>
      <c r="E813" s="55" t="str">
        <f t="shared" ref="E813:AX813" si="256" xml:space="preserve"> E$802</f>
        <v>Capitalized costs: IOC into depreciation</v>
      </c>
      <c r="F813" s="64">
        <f t="shared" si="256"/>
        <v>0</v>
      </c>
      <c r="G813" s="55" t="str">
        <f t="shared" si="256"/>
        <v>US$ mn</v>
      </c>
      <c r="H813" s="55">
        <f t="shared" si="256"/>
        <v>0</v>
      </c>
      <c r="I813" s="55">
        <f t="shared" ca="1" si="256"/>
        <v>8399.7511044325347</v>
      </c>
      <c r="J813" s="55">
        <f t="shared" si="256"/>
        <v>0</v>
      </c>
      <c r="K813" s="55">
        <f t="shared" ca="1" si="256"/>
        <v>0</v>
      </c>
      <c r="L813" s="55">
        <f t="shared" ca="1" si="256"/>
        <v>0</v>
      </c>
      <c r="M813" s="55">
        <f t="shared" ca="1" si="256"/>
        <v>0</v>
      </c>
      <c r="N813" s="55">
        <f t="shared" ca="1" si="256"/>
        <v>0</v>
      </c>
      <c r="O813" s="55">
        <f t="shared" ca="1" si="256"/>
        <v>2383.6838328879003</v>
      </c>
      <c r="P813" s="55">
        <f t="shared" ca="1" si="256"/>
        <v>1854.8557493759999</v>
      </c>
      <c r="Q813" s="55">
        <f t="shared" ca="1" si="256"/>
        <v>991.02292895232006</v>
      </c>
      <c r="R813" s="55">
        <f t="shared" ca="1" si="256"/>
        <v>413.52684035374079</v>
      </c>
      <c r="S813" s="55">
        <f t="shared" ca="1" si="256"/>
        <v>234.33187620045314</v>
      </c>
      <c r="T813" s="55">
        <f t="shared" ca="1" si="256"/>
        <v>239.01851372446222</v>
      </c>
      <c r="U813" s="55">
        <f t="shared" ca="1" si="256"/>
        <v>243.79888399895148</v>
      </c>
      <c r="V813" s="55">
        <f t="shared" ca="1" si="256"/>
        <v>248.67486167893048</v>
      </c>
      <c r="W813" s="55">
        <f t="shared" ca="1" si="256"/>
        <v>253.64835891250908</v>
      </c>
      <c r="X813" s="55">
        <f t="shared" ca="1" si="256"/>
        <v>258.72132609075925</v>
      </c>
      <c r="Y813" s="55">
        <f t="shared" ca="1" si="256"/>
        <v>263.89575261257448</v>
      </c>
      <c r="Z813" s="55">
        <f t="shared" ca="1" si="256"/>
        <v>269.17366766482598</v>
      </c>
      <c r="AA813" s="55">
        <f t="shared" ca="1" si="256"/>
        <v>274.55714101812248</v>
      </c>
      <c r="AB813" s="55">
        <f t="shared" ca="1" si="256"/>
        <v>0</v>
      </c>
      <c r="AC813" s="55">
        <f t="shared" ca="1" si="256"/>
        <v>0</v>
      </c>
      <c r="AD813" s="55">
        <f t="shared" ca="1" si="256"/>
        <v>233.08978760444779</v>
      </c>
      <c r="AE813" s="55">
        <f t="shared" ca="1" si="256"/>
        <v>237.75158335653677</v>
      </c>
      <c r="AF813" s="55">
        <f t="shared" ca="1" si="256"/>
        <v>0</v>
      </c>
      <c r="AG813" s="55">
        <f t="shared" ca="1" si="256"/>
        <v>0</v>
      </c>
      <c r="AH813" s="55">
        <f t="shared" ca="1" si="256"/>
        <v>0</v>
      </c>
      <c r="AI813" s="55">
        <f t="shared" ca="1" si="256"/>
        <v>0</v>
      </c>
      <c r="AJ813" s="55">
        <f t="shared" ca="1" si="256"/>
        <v>0</v>
      </c>
      <c r="AK813" s="55">
        <f t="shared" ca="1" si="256"/>
        <v>0</v>
      </c>
      <c r="AL813" s="55">
        <f t="shared" ca="1" si="256"/>
        <v>0</v>
      </c>
      <c r="AM813" s="55">
        <f t="shared" ca="1" si="256"/>
        <v>0</v>
      </c>
      <c r="AN813" s="55">
        <f t="shared" ca="1" si="256"/>
        <v>0</v>
      </c>
      <c r="AO813" s="55">
        <f t="shared" ca="1" si="256"/>
        <v>0</v>
      </c>
      <c r="AP813" s="55">
        <f t="shared" ca="1" si="256"/>
        <v>0</v>
      </c>
      <c r="AQ813" s="55">
        <f t="shared" ca="1" si="256"/>
        <v>0</v>
      </c>
      <c r="AR813" s="55">
        <f t="shared" ca="1" si="256"/>
        <v>0</v>
      </c>
      <c r="AS813" s="55">
        <f t="shared" ca="1" si="256"/>
        <v>0</v>
      </c>
      <c r="AT813" s="55">
        <f t="shared" ca="1" si="256"/>
        <v>0</v>
      </c>
      <c r="AU813" s="55">
        <f t="shared" ca="1" si="256"/>
        <v>0</v>
      </c>
      <c r="AV813" s="55">
        <f t="shared" ca="1" si="256"/>
        <v>0</v>
      </c>
      <c r="AW813" s="55">
        <f t="shared" ca="1" si="256"/>
        <v>0</v>
      </c>
      <c r="AX813" s="55">
        <f t="shared" ca="1" si="256"/>
        <v>0</v>
      </c>
    </row>
    <row r="814" spans="1:50" ht="15" customHeight="1" x14ac:dyDescent="0.25">
      <c r="A814" s="274"/>
      <c r="B814" s="672"/>
      <c r="C814" s="618"/>
      <c r="D814" s="64" t="str">
        <f>Translate!E530</f>
        <v>less</v>
      </c>
      <c r="E814" s="236" t="str">
        <f xml:space="preserve"> E826</f>
        <v>Capitalized costs fully depreciated</v>
      </c>
      <c r="F814" s="585">
        <f xml:space="preserve"> F826</f>
        <v>0</v>
      </c>
      <c r="G814" s="236" t="str">
        <f xml:space="preserve"> G826</f>
        <v>US$ mn</v>
      </c>
      <c r="H814" s="236"/>
      <c r="I814" s="236">
        <f t="shared" ref="I814:AX814" ca="1" si="257" xml:space="preserve"> I826</f>
        <v>8399.7511044325347</v>
      </c>
      <c r="J814" s="236">
        <f t="shared" si="257"/>
        <v>0</v>
      </c>
      <c r="K814" s="236">
        <f t="shared" ca="1" si="257"/>
        <v>0</v>
      </c>
      <c r="L814" s="236">
        <f t="shared" ca="1" si="257"/>
        <v>0</v>
      </c>
      <c r="M814" s="236">
        <f t="shared" ca="1" si="257"/>
        <v>0</v>
      </c>
      <c r="N814" s="236">
        <f t="shared" ca="1" si="257"/>
        <v>0</v>
      </c>
      <c r="O814" s="236">
        <f t="shared" ca="1" si="257"/>
        <v>0</v>
      </c>
      <c r="P814" s="236">
        <f t="shared" ca="1" si="257"/>
        <v>0</v>
      </c>
      <c r="Q814" s="236">
        <f t="shared" ca="1" si="257"/>
        <v>0</v>
      </c>
      <c r="R814" s="236">
        <f t="shared" ca="1" si="257"/>
        <v>0</v>
      </c>
      <c r="S814" s="236">
        <f t="shared" ca="1" si="257"/>
        <v>0</v>
      </c>
      <c r="T814" s="236">
        <f t="shared" ca="1" si="257"/>
        <v>2383.6838328879003</v>
      </c>
      <c r="U814" s="236">
        <f t="shared" ca="1" si="257"/>
        <v>1854.8557493759999</v>
      </c>
      <c r="V814" s="236">
        <f t="shared" ca="1" si="257"/>
        <v>991.02292895232006</v>
      </c>
      <c r="W814" s="236">
        <f t="shared" ca="1" si="257"/>
        <v>413.52684035374079</v>
      </c>
      <c r="X814" s="236">
        <f t="shared" ca="1" si="257"/>
        <v>234.33187620045314</v>
      </c>
      <c r="Y814" s="236">
        <f t="shared" ca="1" si="257"/>
        <v>239.01851372446222</v>
      </c>
      <c r="Z814" s="236">
        <f t="shared" ca="1" si="257"/>
        <v>243.79888399895148</v>
      </c>
      <c r="AA814" s="236">
        <f t="shared" ca="1" si="257"/>
        <v>248.67486167893048</v>
      </c>
      <c r="AB814" s="236">
        <f t="shared" ca="1" si="257"/>
        <v>253.64835891250908</v>
      </c>
      <c r="AC814" s="236">
        <f t="shared" ca="1" si="257"/>
        <v>258.72132609075925</v>
      </c>
      <c r="AD814" s="236">
        <f t="shared" ca="1" si="257"/>
        <v>263.89575261257448</v>
      </c>
      <c r="AE814" s="236">
        <f t="shared" ca="1" si="257"/>
        <v>269.17366766482598</v>
      </c>
      <c r="AF814" s="236">
        <f t="shared" ca="1" si="257"/>
        <v>274.55714101812248</v>
      </c>
      <c r="AG814" s="236">
        <f t="shared" ca="1" si="257"/>
        <v>0</v>
      </c>
      <c r="AH814" s="236">
        <f t="shared" ca="1" si="257"/>
        <v>0</v>
      </c>
      <c r="AI814" s="236">
        <f t="shared" ca="1" si="257"/>
        <v>233.08978760444779</v>
      </c>
      <c r="AJ814" s="236">
        <f t="shared" ca="1" si="257"/>
        <v>237.75158335653677</v>
      </c>
      <c r="AK814" s="236">
        <f t="shared" ca="1" si="257"/>
        <v>0</v>
      </c>
      <c r="AL814" s="236">
        <f t="shared" ca="1" si="257"/>
        <v>0</v>
      </c>
      <c r="AM814" s="236">
        <f t="shared" ca="1" si="257"/>
        <v>0</v>
      </c>
      <c r="AN814" s="236">
        <f t="shared" ca="1" si="257"/>
        <v>0</v>
      </c>
      <c r="AO814" s="236">
        <f t="shared" ca="1" si="257"/>
        <v>0</v>
      </c>
      <c r="AP814" s="236">
        <f t="shared" ca="1" si="257"/>
        <v>0</v>
      </c>
      <c r="AQ814" s="236">
        <f t="shared" ca="1" si="257"/>
        <v>0</v>
      </c>
      <c r="AR814" s="236">
        <f t="shared" ca="1" si="257"/>
        <v>0</v>
      </c>
      <c r="AS814" s="236">
        <f t="shared" ca="1" si="257"/>
        <v>0</v>
      </c>
      <c r="AT814" s="236">
        <f t="shared" ca="1" si="257"/>
        <v>0</v>
      </c>
      <c r="AU814" s="236">
        <f t="shared" ca="1" si="257"/>
        <v>0</v>
      </c>
      <c r="AV814" s="236">
        <f t="shared" ca="1" si="257"/>
        <v>0</v>
      </c>
      <c r="AW814" s="236">
        <f t="shared" ca="1" si="257"/>
        <v>0</v>
      </c>
      <c r="AX814" s="236">
        <f t="shared" ca="1" si="257"/>
        <v>0</v>
      </c>
    </row>
    <row r="815" spans="1:50" ht="15" customHeight="1" x14ac:dyDescent="0.25">
      <c r="A815" s="274"/>
      <c r="B815" s="672"/>
      <c r="C815" s="618"/>
      <c r="D815" s="64" t="str">
        <f>Translate!E530</f>
        <v>less</v>
      </c>
      <c r="E815" s="55" t="str">
        <f xml:space="preserve"> Translate!E$337</f>
        <v>Cost base written off in final year of production</v>
      </c>
      <c r="F815" s="64"/>
      <c r="G815" s="55" t="str">
        <f xml:space="preserve"> Translate!E$603</f>
        <v>US$ mn</v>
      </c>
      <c r="H815" s="55"/>
      <c r="I815" s="55">
        <f ca="1" xml:space="preserve"> SUM(K815:AX815)</f>
        <v>1.0516032489249483E-12</v>
      </c>
      <c r="J815" s="55"/>
      <c r="K815" s="55">
        <f t="shared" ref="K815:AX815" ca="1" si="258" xml:space="preserve"> IF( K809 = 1, K812 + K813 - K814, 0)</f>
        <v>0</v>
      </c>
      <c r="L815" s="55">
        <f t="shared" ca="1" si="258"/>
        <v>0</v>
      </c>
      <c r="M815" s="55">
        <f t="shared" ca="1" si="258"/>
        <v>0</v>
      </c>
      <c r="N815" s="55">
        <f t="shared" ca="1" si="258"/>
        <v>0</v>
      </c>
      <c r="O815" s="55">
        <f t="shared" ca="1" si="258"/>
        <v>0</v>
      </c>
      <c r="P815" s="55">
        <f t="shared" ca="1" si="258"/>
        <v>0</v>
      </c>
      <c r="Q815" s="55">
        <f t="shared" ca="1" si="258"/>
        <v>0</v>
      </c>
      <c r="R815" s="55">
        <f t="shared" ca="1" si="258"/>
        <v>0</v>
      </c>
      <c r="S815" s="55">
        <f t="shared" ca="1" si="258"/>
        <v>0</v>
      </c>
      <c r="T815" s="55">
        <f t="shared" ca="1" si="258"/>
        <v>0</v>
      </c>
      <c r="U815" s="55">
        <f t="shared" ca="1" si="258"/>
        <v>0</v>
      </c>
      <c r="V815" s="55">
        <f t="shared" ca="1" si="258"/>
        <v>0</v>
      </c>
      <c r="W815" s="55">
        <f t="shared" ca="1" si="258"/>
        <v>0</v>
      </c>
      <c r="X815" s="55">
        <f t="shared" ca="1" si="258"/>
        <v>0</v>
      </c>
      <c r="Y815" s="55">
        <f t="shared" ca="1" si="258"/>
        <v>0</v>
      </c>
      <c r="Z815" s="55">
        <f t="shared" ca="1" si="258"/>
        <v>0</v>
      </c>
      <c r="AA815" s="55">
        <f t="shared" ca="1" si="258"/>
        <v>0</v>
      </c>
      <c r="AB815" s="55">
        <f t="shared" ca="1" si="258"/>
        <v>0</v>
      </c>
      <c r="AC815" s="55">
        <f t="shared" ca="1" si="258"/>
        <v>0</v>
      </c>
      <c r="AD815" s="55">
        <f t="shared" ca="1" si="258"/>
        <v>0</v>
      </c>
      <c r="AE815" s="55">
        <f t="shared" ca="1" si="258"/>
        <v>0</v>
      </c>
      <c r="AF815" s="55">
        <f t="shared" ca="1" si="258"/>
        <v>0</v>
      </c>
      <c r="AG815" s="55">
        <f t="shared" ca="1" si="258"/>
        <v>0</v>
      </c>
      <c r="AH815" s="55">
        <f t="shared" ca="1" si="258"/>
        <v>0</v>
      </c>
      <c r="AI815" s="55">
        <f t="shared" ca="1" si="258"/>
        <v>0</v>
      </c>
      <c r="AJ815" s="55">
        <f t="shared" ca="1" si="258"/>
        <v>0</v>
      </c>
      <c r="AK815" s="55">
        <f t="shared" ca="1" si="258"/>
        <v>0</v>
      </c>
      <c r="AL815" s="55">
        <f t="shared" ca="1" si="258"/>
        <v>0</v>
      </c>
      <c r="AM815" s="55">
        <f t="shared" ca="1" si="258"/>
        <v>0</v>
      </c>
      <c r="AN815" s="55">
        <f t="shared" ca="1" si="258"/>
        <v>0</v>
      </c>
      <c r="AO815" s="55">
        <f t="shared" ca="1" si="258"/>
        <v>1.0516032489249483E-12</v>
      </c>
      <c r="AP815" s="55">
        <f t="shared" ca="1" si="258"/>
        <v>0</v>
      </c>
      <c r="AQ815" s="55">
        <f t="shared" ca="1" si="258"/>
        <v>0</v>
      </c>
      <c r="AR815" s="55">
        <f t="shared" ca="1" si="258"/>
        <v>0</v>
      </c>
      <c r="AS815" s="55">
        <f t="shared" ca="1" si="258"/>
        <v>0</v>
      </c>
      <c r="AT815" s="55">
        <f t="shared" ca="1" si="258"/>
        <v>0</v>
      </c>
      <c r="AU815" s="55">
        <f t="shared" ca="1" si="258"/>
        <v>0</v>
      </c>
      <c r="AV815" s="55">
        <f t="shared" ca="1" si="258"/>
        <v>0</v>
      </c>
      <c r="AW815" s="55">
        <f t="shared" ca="1" si="258"/>
        <v>0</v>
      </c>
      <c r="AX815" s="55">
        <f t="shared" ca="1" si="258"/>
        <v>0</v>
      </c>
    </row>
    <row r="816" spans="1:50" ht="15" customHeight="1" x14ac:dyDescent="0.25">
      <c r="A816" s="275"/>
      <c r="B816" s="688"/>
      <c r="C816" s="650"/>
      <c r="D816" s="276"/>
      <c r="E816" s="231" t="str">
        <f xml:space="preserve"> Translate!E$338 &amp; ": " &amp; Translate!E$343</f>
        <v>Cost base for depreciation: END</v>
      </c>
      <c r="F816" s="276"/>
      <c r="G816" s="231" t="str">
        <f xml:space="preserve"> Translate!E$603</f>
        <v>US$ mn</v>
      </c>
      <c r="H816" s="231"/>
      <c r="I816" s="231"/>
      <c r="J816" s="230"/>
      <c r="K816" s="231">
        <f t="shared" ref="K816:AX816" ca="1" si="259" xml:space="preserve"> K812 + K813 - K814 - K815</f>
        <v>0</v>
      </c>
      <c r="L816" s="231">
        <f t="shared" ca="1" si="259"/>
        <v>0</v>
      </c>
      <c r="M816" s="231">
        <f t="shared" ca="1" si="259"/>
        <v>0</v>
      </c>
      <c r="N816" s="231">
        <f t="shared" ca="1" si="259"/>
        <v>0</v>
      </c>
      <c r="O816" s="231">
        <f t="shared" ca="1" si="259"/>
        <v>2383.6838328879003</v>
      </c>
      <c r="P816" s="231">
        <f t="shared" ca="1" si="259"/>
        <v>4238.5395822639002</v>
      </c>
      <c r="Q816" s="231">
        <f t="shared" ca="1" si="259"/>
        <v>5229.5625112162206</v>
      </c>
      <c r="R816" s="231">
        <f t="shared" ca="1" si="259"/>
        <v>5643.0893515699618</v>
      </c>
      <c r="S816" s="231">
        <f t="shared" ca="1" si="259"/>
        <v>5877.4212277704146</v>
      </c>
      <c r="T816" s="231">
        <f t="shared" ca="1" si="259"/>
        <v>3732.7559086069768</v>
      </c>
      <c r="U816" s="231">
        <f t="shared" ca="1" si="259"/>
        <v>2121.6990432299285</v>
      </c>
      <c r="V816" s="231">
        <f t="shared" ca="1" si="259"/>
        <v>1379.3509759565391</v>
      </c>
      <c r="W816" s="231">
        <f t="shared" ca="1" si="259"/>
        <v>1219.4724945153075</v>
      </c>
      <c r="X816" s="231">
        <f t="shared" ca="1" si="259"/>
        <v>1243.8619444056137</v>
      </c>
      <c r="Y816" s="231">
        <f t="shared" ca="1" si="259"/>
        <v>1268.7391832937258</v>
      </c>
      <c r="Z816" s="231">
        <f t="shared" ca="1" si="259"/>
        <v>1294.1139669596002</v>
      </c>
      <c r="AA816" s="231">
        <f t="shared" ca="1" si="259"/>
        <v>1319.9962462987924</v>
      </c>
      <c r="AB816" s="231">
        <f t="shared" ca="1" si="259"/>
        <v>1066.3478873862832</v>
      </c>
      <c r="AC816" s="231">
        <f t="shared" ca="1" si="259"/>
        <v>807.62656129552397</v>
      </c>
      <c r="AD816" s="231">
        <f t="shared" ca="1" si="259"/>
        <v>776.82059628739728</v>
      </c>
      <c r="AE816" s="231">
        <f t="shared" ca="1" si="259"/>
        <v>745.39851197910809</v>
      </c>
      <c r="AF816" s="231">
        <f t="shared" ca="1" si="259"/>
        <v>470.84137096098561</v>
      </c>
      <c r="AG816" s="231">
        <f t="shared" ca="1" si="259"/>
        <v>470.84137096098561</v>
      </c>
      <c r="AH816" s="231">
        <f t="shared" ca="1" si="259"/>
        <v>470.84137096098561</v>
      </c>
      <c r="AI816" s="231">
        <f t="shared" ca="1" si="259"/>
        <v>237.75158335653782</v>
      </c>
      <c r="AJ816" s="231">
        <f t="shared" ca="1" si="259"/>
        <v>1.0516032489249483E-12</v>
      </c>
      <c r="AK816" s="231">
        <f t="shared" ca="1" si="259"/>
        <v>1.0516032489249483E-12</v>
      </c>
      <c r="AL816" s="231">
        <f t="shared" ca="1" si="259"/>
        <v>1.0516032489249483E-12</v>
      </c>
      <c r="AM816" s="231">
        <f t="shared" ca="1" si="259"/>
        <v>1.0516032489249483E-12</v>
      </c>
      <c r="AN816" s="231">
        <f t="shared" ca="1" si="259"/>
        <v>1.0516032489249483E-12</v>
      </c>
      <c r="AO816" s="231">
        <f t="shared" ca="1" si="259"/>
        <v>0</v>
      </c>
      <c r="AP816" s="231">
        <f t="shared" ca="1" si="259"/>
        <v>0</v>
      </c>
      <c r="AQ816" s="231">
        <f t="shared" ca="1" si="259"/>
        <v>0</v>
      </c>
      <c r="AR816" s="231">
        <f t="shared" ca="1" si="259"/>
        <v>0</v>
      </c>
      <c r="AS816" s="231">
        <f t="shared" ca="1" si="259"/>
        <v>0</v>
      </c>
      <c r="AT816" s="231">
        <f t="shared" ca="1" si="259"/>
        <v>0</v>
      </c>
      <c r="AU816" s="231">
        <f t="shared" ca="1" si="259"/>
        <v>0</v>
      </c>
      <c r="AV816" s="231">
        <f t="shared" ca="1" si="259"/>
        <v>0</v>
      </c>
      <c r="AW816" s="231">
        <f t="shared" ca="1" si="259"/>
        <v>0</v>
      </c>
      <c r="AX816" s="231">
        <f t="shared" ca="1" si="259"/>
        <v>0</v>
      </c>
    </row>
    <row r="817" spans="1:50" ht="15" customHeight="1" x14ac:dyDescent="0.25">
      <c r="A817" s="106"/>
      <c r="B817" s="174"/>
      <c r="C817" s="601"/>
      <c r="D817" s="117"/>
    </row>
    <row r="818" spans="1:50" ht="15" customHeight="1" x14ac:dyDescent="0.25">
      <c r="A818" s="106"/>
      <c r="B818" s="174"/>
      <c r="C818" s="601" t="str">
        <f xml:space="preserve"> Translate!E$339</f>
        <v>Straight-line depreciation charge</v>
      </c>
      <c r="D818" s="117"/>
    </row>
    <row r="819" spans="1:50" ht="15" customHeight="1" x14ac:dyDescent="0.25">
      <c r="A819" s="106"/>
      <c r="B819" s="174"/>
      <c r="C819" s="601"/>
      <c r="D819" s="117"/>
      <c r="E819" s="490" t="str">
        <f xml:space="preserve"> FiscalModel!E$68</f>
        <v>Development costs and replacement capital depreciation</v>
      </c>
      <c r="F819" s="408">
        <f xml:space="preserve"> FiscalModel!F$68</f>
        <v>5</v>
      </c>
      <c r="G819" s="490" t="str">
        <f xml:space="preserve"> FiscalModel!G$68</f>
        <v>Year</v>
      </c>
    </row>
    <row r="820" spans="1:50" s="7" customFormat="1" ht="15" customHeight="1" x14ac:dyDescent="0.25">
      <c r="A820" s="178"/>
      <c r="B820" s="689"/>
      <c r="C820" s="127"/>
      <c r="D820" s="217"/>
      <c r="E820" s="55" t="str">
        <f xml:space="preserve"> Translate!E$339</f>
        <v>Straight-line depreciation charge</v>
      </c>
      <c r="F820" s="64"/>
      <c r="G820" s="55" t="str">
        <f xml:space="preserve"> Translate!E$603</f>
        <v>US$ mn</v>
      </c>
      <c r="H820" s="55"/>
      <c r="I820" s="55">
        <f ca="1" xml:space="preserve"> SUM(K820:AX820)</f>
        <v>8399.7511044325365</v>
      </c>
      <c r="J820" s="55"/>
      <c r="K820" s="55">
        <f ca="1" xml:space="preserve"> IFERROR( K816 / $F819, 0)</f>
        <v>0</v>
      </c>
      <c r="L820" s="55">
        <f t="shared" ref="L820:AX820" ca="1" si="260" xml:space="preserve"> IFERROR( L816 / $F819, 0)</f>
        <v>0</v>
      </c>
      <c r="M820" s="55">
        <f t="shared" ca="1" si="260"/>
        <v>0</v>
      </c>
      <c r="N820" s="55">
        <f t="shared" ca="1" si="260"/>
        <v>0</v>
      </c>
      <c r="O820" s="55">
        <f t="shared" ca="1" si="260"/>
        <v>476.73676657758006</v>
      </c>
      <c r="P820" s="55">
        <f t="shared" ca="1" si="260"/>
        <v>847.70791645278007</v>
      </c>
      <c r="Q820" s="55">
        <f t="shared" ca="1" si="260"/>
        <v>1045.912502243244</v>
      </c>
      <c r="R820" s="55">
        <f t="shared" ca="1" si="260"/>
        <v>1128.6178703139924</v>
      </c>
      <c r="S820" s="55">
        <f t="shared" ca="1" si="260"/>
        <v>1175.4842455540829</v>
      </c>
      <c r="T820" s="55">
        <f t="shared" ca="1" si="260"/>
        <v>746.55118172139532</v>
      </c>
      <c r="U820" s="55">
        <f t="shared" ca="1" si="260"/>
        <v>424.33980864598573</v>
      </c>
      <c r="V820" s="55">
        <f t="shared" ca="1" si="260"/>
        <v>275.8701951913078</v>
      </c>
      <c r="W820" s="55">
        <f t="shared" ca="1" si="260"/>
        <v>243.8944989030615</v>
      </c>
      <c r="X820" s="55">
        <f t="shared" ca="1" si="260"/>
        <v>248.77238888112274</v>
      </c>
      <c r="Y820" s="55">
        <f t="shared" ca="1" si="260"/>
        <v>253.74783665874514</v>
      </c>
      <c r="Z820" s="55">
        <f t="shared" ca="1" si="260"/>
        <v>258.82279339192007</v>
      </c>
      <c r="AA820" s="55">
        <f t="shared" ca="1" si="260"/>
        <v>263.99924925975847</v>
      </c>
      <c r="AB820" s="55">
        <f t="shared" ca="1" si="260"/>
        <v>213.26957747725663</v>
      </c>
      <c r="AC820" s="55">
        <f t="shared" ca="1" si="260"/>
        <v>161.52531225910479</v>
      </c>
      <c r="AD820" s="55">
        <f t="shared" ca="1" si="260"/>
        <v>155.36411925747944</v>
      </c>
      <c r="AE820" s="55">
        <f t="shared" ca="1" si="260"/>
        <v>149.07970239582161</v>
      </c>
      <c r="AF820" s="55">
        <f t="shared" ca="1" si="260"/>
        <v>94.168274192197117</v>
      </c>
      <c r="AG820" s="55">
        <f t="shared" ca="1" si="260"/>
        <v>94.168274192197117</v>
      </c>
      <c r="AH820" s="55">
        <f t="shared" ca="1" si="260"/>
        <v>94.168274192197117</v>
      </c>
      <c r="AI820" s="55">
        <f t="shared" ca="1" si="260"/>
        <v>47.550316671307563</v>
      </c>
      <c r="AJ820" s="55">
        <f t="shared" ca="1" si="260"/>
        <v>2.1032064978498967E-13</v>
      </c>
      <c r="AK820" s="55">
        <f t="shared" ca="1" si="260"/>
        <v>2.1032064978498967E-13</v>
      </c>
      <c r="AL820" s="55">
        <f t="shared" ca="1" si="260"/>
        <v>2.1032064978498967E-13</v>
      </c>
      <c r="AM820" s="55">
        <f t="shared" ca="1" si="260"/>
        <v>2.1032064978498967E-13</v>
      </c>
      <c r="AN820" s="55">
        <f t="shared" ca="1" si="260"/>
        <v>2.1032064978498967E-13</v>
      </c>
      <c r="AO820" s="55">
        <f t="shared" ca="1" si="260"/>
        <v>0</v>
      </c>
      <c r="AP820" s="55">
        <f t="shared" ca="1" si="260"/>
        <v>0</v>
      </c>
      <c r="AQ820" s="55">
        <f t="shared" ca="1" si="260"/>
        <v>0</v>
      </c>
      <c r="AR820" s="55">
        <f t="shared" ca="1" si="260"/>
        <v>0</v>
      </c>
      <c r="AS820" s="55">
        <f t="shared" ca="1" si="260"/>
        <v>0</v>
      </c>
      <c r="AT820" s="55">
        <f t="shared" ca="1" si="260"/>
        <v>0</v>
      </c>
      <c r="AU820" s="55">
        <f t="shared" ca="1" si="260"/>
        <v>0</v>
      </c>
      <c r="AV820" s="55">
        <f t="shared" ca="1" si="260"/>
        <v>0</v>
      </c>
      <c r="AW820" s="55">
        <f t="shared" ca="1" si="260"/>
        <v>0</v>
      </c>
      <c r="AX820" s="55">
        <f t="shared" ca="1" si="260"/>
        <v>0</v>
      </c>
    </row>
    <row r="821" spans="1:50" ht="15" customHeight="1" x14ac:dyDescent="0.25">
      <c r="A821" s="86"/>
      <c r="B821" s="677"/>
      <c r="C821" s="604"/>
      <c r="D821" s="217"/>
      <c r="E821" s="55"/>
      <c r="F821" s="64"/>
      <c r="G821" s="55"/>
      <c r="H821" s="55"/>
      <c r="I821" s="55"/>
      <c r="J821" s="55"/>
      <c r="K821" s="55"/>
      <c r="L821" s="55"/>
      <c r="M821" s="55"/>
      <c r="N821" s="55"/>
      <c r="O821" s="55"/>
      <c r="P821" s="55"/>
      <c r="Q821" s="55"/>
      <c r="R821" s="55"/>
      <c r="S821" s="55"/>
      <c r="T821" s="55"/>
      <c r="U821" s="55"/>
      <c r="V821" s="55"/>
      <c r="W821" s="55"/>
      <c r="X821" s="55"/>
      <c r="Y821" s="55"/>
      <c r="Z821" s="55"/>
      <c r="AA821" s="55"/>
      <c r="AB821" s="55"/>
      <c r="AC821" s="55"/>
      <c r="AD821" s="55"/>
      <c r="AE821" s="55"/>
      <c r="AF821" s="55"/>
      <c r="AG821" s="55"/>
      <c r="AH821" s="55"/>
      <c r="AI821" s="55"/>
      <c r="AJ821" s="55"/>
      <c r="AK821" s="55"/>
      <c r="AL821" s="55"/>
      <c r="AM821" s="55"/>
      <c r="AN821" s="55"/>
      <c r="AO821" s="55"/>
      <c r="AP821" s="55"/>
      <c r="AQ821" s="55"/>
      <c r="AR821" s="55"/>
      <c r="AS821" s="55"/>
      <c r="AT821" s="55"/>
      <c r="AU821" s="55"/>
      <c r="AV821" s="55"/>
      <c r="AW821" s="55"/>
      <c r="AX821" s="55"/>
    </row>
    <row r="822" spans="1:50" ht="15" customHeight="1" x14ac:dyDescent="0.25">
      <c r="A822" s="86"/>
      <c r="B822" s="677"/>
      <c r="C822" s="604" t="str">
        <f>Translate!$E$505</f>
        <v>Determine fully depreciated costs</v>
      </c>
      <c r="D822" s="217"/>
      <c r="E822" s="55"/>
      <c r="F822" s="64"/>
      <c r="G822" s="55"/>
      <c r="H822" s="55"/>
      <c r="I822" s="55"/>
      <c r="J822" s="55"/>
      <c r="K822" s="55"/>
      <c r="L822" s="55"/>
      <c r="M822" s="55"/>
      <c r="N822" s="55"/>
      <c r="O822" s="55"/>
      <c r="P822" s="55"/>
      <c r="Q822" s="55"/>
      <c r="R822" s="55"/>
      <c r="S822" s="55"/>
      <c r="T822" s="55"/>
      <c r="U822" s="55"/>
      <c r="V822" s="55"/>
      <c r="W822" s="55"/>
      <c r="X822" s="55"/>
      <c r="Y822" s="55"/>
      <c r="Z822" s="55"/>
      <c r="AA822" s="55"/>
      <c r="AB822" s="55"/>
      <c r="AC822" s="55"/>
      <c r="AD822" s="55"/>
      <c r="AE822" s="55"/>
      <c r="AF822" s="55"/>
      <c r="AG822" s="55"/>
      <c r="AH822" s="55"/>
      <c r="AI822" s="55"/>
      <c r="AJ822" s="55"/>
      <c r="AK822" s="55"/>
      <c r="AL822" s="55"/>
      <c r="AM822" s="55"/>
      <c r="AN822" s="55"/>
      <c r="AO822" s="55"/>
      <c r="AP822" s="55"/>
      <c r="AQ822" s="55"/>
      <c r="AR822" s="55"/>
      <c r="AS822" s="55"/>
      <c r="AT822" s="55"/>
      <c r="AU822" s="55"/>
      <c r="AV822" s="55"/>
      <c r="AW822" s="55"/>
      <c r="AX822" s="55"/>
    </row>
    <row r="823" spans="1:50" ht="15" customHeight="1" x14ac:dyDescent="0.25">
      <c r="A823" s="86"/>
      <c r="B823" s="677"/>
      <c r="C823" s="604"/>
      <c r="D823" s="217"/>
      <c r="E823" s="490" t="str">
        <f xml:space="preserve"> FiscalModel!E$68</f>
        <v>Development costs and replacement capital depreciation</v>
      </c>
      <c r="F823" s="408">
        <f xml:space="preserve"> FiscalModel!F$68</f>
        <v>5</v>
      </c>
      <c r="G823" s="490" t="str">
        <f xml:space="preserve"> FiscalModel!G$68</f>
        <v>Year</v>
      </c>
      <c r="H823" s="55"/>
      <c r="I823" s="55"/>
      <c r="J823" s="55"/>
      <c r="K823" s="55"/>
      <c r="L823" s="55"/>
      <c r="M823" s="55"/>
      <c r="N823" s="55"/>
      <c r="O823" s="55"/>
      <c r="P823" s="55"/>
      <c r="Q823" s="55"/>
      <c r="R823" s="55"/>
      <c r="S823" s="55"/>
      <c r="T823" s="55"/>
      <c r="U823" s="55"/>
      <c r="V823" s="55"/>
      <c r="W823" s="55"/>
      <c r="X823" s="55"/>
      <c r="Y823" s="55"/>
      <c r="Z823" s="55"/>
      <c r="AA823" s="55"/>
      <c r="AB823" s="55"/>
      <c r="AC823" s="55"/>
      <c r="AD823" s="55"/>
      <c r="AE823" s="55"/>
      <c r="AF823" s="55"/>
      <c r="AG823" s="55"/>
      <c r="AH823" s="55"/>
      <c r="AI823" s="55"/>
      <c r="AJ823" s="55"/>
      <c r="AK823" s="55"/>
      <c r="AL823" s="55"/>
      <c r="AM823" s="55"/>
      <c r="AN823" s="55"/>
      <c r="AO823" s="55"/>
      <c r="AP823" s="55"/>
      <c r="AQ823" s="55"/>
      <c r="AR823" s="55"/>
      <c r="AS823" s="55"/>
      <c r="AT823" s="55"/>
      <c r="AU823" s="55"/>
      <c r="AV823" s="55"/>
      <c r="AW823" s="55"/>
      <c r="AX823" s="55"/>
    </row>
    <row r="824" spans="1:50" ht="15" customHeight="1" x14ac:dyDescent="0.25">
      <c r="A824" s="86"/>
      <c r="B824" s="677"/>
      <c r="C824" s="604"/>
      <c r="D824" s="217"/>
      <c r="E824" s="55" t="str">
        <f t="shared" ref="E824:AX824" si="261" xml:space="preserve"> E$799</f>
        <v>Cumulative depreciation years</v>
      </c>
      <c r="F824" s="64">
        <f t="shared" si="261"/>
        <v>0</v>
      </c>
      <c r="G824" s="55" t="str">
        <f t="shared" si="261"/>
        <v>Year</v>
      </c>
      <c r="H824" s="55">
        <f t="shared" si="261"/>
        <v>0</v>
      </c>
      <c r="I824" s="55">
        <f t="shared" si="261"/>
        <v>0</v>
      </c>
      <c r="J824" s="55">
        <f t="shared" si="261"/>
        <v>0</v>
      </c>
      <c r="K824" s="55">
        <f t="shared" ca="1" si="261"/>
        <v>0</v>
      </c>
      <c r="L824" s="55">
        <f t="shared" ca="1" si="261"/>
        <v>0</v>
      </c>
      <c r="M824" s="55">
        <f t="shared" ca="1" si="261"/>
        <v>0</v>
      </c>
      <c r="N824" s="55">
        <f t="shared" ca="1" si="261"/>
        <v>0</v>
      </c>
      <c r="O824" s="55">
        <f t="shared" ca="1" si="261"/>
        <v>1</v>
      </c>
      <c r="P824" s="55">
        <f t="shared" ca="1" si="261"/>
        <v>2</v>
      </c>
      <c r="Q824" s="55">
        <f t="shared" ca="1" si="261"/>
        <v>3</v>
      </c>
      <c r="R824" s="55">
        <f t="shared" ca="1" si="261"/>
        <v>4</v>
      </c>
      <c r="S824" s="55">
        <f t="shared" ca="1" si="261"/>
        <v>5</v>
      </c>
      <c r="T824" s="55">
        <f t="shared" ca="1" si="261"/>
        <v>6</v>
      </c>
      <c r="U824" s="55">
        <f t="shared" ca="1" si="261"/>
        <v>7</v>
      </c>
      <c r="V824" s="55">
        <f t="shared" ca="1" si="261"/>
        <v>8</v>
      </c>
      <c r="W824" s="55">
        <f t="shared" ca="1" si="261"/>
        <v>9</v>
      </c>
      <c r="X824" s="55">
        <f t="shared" ca="1" si="261"/>
        <v>10</v>
      </c>
      <c r="Y824" s="55">
        <f t="shared" ca="1" si="261"/>
        <v>11</v>
      </c>
      <c r="Z824" s="55">
        <f t="shared" ca="1" si="261"/>
        <v>12</v>
      </c>
      <c r="AA824" s="55">
        <f t="shared" ca="1" si="261"/>
        <v>13</v>
      </c>
      <c r="AB824" s="55">
        <f t="shared" ca="1" si="261"/>
        <v>14</v>
      </c>
      <c r="AC824" s="55">
        <f t="shared" ca="1" si="261"/>
        <v>15</v>
      </c>
      <c r="AD824" s="55">
        <f t="shared" ca="1" si="261"/>
        <v>16</v>
      </c>
      <c r="AE824" s="55">
        <f t="shared" ca="1" si="261"/>
        <v>17</v>
      </c>
      <c r="AF824" s="55">
        <f t="shared" ca="1" si="261"/>
        <v>18</v>
      </c>
      <c r="AG824" s="55">
        <f t="shared" ca="1" si="261"/>
        <v>19</v>
      </c>
      <c r="AH824" s="55">
        <f t="shared" ca="1" si="261"/>
        <v>20</v>
      </c>
      <c r="AI824" s="55">
        <f t="shared" ca="1" si="261"/>
        <v>21</v>
      </c>
      <c r="AJ824" s="55">
        <f t="shared" ca="1" si="261"/>
        <v>22</v>
      </c>
      <c r="AK824" s="55">
        <f t="shared" ca="1" si="261"/>
        <v>23</v>
      </c>
      <c r="AL824" s="55">
        <f t="shared" ca="1" si="261"/>
        <v>24</v>
      </c>
      <c r="AM824" s="55">
        <f t="shared" ca="1" si="261"/>
        <v>25</v>
      </c>
      <c r="AN824" s="55">
        <f t="shared" ca="1" si="261"/>
        <v>26</v>
      </c>
      <c r="AO824" s="55">
        <f t="shared" ca="1" si="261"/>
        <v>27</v>
      </c>
      <c r="AP824" s="55">
        <f t="shared" ca="1" si="261"/>
        <v>27</v>
      </c>
      <c r="AQ824" s="55">
        <f t="shared" ca="1" si="261"/>
        <v>27</v>
      </c>
      <c r="AR824" s="55">
        <f t="shared" ca="1" si="261"/>
        <v>27</v>
      </c>
      <c r="AS824" s="55">
        <f t="shared" ca="1" si="261"/>
        <v>27</v>
      </c>
      <c r="AT824" s="55">
        <f t="shared" ca="1" si="261"/>
        <v>27</v>
      </c>
      <c r="AU824" s="55">
        <f t="shared" ca="1" si="261"/>
        <v>27</v>
      </c>
      <c r="AV824" s="55">
        <f t="shared" ca="1" si="261"/>
        <v>27</v>
      </c>
      <c r="AW824" s="55">
        <f t="shared" ca="1" si="261"/>
        <v>27</v>
      </c>
      <c r="AX824" s="55">
        <f t="shared" ca="1" si="261"/>
        <v>27</v>
      </c>
    </row>
    <row r="825" spans="1:50" ht="15" customHeight="1" x14ac:dyDescent="0.25">
      <c r="A825" s="86"/>
      <c r="B825" s="677"/>
      <c r="C825" s="604"/>
      <c r="D825" s="217"/>
      <c r="E825" s="55" t="str">
        <f xml:space="preserve"> E$802</f>
        <v>Capitalized costs: IOC into depreciation</v>
      </c>
      <c r="F825" s="64">
        <f t="shared" ref="F825:AX825" si="262" xml:space="preserve"> F$802</f>
        <v>0</v>
      </c>
      <c r="G825" s="55" t="str">
        <f t="shared" si="262"/>
        <v>US$ mn</v>
      </c>
      <c r="H825" s="55">
        <f t="shared" si="262"/>
        <v>0</v>
      </c>
      <c r="I825" s="55">
        <f t="shared" ca="1" si="262"/>
        <v>8399.7511044325347</v>
      </c>
      <c r="J825" s="55">
        <f t="shared" si="262"/>
        <v>0</v>
      </c>
      <c r="K825" s="55">
        <f t="shared" ca="1" si="262"/>
        <v>0</v>
      </c>
      <c r="L825" s="55">
        <f t="shared" ca="1" si="262"/>
        <v>0</v>
      </c>
      <c r="M825" s="55">
        <f t="shared" ca="1" si="262"/>
        <v>0</v>
      </c>
      <c r="N825" s="55">
        <f t="shared" ca="1" si="262"/>
        <v>0</v>
      </c>
      <c r="O825" s="55">
        <f t="shared" ca="1" si="262"/>
        <v>2383.6838328879003</v>
      </c>
      <c r="P825" s="55">
        <f t="shared" ca="1" si="262"/>
        <v>1854.8557493759999</v>
      </c>
      <c r="Q825" s="55">
        <f t="shared" ca="1" si="262"/>
        <v>991.02292895232006</v>
      </c>
      <c r="R825" s="55">
        <f t="shared" ca="1" si="262"/>
        <v>413.52684035374079</v>
      </c>
      <c r="S825" s="55">
        <f t="shared" ca="1" si="262"/>
        <v>234.33187620045314</v>
      </c>
      <c r="T825" s="55">
        <f t="shared" ca="1" si="262"/>
        <v>239.01851372446222</v>
      </c>
      <c r="U825" s="55">
        <f t="shared" ca="1" si="262"/>
        <v>243.79888399895148</v>
      </c>
      <c r="V825" s="55">
        <f t="shared" ca="1" si="262"/>
        <v>248.67486167893048</v>
      </c>
      <c r="W825" s="55">
        <f t="shared" ca="1" si="262"/>
        <v>253.64835891250908</v>
      </c>
      <c r="X825" s="55">
        <f t="shared" ca="1" si="262"/>
        <v>258.72132609075925</v>
      </c>
      <c r="Y825" s="55">
        <f t="shared" ca="1" si="262"/>
        <v>263.89575261257448</v>
      </c>
      <c r="Z825" s="55">
        <f t="shared" ca="1" si="262"/>
        <v>269.17366766482598</v>
      </c>
      <c r="AA825" s="55">
        <f t="shared" ca="1" si="262"/>
        <v>274.55714101812248</v>
      </c>
      <c r="AB825" s="55">
        <f t="shared" ca="1" si="262"/>
        <v>0</v>
      </c>
      <c r="AC825" s="55">
        <f t="shared" ca="1" si="262"/>
        <v>0</v>
      </c>
      <c r="AD825" s="55">
        <f t="shared" ca="1" si="262"/>
        <v>233.08978760444779</v>
      </c>
      <c r="AE825" s="55">
        <f t="shared" ca="1" si="262"/>
        <v>237.75158335653677</v>
      </c>
      <c r="AF825" s="55">
        <f t="shared" ca="1" si="262"/>
        <v>0</v>
      </c>
      <c r="AG825" s="55">
        <f t="shared" ca="1" si="262"/>
        <v>0</v>
      </c>
      <c r="AH825" s="55">
        <f t="shared" ca="1" si="262"/>
        <v>0</v>
      </c>
      <c r="AI825" s="55">
        <f t="shared" ca="1" si="262"/>
        <v>0</v>
      </c>
      <c r="AJ825" s="55">
        <f t="shared" ca="1" si="262"/>
        <v>0</v>
      </c>
      <c r="AK825" s="55">
        <f t="shared" ca="1" si="262"/>
        <v>0</v>
      </c>
      <c r="AL825" s="55">
        <f t="shared" ca="1" si="262"/>
        <v>0</v>
      </c>
      <c r="AM825" s="55">
        <f t="shared" ca="1" si="262"/>
        <v>0</v>
      </c>
      <c r="AN825" s="55">
        <f t="shared" ca="1" si="262"/>
        <v>0</v>
      </c>
      <c r="AO825" s="55">
        <f t="shared" ca="1" si="262"/>
        <v>0</v>
      </c>
      <c r="AP825" s="55">
        <f t="shared" ca="1" si="262"/>
        <v>0</v>
      </c>
      <c r="AQ825" s="55">
        <f t="shared" ca="1" si="262"/>
        <v>0</v>
      </c>
      <c r="AR825" s="55">
        <f t="shared" ca="1" si="262"/>
        <v>0</v>
      </c>
      <c r="AS825" s="55">
        <f t="shared" ca="1" si="262"/>
        <v>0</v>
      </c>
      <c r="AT825" s="55">
        <f t="shared" ca="1" si="262"/>
        <v>0</v>
      </c>
      <c r="AU825" s="55">
        <f t="shared" ca="1" si="262"/>
        <v>0</v>
      </c>
      <c r="AV825" s="55">
        <f t="shared" ca="1" si="262"/>
        <v>0</v>
      </c>
      <c r="AW825" s="55">
        <f t="shared" ca="1" si="262"/>
        <v>0</v>
      </c>
      <c r="AX825" s="55">
        <f t="shared" ca="1" si="262"/>
        <v>0</v>
      </c>
    </row>
    <row r="826" spans="1:50" s="7" customFormat="1" ht="15" customHeight="1" x14ac:dyDescent="0.25">
      <c r="A826" s="178"/>
      <c r="B826" s="689"/>
      <c r="C826" s="127"/>
      <c r="D826" s="217"/>
      <c r="E826" s="55" t="str">
        <f xml:space="preserve"> Translate!E$340</f>
        <v>Capitalized costs fully depreciated</v>
      </c>
      <c r="F826" s="64"/>
      <c r="G826" s="55" t="str">
        <f xml:space="preserve"> Translate!E$603</f>
        <v>US$ mn</v>
      </c>
      <c r="H826" s="55"/>
      <c r="I826" s="55">
        <f ca="1" xml:space="preserve"> SUM(K826:AX826)</f>
        <v>8399.7511044325347</v>
      </c>
      <c r="J826" s="55"/>
      <c r="K826" s="55">
        <f ca="1" xml:space="preserve"> SUMIFS($K$825:$AX$825, $K$824:$AX$824, K824 - $F823) * (SUM(K809:$AX809) &gt; 0)</f>
        <v>0</v>
      </c>
      <c r="L826" s="55">
        <f ca="1" xml:space="preserve"> SUMIFS($K$825:$AX$825, $K$824:$AX$824, L824 - $F823) * (SUM(L809:$AX809) &gt; 0)</f>
        <v>0</v>
      </c>
      <c r="M826" s="55">
        <f ca="1" xml:space="preserve"> SUMIFS($K$825:$AX$825, $K$824:$AX$824, M824 - $F823) * (SUM(M809:$AX809) &gt; 0)</f>
        <v>0</v>
      </c>
      <c r="N826" s="55">
        <f ca="1" xml:space="preserve"> SUMIFS($K$825:$AX$825, $K$824:$AX$824, N824 - $F823) * (SUM(N809:$AX809) &gt; 0)</f>
        <v>0</v>
      </c>
      <c r="O826" s="55">
        <f ca="1" xml:space="preserve"> SUMIFS($K$825:$AX$825, $K$824:$AX$824, O824 - $F823) * (SUM(O809:$AX809) &gt; 0)</f>
        <v>0</v>
      </c>
      <c r="P826" s="55">
        <f ca="1" xml:space="preserve"> SUMIFS($K$825:$AX$825, $K$824:$AX$824, P824 - $F823) * (SUM(P809:$AX809) &gt; 0)</f>
        <v>0</v>
      </c>
      <c r="Q826" s="55">
        <f ca="1" xml:space="preserve"> SUMIFS($K$825:$AX$825, $K$824:$AX$824, Q824 - $F823) * (SUM(Q809:$AX809) &gt; 0)</f>
        <v>0</v>
      </c>
      <c r="R826" s="55">
        <f ca="1" xml:space="preserve"> SUMIFS($K$825:$AX$825, $K$824:$AX$824, R824 - $F823) * (SUM(R809:$AX809) &gt; 0)</f>
        <v>0</v>
      </c>
      <c r="S826" s="55">
        <f ca="1" xml:space="preserve"> SUMIFS($K$825:$AX$825, $K$824:$AX$824, S824 - $F823) * (SUM(S809:$AX809) &gt; 0)</f>
        <v>0</v>
      </c>
      <c r="T826" s="55">
        <f ca="1" xml:space="preserve"> SUMIFS($K$825:$AX$825, $K$824:$AX$824, T824 - $F823) * (SUM(T809:$AX809) &gt; 0)</f>
        <v>2383.6838328879003</v>
      </c>
      <c r="U826" s="55">
        <f ca="1" xml:space="preserve"> SUMIFS($K$825:$AX$825, $K$824:$AX$824, U824 - $F823) * (SUM(U809:$AX809) &gt; 0)</f>
        <v>1854.8557493759999</v>
      </c>
      <c r="V826" s="55">
        <f ca="1" xml:space="preserve"> SUMIFS($K$825:$AX$825, $K$824:$AX$824, V824 - $F823) * (SUM(V809:$AX809) &gt; 0)</f>
        <v>991.02292895232006</v>
      </c>
      <c r="W826" s="55">
        <f ca="1" xml:space="preserve"> SUMIFS($K$825:$AX$825, $K$824:$AX$824, W824 - $F823) * (SUM(W809:$AX809) &gt; 0)</f>
        <v>413.52684035374079</v>
      </c>
      <c r="X826" s="55">
        <f ca="1" xml:space="preserve"> SUMIFS($K$825:$AX$825, $K$824:$AX$824, X824 - $F823) * (SUM(X809:$AX809) &gt; 0)</f>
        <v>234.33187620045314</v>
      </c>
      <c r="Y826" s="55">
        <f ca="1" xml:space="preserve"> SUMIFS($K$825:$AX$825, $K$824:$AX$824, Y824 - $F823) * (SUM(Y809:$AX809) &gt; 0)</f>
        <v>239.01851372446222</v>
      </c>
      <c r="Z826" s="55">
        <f ca="1" xml:space="preserve"> SUMIFS($K$825:$AX$825, $K$824:$AX$824, Z824 - $F823) * (SUM(Z809:$AX809) &gt; 0)</f>
        <v>243.79888399895148</v>
      </c>
      <c r="AA826" s="55">
        <f ca="1" xml:space="preserve"> SUMIFS($K$825:$AX$825, $K$824:$AX$824, AA824 - $F823) * (SUM(AA809:$AX809) &gt; 0)</f>
        <v>248.67486167893048</v>
      </c>
      <c r="AB826" s="55">
        <f ca="1" xml:space="preserve"> SUMIFS($K$825:$AX$825, $K$824:$AX$824, AB824 - $F823) * (SUM(AB809:$AX809) &gt; 0)</f>
        <v>253.64835891250908</v>
      </c>
      <c r="AC826" s="55">
        <f ca="1" xml:space="preserve"> SUMIFS($K$825:$AX$825, $K$824:$AX$824, AC824 - $F823) * (SUM(AC809:$AX809) &gt; 0)</f>
        <v>258.72132609075925</v>
      </c>
      <c r="AD826" s="55">
        <f ca="1" xml:space="preserve"> SUMIFS($K$825:$AX$825, $K$824:$AX$824, AD824 - $F823) * (SUM(AD809:$AX809) &gt; 0)</f>
        <v>263.89575261257448</v>
      </c>
      <c r="AE826" s="55">
        <f ca="1" xml:space="preserve"> SUMIFS($K$825:$AX$825, $K$824:$AX$824, AE824 - $F823) * (SUM(AE809:$AX809) &gt; 0)</f>
        <v>269.17366766482598</v>
      </c>
      <c r="AF826" s="55">
        <f ca="1" xml:space="preserve"> SUMIFS($K$825:$AX$825, $K$824:$AX$824, AF824 - $F823) * (SUM(AF809:$AX809) &gt; 0)</f>
        <v>274.55714101812248</v>
      </c>
      <c r="AG826" s="55">
        <f ca="1" xml:space="preserve"> SUMIFS($K$825:$AX$825, $K$824:$AX$824, AG824 - $F823) * (SUM(AG809:$AX809) &gt; 0)</f>
        <v>0</v>
      </c>
      <c r="AH826" s="55">
        <f ca="1" xml:space="preserve"> SUMIFS($K$825:$AX$825, $K$824:$AX$824, AH824 - $F823) * (SUM(AH809:$AX809) &gt; 0)</f>
        <v>0</v>
      </c>
      <c r="AI826" s="55">
        <f ca="1" xml:space="preserve"> SUMIFS($K$825:$AX$825, $K$824:$AX$824, AI824 - $F823) * (SUM(AI809:$AX809) &gt; 0)</f>
        <v>233.08978760444779</v>
      </c>
      <c r="AJ826" s="55">
        <f ca="1" xml:space="preserve"> SUMIFS($K$825:$AX$825, $K$824:$AX$824, AJ824 - $F823) * (SUM(AJ809:$AX809) &gt; 0)</f>
        <v>237.75158335653677</v>
      </c>
      <c r="AK826" s="55">
        <f ca="1" xml:space="preserve"> SUMIFS($K$825:$AX$825, $K$824:$AX$824, AK824 - $F823) * (SUM(AK809:$AX809) &gt; 0)</f>
        <v>0</v>
      </c>
      <c r="AL826" s="55">
        <f ca="1" xml:space="preserve"> SUMIFS($K$825:$AX$825, $K$824:$AX$824, AL824 - $F823) * (SUM(AL809:$AX809) &gt; 0)</f>
        <v>0</v>
      </c>
      <c r="AM826" s="55">
        <f ca="1" xml:space="preserve"> SUMIFS($K$825:$AX$825, $K$824:$AX$824, AM824 - $F823) * (SUM(AM809:$AX809) &gt; 0)</f>
        <v>0</v>
      </c>
      <c r="AN826" s="55">
        <f ca="1" xml:space="preserve"> SUMIFS($K$825:$AX$825, $K$824:$AX$824, AN824 - $F823) * (SUM(AN809:$AX809) &gt; 0)</f>
        <v>0</v>
      </c>
      <c r="AO826" s="55">
        <f ca="1" xml:space="preserve"> SUMIFS($K$825:$AX$825, $K$824:$AX$824, AO824 - $F823) * (SUM(AO809:$AX809) &gt; 0)</f>
        <v>0</v>
      </c>
      <c r="AP826" s="55">
        <f ca="1" xml:space="preserve"> SUMIFS($K$825:$AX$825, $K$824:$AX$824, AP824 - $F823) * (SUM(AP809:$AX809) &gt; 0)</f>
        <v>0</v>
      </c>
      <c r="AQ826" s="55">
        <f ca="1" xml:space="preserve"> SUMIFS($K$825:$AX$825, $K$824:$AX$824, AQ824 - $F823) * (SUM(AQ809:$AX809) &gt; 0)</f>
        <v>0</v>
      </c>
      <c r="AR826" s="55">
        <f ca="1" xml:space="preserve"> SUMIFS($K$825:$AX$825, $K$824:$AX$824, AR824 - $F823) * (SUM(AR809:$AX809) &gt; 0)</f>
        <v>0</v>
      </c>
      <c r="AS826" s="55">
        <f ca="1" xml:space="preserve"> SUMIFS($K$825:$AX$825, $K$824:$AX$824, AS824 - $F823) * (SUM(AS809:$AX809) &gt; 0)</f>
        <v>0</v>
      </c>
      <c r="AT826" s="55">
        <f ca="1" xml:space="preserve"> SUMIFS($K$825:$AX$825, $K$824:$AX$824, AT824 - $F823) * (SUM(AT809:$AX809) &gt; 0)</f>
        <v>0</v>
      </c>
      <c r="AU826" s="55">
        <f ca="1" xml:space="preserve"> SUMIFS($K$825:$AX$825, $K$824:$AX$824, AU824 - $F823) * (SUM(AU809:$AX809) &gt; 0)</f>
        <v>0</v>
      </c>
      <c r="AV826" s="55">
        <f ca="1" xml:space="preserve"> SUMIFS($K$825:$AX$825, $K$824:$AX$824, AV824 - $F823) * (SUM(AV809:$AX809) &gt; 0)</f>
        <v>0</v>
      </c>
      <c r="AW826" s="55">
        <f ca="1" xml:space="preserve"> SUMIFS($K$825:$AX$825, $K$824:$AX$824, AW824 - $F823) * (SUM(AW809:$AX809) &gt; 0)</f>
        <v>0</v>
      </c>
      <c r="AX826" s="55">
        <f ca="1" xml:space="preserve"> SUMIFS($K$825:$AX$825, $K$824:$AX$824, AX824 - $F823) * (SUM(AX809:$AX809) &gt; 0)</f>
        <v>0</v>
      </c>
    </row>
    <row r="827" spans="1:50" ht="15" customHeight="1" x14ac:dyDescent="0.25">
      <c r="A827" s="86"/>
      <c r="B827" s="677"/>
      <c r="C827" s="604"/>
      <c r="D827" s="217"/>
      <c r="E827" s="55"/>
      <c r="F827" s="64"/>
      <c r="G827" s="55"/>
      <c r="H827" s="55"/>
      <c r="I827" s="55"/>
      <c r="J827" s="55"/>
      <c r="K827" s="55"/>
      <c r="L827" s="55"/>
      <c r="M827" s="55"/>
      <c r="N827" s="55"/>
      <c r="O827" s="55"/>
      <c r="P827" s="55"/>
      <c r="Q827" s="55"/>
      <c r="R827" s="55"/>
      <c r="S827" s="55"/>
      <c r="T827" s="55"/>
      <c r="U827" s="55"/>
      <c r="V827" s="55"/>
      <c r="W827" s="55"/>
      <c r="X827" s="55"/>
      <c r="Y827" s="55"/>
      <c r="Z827" s="55"/>
      <c r="AA827" s="55"/>
      <c r="AB827" s="55"/>
      <c r="AC827" s="55"/>
      <c r="AD827" s="55"/>
      <c r="AE827" s="55"/>
      <c r="AF827" s="55"/>
      <c r="AG827" s="55"/>
      <c r="AH827" s="55"/>
      <c r="AI827" s="55"/>
      <c r="AJ827" s="55"/>
      <c r="AK827" s="55"/>
      <c r="AL827" s="55"/>
      <c r="AM827" s="55"/>
      <c r="AN827" s="55"/>
      <c r="AO827" s="55"/>
      <c r="AP827" s="55"/>
      <c r="AQ827" s="55"/>
      <c r="AR827" s="55"/>
      <c r="AS827" s="55"/>
      <c r="AT827" s="55"/>
      <c r="AU827" s="55"/>
      <c r="AV827" s="55"/>
      <c r="AW827" s="55"/>
      <c r="AX827" s="55"/>
    </row>
    <row r="828" spans="1:50" ht="15" customHeight="1" x14ac:dyDescent="0.25">
      <c r="A828" s="86"/>
      <c r="B828" s="677"/>
      <c r="C828" s="604" t="str">
        <f>Translate!$E$506</f>
        <v>Balance of undepreciated assets</v>
      </c>
      <c r="D828" s="217"/>
      <c r="E828" s="55"/>
      <c r="F828" s="64"/>
      <c r="G828" s="55"/>
      <c r="H828" s="55"/>
      <c r="I828" s="55"/>
      <c r="J828" s="55"/>
      <c r="K828" s="55"/>
      <c r="L828" s="55"/>
      <c r="M828" s="55"/>
      <c r="N828" s="55"/>
      <c r="O828" s="55"/>
      <c r="P828" s="55"/>
      <c r="Q828" s="55"/>
      <c r="R828" s="55"/>
      <c r="S828" s="55"/>
      <c r="T828" s="55"/>
      <c r="U828" s="55"/>
      <c r="V828" s="55"/>
      <c r="W828" s="55"/>
      <c r="X828" s="55"/>
      <c r="Y828" s="55"/>
      <c r="Z828" s="55"/>
      <c r="AA828" s="55"/>
      <c r="AB828" s="55"/>
      <c r="AC828" s="55"/>
      <c r="AD828" s="55"/>
      <c r="AE828" s="55"/>
      <c r="AF828" s="55"/>
      <c r="AG828" s="55"/>
      <c r="AH828" s="55"/>
      <c r="AI828" s="55"/>
      <c r="AJ828" s="55"/>
      <c r="AK828" s="55"/>
      <c r="AL828" s="55"/>
      <c r="AM828" s="55"/>
      <c r="AN828" s="55"/>
      <c r="AO828" s="55"/>
      <c r="AP828" s="55"/>
      <c r="AQ828" s="55"/>
      <c r="AR828" s="55"/>
      <c r="AS828" s="55"/>
      <c r="AT828" s="55"/>
      <c r="AU828" s="55"/>
      <c r="AV828" s="55"/>
      <c r="AW828" s="55"/>
      <c r="AX828" s="55"/>
    </row>
    <row r="829" spans="1:50" s="412" customFormat="1" ht="15" customHeight="1" x14ac:dyDescent="0.25">
      <c r="A829" s="420"/>
      <c r="B829" s="677"/>
      <c r="C829" s="627"/>
      <c r="D829" s="414"/>
      <c r="E829" s="411" t="str">
        <f t="shared" ref="E829:AX829" si="263" xml:space="preserve"> E$800</f>
        <v>Remaining depreciation years</v>
      </c>
      <c r="F829" s="410">
        <f t="shared" si="263"/>
        <v>0</v>
      </c>
      <c r="G829" s="411" t="str">
        <f t="shared" si="263"/>
        <v>Year</v>
      </c>
      <c r="H829" s="411">
        <f t="shared" si="263"/>
        <v>0</v>
      </c>
      <c r="I829" s="411">
        <f t="shared" si="263"/>
        <v>0</v>
      </c>
      <c r="J829" s="411">
        <f t="shared" si="263"/>
        <v>0</v>
      </c>
      <c r="K829" s="411">
        <f t="shared" ca="1" si="263"/>
        <v>0</v>
      </c>
      <c r="L829" s="411">
        <f t="shared" ca="1" si="263"/>
        <v>0</v>
      </c>
      <c r="M829" s="411">
        <f t="shared" ca="1" si="263"/>
        <v>0</v>
      </c>
      <c r="N829" s="411">
        <f t="shared" ca="1" si="263"/>
        <v>0</v>
      </c>
      <c r="O829" s="411">
        <f t="shared" ca="1" si="263"/>
        <v>27</v>
      </c>
      <c r="P829" s="411">
        <f t="shared" ca="1" si="263"/>
        <v>26</v>
      </c>
      <c r="Q829" s="411">
        <f t="shared" ca="1" si="263"/>
        <v>25</v>
      </c>
      <c r="R829" s="411">
        <f t="shared" ca="1" si="263"/>
        <v>24</v>
      </c>
      <c r="S829" s="411">
        <f t="shared" ca="1" si="263"/>
        <v>23</v>
      </c>
      <c r="T829" s="411">
        <f t="shared" ca="1" si="263"/>
        <v>22</v>
      </c>
      <c r="U829" s="411">
        <f t="shared" ca="1" si="263"/>
        <v>21</v>
      </c>
      <c r="V829" s="411">
        <f t="shared" ca="1" si="263"/>
        <v>20</v>
      </c>
      <c r="W829" s="411">
        <f t="shared" ca="1" si="263"/>
        <v>19</v>
      </c>
      <c r="X829" s="411">
        <f t="shared" ca="1" si="263"/>
        <v>18</v>
      </c>
      <c r="Y829" s="411">
        <f t="shared" ca="1" si="263"/>
        <v>17</v>
      </c>
      <c r="Z829" s="411">
        <f t="shared" ca="1" si="263"/>
        <v>16</v>
      </c>
      <c r="AA829" s="411">
        <f t="shared" ca="1" si="263"/>
        <v>15</v>
      </c>
      <c r="AB829" s="411">
        <f t="shared" ca="1" si="263"/>
        <v>14</v>
      </c>
      <c r="AC829" s="411">
        <f t="shared" ca="1" si="263"/>
        <v>13</v>
      </c>
      <c r="AD829" s="411">
        <f t="shared" ca="1" si="263"/>
        <v>12</v>
      </c>
      <c r="AE829" s="411">
        <f t="shared" ca="1" si="263"/>
        <v>11</v>
      </c>
      <c r="AF829" s="411">
        <f t="shared" ca="1" si="263"/>
        <v>10</v>
      </c>
      <c r="AG829" s="411">
        <f t="shared" ca="1" si="263"/>
        <v>9</v>
      </c>
      <c r="AH829" s="411">
        <f t="shared" ca="1" si="263"/>
        <v>8</v>
      </c>
      <c r="AI829" s="411">
        <f t="shared" ca="1" si="263"/>
        <v>7</v>
      </c>
      <c r="AJ829" s="411">
        <f t="shared" ca="1" si="263"/>
        <v>6</v>
      </c>
      <c r="AK829" s="411">
        <f t="shared" ca="1" si="263"/>
        <v>5</v>
      </c>
      <c r="AL829" s="411">
        <f t="shared" ca="1" si="263"/>
        <v>4</v>
      </c>
      <c r="AM829" s="411">
        <f t="shared" ca="1" si="263"/>
        <v>3</v>
      </c>
      <c r="AN829" s="411">
        <f t="shared" ca="1" si="263"/>
        <v>2</v>
      </c>
      <c r="AO829" s="411">
        <f t="shared" ca="1" si="263"/>
        <v>1</v>
      </c>
      <c r="AP829" s="411">
        <f t="shared" ca="1" si="263"/>
        <v>0</v>
      </c>
      <c r="AQ829" s="411">
        <f t="shared" ca="1" si="263"/>
        <v>0</v>
      </c>
      <c r="AR829" s="411">
        <f t="shared" ca="1" si="263"/>
        <v>0</v>
      </c>
      <c r="AS829" s="411">
        <f t="shared" ca="1" si="263"/>
        <v>0</v>
      </c>
      <c r="AT829" s="411">
        <f t="shared" ca="1" si="263"/>
        <v>0</v>
      </c>
      <c r="AU829" s="411">
        <f t="shared" ca="1" si="263"/>
        <v>0</v>
      </c>
      <c r="AV829" s="411">
        <f t="shared" ca="1" si="263"/>
        <v>0</v>
      </c>
      <c r="AW829" s="411">
        <f t="shared" ca="1" si="263"/>
        <v>0</v>
      </c>
      <c r="AX829" s="411">
        <f t="shared" ca="1" si="263"/>
        <v>0</v>
      </c>
    </row>
    <row r="830" spans="1:50" ht="15" customHeight="1" x14ac:dyDescent="0.25">
      <c r="A830" s="277"/>
      <c r="B830" s="690"/>
      <c r="C830" s="651"/>
      <c r="D830" s="278"/>
      <c r="E830" s="223" t="str">
        <f xml:space="preserve"> Translate!E$341 &amp; ": " &amp; Translate!E$334</f>
        <v>Balance of capitalized costs: BEG</v>
      </c>
      <c r="F830" s="224"/>
      <c r="G830" s="223" t="str">
        <f xml:space="preserve"> Translate!E$603</f>
        <v>US$ mn</v>
      </c>
      <c r="H830" s="223"/>
      <c r="I830" s="223"/>
      <c r="J830" s="223"/>
      <c r="K830" s="223">
        <f t="shared" ref="K830:AX830" si="264" xml:space="preserve"> J834</f>
        <v>0</v>
      </c>
      <c r="L830" s="223">
        <f t="shared" ca="1" si="264"/>
        <v>0</v>
      </c>
      <c r="M830" s="223">
        <f t="shared" ca="1" si="264"/>
        <v>41.522568</v>
      </c>
      <c r="N830" s="223">
        <f t="shared" ca="1" si="264"/>
        <v>297.1223821008</v>
      </c>
      <c r="O830" s="223">
        <f t="shared" ca="1" si="264"/>
        <v>1344.5489592879003</v>
      </c>
      <c r="P830" s="223">
        <f t="shared" ca="1" si="264"/>
        <v>1906.9470663103202</v>
      </c>
      <c r="Q830" s="223">
        <f t="shared" ca="1" si="264"/>
        <v>2914.0948992335402</v>
      </c>
      <c r="R830" s="223">
        <f t="shared" ca="1" si="264"/>
        <v>2859.2053259426161</v>
      </c>
      <c r="S830" s="223">
        <f t="shared" ca="1" si="264"/>
        <v>2144.1142959823646</v>
      </c>
      <c r="T830" s="223">
        <f t="shared" ca="1" si="264"/>
        <v>1202.961926628735</v>
      </c>
      <c r="U830" s="223">
        <f t="shared" ca="1" si="264"/>
        <v>695.42925863180199</v>
      </c>
      <c r="V830" s="223">
        <f t="shared" ca="1" si="264"/>
        <v>514.88833398476777</v>
      </c>
      <c r="W830" s="223">
        <f t="shared" ca="1" si="264"/>
        <v>487.69300047239045</v>
      </c>
      <c r="X830" s="223">
        <f t="shared" ca="1" si="264"/>
        <v>497.44686048183803</v>
      </c>
      <c r="Y830" s="223">
        <f t="shared" ca="1" si="264"/>
        <v>507.39579769147451</v>
      </c>
      <c r="Z830" s="223">
        <f t="shared" ca="1" si="264"/>
        <v>517.5437136453038</v>
      </c>
      <c r="AA830" s="223">
        <f t="shared" ca="1" si="264"/>
        <v>527.89458791820971</v>
      </c>
      <c r="AB830" s="223">
        <f t="shared" ca="1" si="264"/>
        <v>538.45247967657372</v>
      </c>
      <c r="AC830" s="223">
        <f t="shared" ca="1" si="264"/>
        <v>325.18290219931708</v>
      </c>
      <c r="AD830" s="223">
        <f t="shared" ca="1" si="264"/>
        <v>163.65758994021229</v>
      </c>
      <c r="AE830" s="223">
        <f t="shared" ca="1" si="264"/>
        <v>241.38325828718064</v>
      </c>
      <c r="AF830" s="223">
        <f t="shared" ca="1" si="264"/>
        <v>330.0551392478958</v>
      </c>
      <c r="AG830" s="223">
        <f t="shared" ca="1" si="264"/>
        <v>235.88686505569868</v>
      </c>
      <c r="AH830" s="223">
        <f t="shared" ca="1" si="264"/>
        <v>141.71859086350156</v>
      </c>
      <c r="AI830" s="223">
        <f t="shared" ca="1" si="264"/>
        <v>47.550316671304444</v>
      </c>
      <c r="AJ830" s="223">
        <f t="shared" ca="1" si="264"/>
        <v>-3.1192826099868398E-12</v>
      </c>
      <c r="AK830" s="223">
        <f t="shared" ca="1" si="264"/>
        <v>-3.3296032597718296E-12</v>
      </c>
      <c r="AL830" s="223">
        <f t="shared" ca="1" si="264"/>
        <v>-3.5399239095568194E-12</v>
      </c>
      <c r="AM830" s="223">
        <f t="shared" ca="1" si="264"/>
        <v>-3.7502445593418093E-12</v>
      </c>
      <c r="AN830" s="223">
        <f t="shared" ca="1" si="264"/>
        <v>-3.9605652091267991E-12</v>
      </c>
      <c r="AO830" s="223">
        <f t="shared" ca="1" si="264"/>
        <v>-4.1708858589117889E-12</v>
      </c>
      <c r="AP830" s="223">
        <f t="shared" ca="1" si="264"/>
        <v>0</v>
      </c>
      <c r="AQ830" s="223">
        <f t="shared" ca="1" si="264"/>
        <v>0</v>
      </c>
      <c r="AR830" s="223">
        <f t="shared" ca="1" si="264"/>
        <v>0</v>
      </c>
      <c r="AS830" s="223">
        <f t="shared" ca="1" si="264"/>
        <v>0</v>
      </c>
      <c r="AT830" s="223">
        <f t="shared" ca="1" si="264"/>
        <v>0</v>
      </c>
      <c r="AU830" s="223">
        <f t="shared" ca="1" si="264"/>
        <v>0</v>
      </c>
      <c r="AV830" s="223">
        <f t="shared" ca="1" si="264"/>
        <v>0</v>
      </c>
      <c r="AW830" s="223">
        <f t="shared" ca="1" si="264"/>
        <v>0</v>
      </c>
      <c r="AX830" s="223">
        <f t="shared" ca="1" si="264"/>
        <v>0</v>
      </c>
    </row>
    <row r="831" spans="1:50" ht="15" customHeight="1" x14ac:dyDescent="0.25">
      <c r="A831" s="178"/>
      <c r="B831" s="689"/>
      <c r="C831" s="127"/>
      <c r="D831" s="217" t="str">
        <f>Translate!E529</f>
        <v>add</v>
      </c>
      <c r="E831" s="55" t="str">
        <f xml:space="preserve"> E$781</f>
        <v>Capitalized costs: IOC</v>
      </c>
      <c r="F831" s="64">
        <f t="shared" ref="F831:AX831" si="265" xml:space="preserve"> F$781</f>
        <v>0</v>
      </c>
      <c r="G831" s="55" t="str">
        <f t="shared" si="265"/>
        <v>US$ mn</v>
      </c>
      <c r="H831" s="55">
        <f t="shared" si="265"/>
        <v>0</v>
      </c>
      <c r="I831" s="55">
        <f t="shared" ca="1" si="265"/>
        <v>8399.7511044325347</v>
      </c>
      <c r="J831" s="55">
        <f t="shared" si="265"/>
        <v>0</v>
      </c>
      <c r="K831" s="55">
        <f t="shared" ca="1" si="265"/>
        <v>0</v>
      </c>
      <c r="L831" s="55">
        <f t="shared" ca="1" si="265"/>
        <v>41.522568</v>
      </c>
      <c r="M831" s="55">
        <f t="shared" ca="1" si="265"/>
        <v>255.59981410079999</v>
      </c>
      <c r="N831" s="55">
        <f t="shared" ca="1" si="265"/>
        <v>1047.4265771871003</v>
      </c>
      <c r="O831" s="55">
        <f t="shared" ca="1" si="265"/>
        <v>1039.1348736</v>
      </c>
      <c r="P831" s="55">
        <f t="shared" ca="1" si="265"/>
        <v>1854.8557493759999</v>
      </c>
      <c r="Q831" s="55">
        <f t="shared" ca="1" si="265"/>
        <v>991.02292895232006</v>
      </c>
      <c r="R831" s="55">
        <f t="shared" ca="1" si="265"/>
        <v>413.52684035374079</v>
      </c>
      <c r="S831" s="55">
        <f t="shared" ca="1" si="265"/>
        <v>234.33187620045314</v>
      </c>
      <c r="T831" s="55">
        <f t="shared" ca="1" si="265"/>
        <v>239.01851372446222</v>
      </c>
      <c r="U831" s="55">
        <f t="shared" ca="1" si="265"/>
        <v>243.79888399895148</v>
      </c>
      <c r="V831" s="55">
        <f t="shared" ca="1" si="265"/>
        <v>248.67486167893048</v>
      </c>
      <c r="W831" s="55">
        <f t="shared" ca="1" si="265"/>
        <v>253.64835891250908</v>
      </c>
      <c r="X831" s="55">
        <f t="shared" ca="1" si="265"/>
        <v>258.72132609075925</v>
      </c>
      <c r="Y831" s="55">
        <f t="shared" ca="1" si="265"/>
        <v>263.89575261257448</v>
      </c>
      <c r="Z831" s="55">
        <f t="shared" ca="1" si="265"/>
        <v>269.17366766482598</v>
      </c>
      <c r="AA831" s="55">
        <f t="shared" ca="1" si="265"/>
        <v>274.55714101812248</v>
      </c>
      <c r="AB831" s="55">
        <f t="shared" ca="1" si="265"/>
        <v>0</v>
      </c>
      <c r="AC831" s="55">
        <f t="shared" ca="1" si="265"/>
        <v>0</v>
      </c>
      <c r="AD831" s="55">
        <f t="shared" ca="1" si="265"/>
        <v>233.08978760444779</v>
      </c>
      <c r="AE831" s="55">
        <f t="shared" ca="1" si="265"/>
        <v>237.75158335653677</v>
      </c>
      <c r="AF831" s="55">
        <f t="shared" ca="1" si="265"/>
        <v>0</v>
      </c>
      <c r="AG831" s="55">
        <f t="shared" ca="1" si="265"/>
        <v>0</v>
      </c>
      <c r="AH831" s="55">
        <f t="shared" ca="1" si="265"/>
        <v>0</v>
      </c>
      <c r="AI831" s="55">
        <f t="shared" ca="1" si="265"/>
        <v>0</v>
      </c>
      <c r="AJ831" s="55">
        <f t="shared" ca="1" si="265"/>
        <v>0</v>
      </c>
      <c r="AK831" s="55">
        <f t="shared" ca="1" si="265"/>
        <v>0</v>
      </c>
      <c r="AL831" s="55">
        <f t="shared" ca="1" si="265"/>
        <v>0</v>
      </c>
      <c r="AM831" s="55">
        <f t="shared" ca="1" si="265"/>
        <v>0</v>
      </c>
      <c r="AN831" s="55">
        <f t="shared" ca="1" si="265"/>
        <v>0</v>
      </c>
      <c r="AO831" s="55">
        <f t="shared" ca="1" si="265"/>
        <v>0</v>
      </c>
      <c r="AP831" s="55">
        <f t="shared" ca="1" si="265"/>
        <v>0</v>
      </c>
      <c r="AQ831" s="55">
        <f t="shared" ca="1" si="265"/>
        <v>0</v>
      </c>
      <c r="AR831" s="55">
        <f t="shared" ca="1" si="265"/>
        <v>0</v>
      </c>
      <c r="AS831" s="55">
        <f t="shared" ca="1" si="265"/>
        <v>0</v>
      </c>
      <c r="AT831" s="55">
        <f t="shared" ca="1" si="265"/>
        <v>0</v>
      </c>
      <c r="AU831" s="55">
        <f t="shared" ca="1" si="265"/>
        <v>0</v>
      </c>
      <c r="AV831" s="55">
        <f t="shared" ca="1" si="265"/>
        <v>0</v>
      </c>
      <c r="AW831" s="55">
        <f t="shared" ca="1" si="265"/>
        <v>0</v>
      </c>
      <c r="AX831" s="55">
        <f t="shared" ca="1" si="265"/>
        <v>0</v>
      </c>
    </row>
    <row r="832" spans="1:50" ht="15" customHeight="1" x14ac:dyDescent="0.25">
      <c r="A832" s="178"/>
      <c r="B832" s="689"/>
      <c r="C832" s="127"/>
      <c r="D832" s="217" t="str">
        <f>Translate!E530</f>
        <v>less</v>
      </c>
      <c r="E832" s="55" t="str">
        <f t="shared" ref="E832:AX832" si="266" xml:space="preserve"> E$820</f>
        <v>Straight-line depreciation charge</v>
      </c>
      <c r="F832" s="64">
        <f t="shared" si="266"/>
        <v>0</v>
      </c>
      <c r="G832" s="55" t="str">
        <f t="shared" si="266"/>
        <v>US$ mn</v>
      </c>
      <c r="H832" s="55">
        <f t="shared" si="266"/>
        <v>0</v>
      </c>
      <c r="I832" s="55">
        <f t="shared" ca="1" si="266"/>
        <v>8399.7511044325365</v>
      </c>
      <c r="J832" s="55">
        <f t="shared" si="266"/>
        <v>0</v>
      </c>
      <c r="K832" s="55">
        <f t="shared" ca="1" si="266"/>
        <v>0</v>
      </c>
      <c r="L832" s="55">
        <f t="shared" ca="1" si="266"/>
        <v>0</v>
      </c>
      <c r="M832" s="55">
        <f t="shared" ca="1" si="266"/>
        <v>0</v>
      </c>
      <c r="N832" s="55">
        <f t="shared" ca="1" si="266"/>
        <v>0</v>
      </c>
      <c r="O832" s="55">
        <f t="shared" ca="1" si="266"/>
        <v>476.73676657758006</v>
      </c>
      <c r="P832" s="55">
        <f t="shared" ca="1" si="266"/>
        <v>847.70791645278007</v>
      </c>
      <c r="Q832" s="55">
        <f t="shared" ca="1" si="266"/>
        <v>1045.912502243244</v>
      </c>
      <c r="R832" s="55">
        <f t="shared" ca="1" si="266"/>
        <v>1128.6178703139924</v>
      </c>
      <c r="S832" s="55">
        <f t="shared" ca="1" si="266"/>
        <v>1175.4842455540829</v>
      </c>
      <c r="T832" s="55">
        <f t="shared" ca="1" si="266"/>
        <v>746.55118172139532</v>
      </c>
      <c r="U832" s="55">
        <f t="shared" ca="1" si="266"/>
        <v>424.33980864598573</v>
      </c>
      <c r="V832" s="55">
        <f t="shared" ca="1" si="266"/>
        <v>275.8701951913078</v>
      </c>
      <c r="W832" s="55">
        <f t="shared" ca="1" si="266"/>
        <v>243.8944989030615</v>
      </c>
      <c r="X832" s="55">
        <f t="shared" ca="1" si="266"/>
        <v>248.77238888112274</v>
      </c>
      <c r="Y832" s="55">
        <f t="shared" ca="1" si="266"/>
        <v>253.74783665874514</v>
      </c>
      <c r="Z832" s="55">
        <f t="shared" ca="1" si="266"/>
        <v>258.82279339192007</v>
      </c>
      <c r="AA832" s="55">
        <f t="shared" ca="1" si="266"/>
        <v>263.99924925975847</v>
      </c>
      <c r="AB832" s="55">
        <f t="shared" ca="1" si="266"/>
        <v>213.26957747725663</v>
      </c>
      <c r="AC832" s="55">
        <f t="shared" ca="1" si="266"/>
        <v>161.52531225910479</v>
      </c>
      <c r="AD832" s="55">
        <f t="shared" ca="1" si="266"/>
        <v>155.36411925747944</v>
      </c>
      <c r="AE832" s="55">
        <f t="shared" ca="1" si="266"/>
        <v>149.07970239582161</v>
      </c>
      <c r="AF832" s="55">
        <f t="shared" ca="1" si="266"/>
        <v>94.168274192197117</v>
      </c>
      <c r="AG832" s="55">
        <f t="shared" ca="1" si="266"/>
        <v>94.168274192197117</v>
      </c>
      <c r="AH832" s="55">
        <f t="shared" ca="1" si="266"/>
        <v>94.168274192197117</v>
      </c>
      <c r="AI832" s="55">
        <f t="shared" ca="1" si="266"/>
        <v>47.550316671307563</v>
      </c>
      <c r="AJ832" s="55">
        <f t="shared" ca="1" si="266"/>
        <v>2.1032064978498967E-13</v>
      </c>
      <c r="AK832" s="55">
        <f t="shared" ca="1" si="266"/>
        <v>2.1032064978498967E-13</v>
      </c>
      <c r="AL832" s="55">
        <f t="shared" ca="1" si="266"/>
        <v>2.1032064978498967E-13</v>
      </c>
      <c r="AM832" s="55">
        <f t="shared" ca="1" si="266"/>
        <v>2.1032064978498967E-13</v>
      </c>
      <c r="AN832" s="55">
        <f t="shared" ca="1" si="266"/>
        <v>2.1032064978498967E-13</v>
      </c>
      <c r="AO832" s="55">
        <f t="shared" ca="1" si="266"/>
        <v>0</v>
      </c>
      <c r="AP832" s="55">
        <f t="shared" ca="1" si="266"/>
        <v>0</v>
      </c>
      <c r="AQ832" s="55">
        <f t="shared" ca="1" si="266"/>
        <v>0</v>
      </c>
      <c r="AR832" s="55">
        <f t="shared" ca="1" si="266"/>
        <v>0</v>
      </c>
      <c r="AS832" s="55">
        <f t="shared" ca="1" si="266"/>
        <v>0</v>
      </c>
      <c r="AT832" s="55">
        <f t="shared" ca="1" si="266"/>
        <v>0</v>
      </c>
      <c r="AU832" s="55">
        <f t="shared" ca="1" si="266"/>
        <v>0</v>
      </c>
      <c r="AV832" s="55">
        <f t="shared" ca="1" si="266"/>
        <v>0</v>
      </c>
      <c r="AW832" s="55">
        <f t="shared" ca="1" si="266"/>
        <v>0</v>
      </c>
      <c r="AX832" s="55">
        <f t="shared" ca="1" si="266"/>
        <v>0</v>
      </c>
    </row>
    <row r="833" spans="1:50" ht="15" customHeight="1" x14ac:dyDescent="0.25">
      <c r="A833" s="129"/>
      <c r="B833" s="118"/>
      <c r="C833" s="128"/>
      <c r="D833" s="217" t="str">
        <f>Translate!E530</f>
        <v>less</v>
      </c>
      <c r="E833" s="7" t="str">
        <f xml:space="preserve"> Translate!E$342</f>
        <v>Final year write-off</v>
      </c>
      <c r="F833" s="264"/>
      <c r="G833" s="7" t="str">
        <f xml:space="preserve"> Translate!E$603</f>
        <v>US$ mn</v>
      </c>
      <c r="H833" s="7"/>
      <c r="I833" s="7">
        <f ca="1" xml:space="preserve"> SUM(K833:AX833)</f>
        <v>-4.1708858589117889E-12</v>
      </c>
      <c r="J833" s="7"/>
      <c r="K833" s="7">
        <f t="shared" ref="K833:AX833" ca="1" si="267" xml:space="preserve"> IF( K829 = 1, K830 + K831 - K832, 0)</f>
        <v>0</v>
      </c>
      <c r="L833" s="7">
        <f t="shared" ca="1" si="267"/>
        <v>0</v>
      </c>
      <c r="M833" s="7">
        <f t="shared" ca="1" si="267"/>
        <v>0</v>
      </c>
      <c r="N833" s="7">
        <f t="shared" ca="1" si="267"/>
        <v>0</v>
      </c>
      <c r="O833" s="7">
        <f t="shared" ca="1" si="267"/>
        <v>0</v>
      </c>
      <c r="P833" s="7">
        <f t="shared" ca="1" si="267"/>
        <v>0</v>
      </c>
      <c r="Q833" s="7">
        <f t="shared" ca="1" si="267"/>
        <v>0</v>
      </c>
      <c r="R833" s="7">
        <f t="shared" ca="1" si="267"/>
        <v>0</v>
      </c>
      <c r="S833" s="7">
        <f t="shared" ca="1" si="267"/>
        <v>0</v>
      </c>
      <c r="T833" s="7">
        <f t="shared" ca="1" si="267"/>
        <v>0</v>
      </c>
      <c r="U833" s="7">
        <f t="shared" ca="1" si="267"/>
        <v>0</v>
      </c>
      <c r="V833" s="7">
        <f t="shared" ca="1" si="267"/>
        <v>0</v>
      </c>
      <c r="W833" s="7">
        <f t="shared" ca="1" si="267"/>
        <v>0</v>
      </c>
      <c r="X833" s="7">
        <f t="shared" ca="1" si="267"/>
        <v>0</v>
      </c>
      <c r="Y833" s="7">
        <f t="shared" ca="1" si="267"/>
        <v>0</v>
      </c>
      <c r="Z833" s="7">
        <f t="shared" ca="1" si="267"/>
        <v>0</v>
      </c>
      <c r="AA833" s="7">
        <f t="shared" ca="1" si="267"/>
        <v>0</v>
      </c>
      <c r="AB833" s="7">
        <f t="shared" ca="1" si="267"/>
        <v>0</v>
      </c>
      <c r="AC833" s="7">
        <f t="shared" ca="1" si="267"/>
        <v>0</v>
      </c>
      <c r="AD833" s="7">
        <f t="shared" ca="1" si="267"/>
        <v>0</v>
      </c>
      <c r="AE833" s="7">
        <f t="shared" ca="1" si="267"/>
        <v>0</v>
      </c>
      <c r="AF833" s="7">
        <f t="shared" ca="1" si="267"/>
        <v>0</v>
      </c>
      <c r="AG833" s="7">
        <f t="shared" ca="1" si="267"/>
        <v>0</v>
      </c>
      <c r="AH833" s="7">
        <f t="shared" ca="1" si="267"/>
        <v>0</v>
      </c>
      <c r="AI833" s="7">
        <f t="shared" ca="1" si="267"/>
        <v>0</v>
      </c>
      <c r="AJ833" s="7">
        <f t="shared" ca="1" si="267"/>
        <v>0</v>
      </c>
      <c r="AK833" s="7">
        <f t="shared" ca="1" si="267"/>
        <v>0</v>
      </c>
      <c r="AL833" s="7">
        <f t="shared" ca="1" si="267"/>
        <v>0</v>
      </c>
      <c r="AM833" s="7">
        <f t="shared" ca="1" si="267"/>
        <v>0</v>
      </c>
      <c r="AN833" s="7">
        <f t="shared" ca="1" si="267"/>
        <v>0</v>
      </c>
      <c r="AO833" s="7">
        <f t="shared" ca="1" si="267"/>
        <v>-4.1708858589117889E-12</v>
      </c>
      <c r="AP833" s="7">
        <f t="shared" ca="1" si="267"/>
        <v>0</v>
      </c>
      <c r="AQ833" s="7">
        <f t="shared" ca="1" si="267"/>
        <v>0</v>
      </c>
      <c r="AR833" s="7">
        <f t="shared" ca="1" si="267"/>
        <v>0</v>
      </c>
      <c r="AS833" s="7">
        <f t="shared" ca="1" si="267"/>
        <v>0</v>
      </c>
      <c r="AT833" s="7">
        <f t="shared" ca="1" si="267"/>
        <v>0</v>
      </c>
      <c r="AU833" s="7">
        <f t="shared" ca="1" si="267"/>
        <v>0</v>
      </c>
      <c r="AV833" s="7">
        <f t="shared" ca="1" si="267"/>
        <v>0</v>
      </c>
      <c r="AW833" s="7">
        <f t="shared" ca="1" si="267"/>
        <v>0</v>
      </c>
      <c r="AX833" s="7">
        <f t="shared" ca="1" si="267"/>
        <v>0</v>
      </c>
    </row>
    <row r="834" spans="1:50" ht="15" customHeight="1" x14ac:dyDescent="0.25">
      <c r="A834" s="279"/>
      <c r="B834" s="691"/>
      <c r="C834" s="652"/>
      <c r="D834" s="280"/>
      <c r="E834" s="231" t="str">
        <f xml:space="preserve"> Translate!E$341 &amp; ": " &amp; Translate!E$343</f>
        <v>Balance of capitalized costs: END</v>
      </c>
      <c r="F834" s="246"/>
      <c r="G834" s="231" t="str">
        <f xml:space="preserve"> Translate!E$603</f>
        <v>US$ mn</v>
      </c>
      <c r="H834" s="245"/>
      <c r="I834" s="245"/>
      <c r="J834" s="247"/>
      <c r="K834" s="245">
        <f t="shared" ref="K834:AX834" ca="1" si="268" xml:space="preserve"> K830 + K831 - K832 - K833</f>
        <v>0</v>
      </c>
      <c r="L834" s="245">
        <f t="shared" ca="1" si="268"/>
        <v>41.522568</v>
      </c>
      <c r="M834" s="245">
        <f t="shared" ca="1" si="268"/>
        <v>297.1223821008</v>
      </c>
      <c r="N834" s="245">
        <f t="shared" ca="1" si="268"/>
        <v>1344.5489592879003</v>
      </c>
      <c r="O834" s="245">
        <f t="shared" ca="1" si="268"/>
        <v>1906.9470663103202</v>
      </c>
      <c r="P834" s="245">
        <f t="shared" ca="1" si="268"/>
        <v>2914.0948992335402</v>
      </c>
      <c r="Q834" s="245">
        <f t="shared" ca="1" si="268"/>
        <v>2859.2053259426161</v>
      </c>
      <c r="R834" s="245">
        <f t="shared" ca="1" si="268"/>
        <v>2144.1142959823646</v>
      </c>
      <c r="S834" s="245">
        <f t="shared" ca="1" si="268"/>
        <v>1202.961926628735</v>
      </c>
      <c r="T834" s="245">
        <f t="shared" ca="1" si="268"/>
        <v>695.42925863180199</v>
      </c>
      <c r="U834" s="245">
        <f t="shared" ca="1" si="268"/>
        <v>514.88833398476777</v>
      </c>
      <c r="V834" s="245">
        <f t="shared" ca="1" si="268"/>
        <v>487.69300047239045</v>
      </c>
      <c r="W834" s="245">
        <f t="shared" ca="1" si="268"/>
        <v>497.44686048183803</v>
      </c>
      <c r="X834" s="245">
        <f t="shared" ca="1" si="268"/>
        <v>507.39579769147451</v>
      </c>
      <c r="Y834" s="245">
        <f t="shared" ca="1" si="268"/>
        <v>517.5437136453038</v>
      </c>
      <c r="Z834" s="245">
        <f t="shared" ca="1" si="268"/>
        <v>527.89458791820971</v>
      </c>
      <c r="AA834" s="245">
        <f t="shared" ca="1" si="268"/>
        <v>538.45247967657372</v>
      </c>
      <c r="AB834" s="245">
        <f t="shared" ca="1" si="268"/>
        <v>325.18290219931708</v>
      </c>
      <c r="AC834" s="245">
        <f t="shared" ca="1" si="268"/>
        <v>163.65758994021229</v>
      </c>
      <c r="AD834" s="245">
        <f t="shared" ca="1" si="268"/>
        <v>241.38325828718064</v>
      </c>
      <c r="AE834" s="245">
        <f t="shared" ca="1" si="268"/>
        <v>330.0551392478958</v>
      </c>
      <c r="AF834" s="245">
        <f t="shared" ca="1" si="268"/>
        <v>235.88686505569868</v>
      </c>
      <c r="AG834" s="245">
        <f t="shared" ca="1" si="268"/>
        <v>141.71859086350156</v>
      </c>
      <c r="AH834" s="245">
        <f t="shared" ca="1" si="268"/>
        <v>47.550316671304444</v>
      </c>
      <c r="AI834" s="245">
        <f t="shared" ca="1" si="268"/>
        <v>-3.1192826099868398E-12</v>
      </c>
      <c r="AJ834" s="245">
        <f t="shared" ca="1" si="268"/>
        <v>-3.3296032597718296E-12</v>
      </c>
      <c r="AK834" s="245">
        <f t="shared" ca="1" si="268"/>
        <v>-3.5399239095568194E-12</v>
      </c>
      <c r="AL834" s="245">
        <f t="shared" ca="1" si="268"/>
        <v>-3.7502445593418093E-12</v>
      </c>
      <c r="AM834" s="245">
        <f t="shared" ca="1" si="268"/>
        <v>-3.9605652091267991E-12</v>
      </c>
      <c r="AN834" s="245">
        <f t="shared" ca="1" si="268"/>
        <v>-4.1708858589117889E-12</v>
      </c>
      <c r="AO834" s="245">
        <f t="shared" ca="1" si="268"/>
        <v>0</v>
      </c>
      <c r="AP834" s="245">
        <f t="shared" ca="1" si="268"/>
        <v>0</v>
      </c>
      <c r="AQ834" s="245">
        <f t="shared" ca="1" si="268"/>
        <v>0</v>
      </c>
      <c r="AR834" s="245">
        <f t="shared" ca="1" si="268"/>
        <v>0</v>
      </c>
      <c r="AS834" s="245">
        <f t="shared" ca="1" si="268"/>
        <v>0</v>
      </c>
      <c r="AT834" s="245">
        <f t="shared" ca="1" si="268"/>
        <v>0</v>
      </c>
      <c r="AU834" s="245">
        <f t="shared" ca="1" si="268"/>
        <v>0</v>
      </c>
      <c r="AV834" s="245">
        <f t="shared" ca="1" si="268"/>
        <v>0</v>
      </c>
      <c r="AW834" s="245">
        <f t="shared" ca="1" si="268"/>
        <v>0</v>
      </c>
      <c r="AX834" s="245">
        <f t="shared" ca="1" si="268"/>
        <v>0</v>
      </c>
    </row>
    <row r="835" spans="1:50" ht="15" customHeight="1" x14ac:dyDescent="0.25">
      <c r="A835" s="86"/>
      <c r="B835" s="677"/>
      <c r="C835" s="604"/>
      <c r="D835" s="217"/>
      <c r="E835" s="190"/>
      <c r="F835" s="242"/>
      <c r="G835" s="190"/>
      <c r="H835" s="190"/>
      <c r="I835" s="190"/>
      <c r="J835" s="190"/>
      <c r="K835" s="190"/>
      <c r="L835" s="190"/>
      <c r="M835" s="190"/>
      <c r="N835" s="190"/>
      <c r="O835" s="190"/>
      <c r="P835" s="190"/>
      <c r="Q835" s="190"/>
      <c r="R835" s="190"/>
      <c r="S835" s="190"/>
      <c r="T835" s="190"/>
      <c r="U835" s="190"/>
      <c r="V835" s="190"/>
      <c r="W835" s="190"/>
      <c r="X835" s="190"/>
      <c r="Y835" s="190"/>
      <c r="Z835" s="190"/>
      <c r="AA835" s="190"/>
      <c r="AB835" s="190"/>
      <c r="AC835" s="190"/>
      <c r="AD835" s="190"/>
      <c r="AE835" s="190"/>
      <c r="AF835" s="190"/>
      <c r="AG835" s="190"/>
      <c r="AH835" s="190"/>
      <c r="AI835" s="190"/>
      <c r="AJ835" s="190"/>
      <c r="AK835" s="190"/>
      <c r="AL835" s="190"/>
      <c r="AM835" s="190"/>
      <c r="AN835" s="190"/>
      <c r="AO835" s="190"/>
      <c r="AP835" s="190"/>
      <c r="AQ835" s="190"/>
      <c r="AR835" s="190"/>
      <c r="AS835" s="190"/>
      <c r="AT835" s="190"/>
      <c r="AU835" s="190"/>
      <c r="AV835" s="190"/>
      <c r="AW835" s="190"/>
      <c r="AX835" s="190"/>
    </row>
    <row r="836" spans="1:50" ht="15" customHeight="1" x14ac:dyDescent="0.25">
      <c r="A836" s="86"/>
      <c r="B836" s="677"/>
      <c r="C836" s="604" t="str">
        <f>Translate!$E$507</f>
        <v>Total depreciation charge</v>
      </c>
      <c r="D836" s="217"/>
      <c r="E836" s="190"/>
      <c r="F836" s="242"/>
      <c r="G836" s="190"/>
      <c r="H836" s="190"/>
      <c r="I836" s="190"/>
      <c r="J836" s="190"/>
      <c r="K836" s="190"/>
      <c r="L836" s="190"/>
      <c r="M836" s="190"/>
      <c r="N836" s="190"/>
      <c r="O836" s="190"/>
      <c r="P836" s="190"/>
      <c r="Q836" s="190"/>
      <c r="R836" s="190"/>
      <c r="S836" s="190"/>
      <c r="T836" s="190"/>
      <c r="U836" s="190"/>
      <c r="V836" s="190"/>
      <c r="W836" s="190"/>
      <c r="X836" s="190"/>
      <c r="Y836" s="190"/>
      <c r="Z836" s="190"/>
      <c r="AA836" s="190"/>
      <c r="AB836" s="190"/>
      <c r="AC836" s="190"/>
      <c r="AD836" s="190"/>
      <c r="AE836" s="190"/>
      <c r="AF836" s="190"/>
      <c r="AG836" s="190"/>
      <c r="AH836" s="190"/>
      <c r="AI836" s="190"/>
      <c r="AJ836" s="190"/>
      <c r="AK836" s="190"/>
      <c r="AL836" s="190"/>
      <c r="AM836" s="190"/>
      <c r="AN836" s="190"/>
      <c r="AO836" s="190"/>
      <c r="AP836" s="190"/>
      <c r="AQ836" s="190"/>
      <c r="AR836" s="190"/>
      <c r="AS836" s="190"/>
      <c r="AT836" s="190"/>
      <c r="AU836" s="190"/>
      <c r="AV836" s="190"/>
      <c r="AW836" s="190"/>
      <c r="AX836" s="190"/>
    </row>
    <row r="837" spans="1:50" ht="15" customHeight="1" x14ac:dyDescent="0.25">
      <c r="A837" s="86"/>
      <c r="B837" s="677"/>
      <c r="C837" s="604"/>
      <c r="D837" s="217"/>
      <c r="E837" s="190" t="str">
        <f t="shared" ref="E837:AX837" si="269" xml:space="preserve"> E$820</f>
        <v>Straight-line depreciation charge</v>
      </c>
      <c r="F837" s="242">
        <f t="shared" si="269"/>
        <v>0</v>
      </c>
      <c r="G837" s="190" t="str">
        <f t="shared" si="269"/>
        <v>US$ mn</v>
      </c>
      <c r="H837" s="190">
        <f t="shared" si="269"/>
        <v>0</v>
      </c>
      <c r="I837" s="190">
        <f t="shared" ca="1" si="269"/>
        <v>8399.7511044325365</v>
      </c>
      <c r="J837" s="190">
        <f t="shared" si="269"/>
        <v>0</v>
      </c>
      <c r="K837" s="190">
        <f t="shared" ca="1" si="269"/>
        <v>0</v>
      </c>
      <c r="L837" s="190">
        <f t="shared" ca="1" si="269"/>
        <v>0</v>
      </c>
      <c r="M837" s="190">
        <f t="shared" ca="1" si="269"/>
        <v>0</v>
      </c>
      <c r="N837" s="190">
        <f t="shared" ca="1" si="269"/>
        <v>0</v>
      </c>
      <c r="O837" s="190">
        <f t="shared" ca="1" si="269"/>
        <v>476.73676657758006</v>
      </c>
      <c r="P837" s="190">
        <f t="shared" ca="1" si="269"/>
        <v>847.70791645278007</v>
      </c>
      <c r="Q837" s="190">
        <f t="shared" ca="1" si="269"/>
        <v>1045.912502243244</v>
      </c>
      <c r="R837" s="190">
        <f t="shared" ca="1" si="269"/>
        <v>1128.6178703139924</v>
      </c>
      <c r="S837" s="190">
        <f t="shared" ca="1" si="269"/>
        <v>1175.4842455540829</v>
      </c>
      <c r="T837" s="190">
        <f t="shared" ca="1" si="269"/>
        <v>746.55118172139532</v>
      </c>
      <c r="U837" s="190">
        <f t="shared" ca="1" si="269"/>
        <v>424.33980864598573</v>
      </c>
      <c r="V837" s="190">
        <f t="shared" ca="1" si="269"/>
        <v>275.8701951913078</v>
      </c>
      <c r="W837" s="190">
        <f t="shared" ca="1" si="269"/>
        <v>243.8944989030615</v>
      </c>
      <c r="X837" s="190">
        <f t="shared" ca="1" si="269"/>
        <v>248.77238888112274</v>
      </c>
      <c r="Y837" s="190">
        <f t="shared" ca="1" si="269"/>
        <v>253.74783665874514</v>
      </c>
      <c r="Z837" s="190">
        <f t="shared" ca="1" si="269"/>
        <v>258.82279339192007</v>
      </c>
      <c r="AA837" s="190">
        <f t="shared" ca="1" si="269"/>
        <v>263.99924925975847</v>
      </c>
      <c r="AB837" s="190">
        <f t="shared" ca="1" si="269"/>
        <v>213.26957747725663</v>
      </c>
      <c r="AC837" s="190">
        <f t="shared" ca="1" si="269"/>
        <v>161.52531225910479</v>
      </c>
      <c r="AD837" s="190">
        <f t="shared" ca="1" si="269"/>
        <v>155.36411925747944</v>
      </c>
      <c r="AE837" s="190">
        <f t="shared" ca="1" si="269"/>
        <v>149.07970239582161</v>
      </c>
      <c r="AF837" s="190">
        <f t="shared" ca="1" si="269"/>
        <v>94.168274192197117</v>
      </c>
      <c r="AG837" s="190">
        <f t="shared" ca="1" si="269"/>
        <v>94.168274192197117</v>
      </c>
      <c r="AH837" s="190">
        <f t="shared" ca="1" si="269"/>
        <v>94.168274192197117</v>
      </c>
      <c r="AI837" s="190">
        <f t="shared" ca="1" si="269"/>
        <v>47.550316671307563</v>
      </c>
      <c r="AJ837" s="190">
        <f t="shared" ca="1" si="269"/>
        <v>2.1032064978498967E-13</v>
      </c>
      <c r="AK837" s="190">
        <f t="shared" ca="1" si="269"/>
        <v>2.1032064978498967E-13</v>
      </c>
      <c r="AL837" s="190">
        <f t="shared" ca="1" si="269"/>
        <v>2.1032064978498967E-13</v>
      </c>
      <c r="AM837" s="190">
        <f t="shared" ca="1" si="269"/>
        <v>2.1032064978498967E-13</v>
      </c>
      <c r="AN837" s="190">
        <f t="shared" ca="1" si="269"/>
        <v>2.1032064978498967E-13</v>
      </c>
      <c r="AO837" s="190">
        <f t="shared" ca="1" si="269"/>
        <v>0</v>
      </c>
      <c r="AP837" s="190">
        <f t="shared" ca="1" si="269"/>
        <v>0</v>
      </c>
      <c r="AQ837" s="190">
        <f t="shared" ca="1" si="269"/>
        <v>0</v>
      </c>
      <c r="AR837" s="190">
        <f t="shared" ca="1" si="269"/>
        <v>0</v>
      </c>
      <c r="AS837" s="190">
        <f t="shared" ca="1" si="269"/>
        <v>0</v>
      </c>
      <c r="AT837" s="190">
        <f t="shared" ca="1" si="269"/>
        <v>0</v>
      </c>
      <c r="AU837" s="190">
        <f t="shared" ca="1" si="269"/>
        <v>0</v>
      </c>
      <c r="AV837" s="190">
        <f t="shared" ca="1" si="269"/>
        <v>0</v>
      </c>
      <c r="AW837" s="190">
        <f t="shared" ca="1" si="269"/>
        <v>0</v>
      </c>
      <c r="AX837" s="190">
        <f t="shared" ca="1" si="269"/>
        <v>0</v>
      </c>
    </row>
    <row r="838" spans="1:50" ht="15" customHeight="1" x14ac:dyDescent="0.25">
      <c r="A838" s="86"/>
      <c r="B838" s="677"/>
      <c r="C838" s="604"/>
      <c r="D838" s="217"/>
      <c r="E838" s="55" t="str">
        <f t="shared" ref="E838:AX838" si="270" xml:space="preserve"> E$833</f>
        <v>Final year write-off</v>
      </c>
      <c r="F838" s="64">
        <f t="shared" si="270"/>
        <v>0</v>
      </c>
      <c r="G838" s="55" t="str">
        <f t="shared" si="270"/>
        <v>US$ mn</v>
      </c>
      <c r="H838" s="55">
        <f t="shared" si="270"/>
        <v>0</v>
      </c>
      <c r="I838" s="55">
        <f t="shared" ca="1" si="270"/>
        <v>-4.1708858589117889E-12</v>
      </c>
      <c r="J838" s="55">
        <f t="shared" si="270"/>
        <v>0</v>
      </c>
      <c r="K838" s="55">
        <f t="shared" ca="1" si="270"/>
        <v>0</v>
      </c>
      <c r="L838" s="55">
        <f t="shared" ca="1" si="270"/>
        <v>0</v>
      </c>
      <c r="M838" s="55">
        <f t="shared" ca="1" si="270"/>
        <v>0</v>
      </c>
      <c r="N838" s="55">
        <f t="shared" ca="1" si="270"/>
        <v>0</v>
      </c>
      <c r="O838" s="55">
        <f t="shared" ca="1" si="270"/>
        <v>0</v>
      </c>
      <c r="P838" s="55">
        <f t="shared" ca="1" si="270"/>
        <v>0</v>
      </c>
      <c r="Q838" s="55">
        <f t="shared" ca="1" si="270"/>
        <v>0</v>
      </c>
      <c r="R838" s="55">
        <f t="shared" ca="1" si="270"/>
        <v>0</v>
      </c>
      <c r="S838" s="55">
        <f t="shared" ca="1" si="270"/>
        <v>0</v>
      </c>
      <c r="T838" s="55">
        <f t="shared" ca="1" si="270"/>
        <v>0</v>
      </c>
      <c r="U838" s="55">
        <f t="shared" ca="1" si="270"/>
        <v>0</v>
      </c>
      <c r="V838" s="55">
        <f t="shared" ca="1" si="270"/>
        <v>0</v>
      </c>
      <c r="W838" s="55">
        <f t="shared" ca="1" si="270"/>
        <v>0</v>
      </c>
      <c r="X838" s="55">
        <f t="shared" ca="1" si="270"/>
        <v>0</v>
      </c>
      <c r="Y838" s="55">
        <f t="shared" ca="1" si="270"/>
        <v>0</v>
      </c>
      <c r="Z838" s="55">
        <f t="shared" ca="1" si="270"/>
        <v>0</v>
      </c>
      <c r="AA838" s="55">
        <f t="shared" ca="1" si="270"/>
        <v>0</v>
      </c>
      <c r="AB838" s="55">
        <f t="shared" ca="1" si="270"/>
        <v>0</v>
      </c>
      <c r="AC838" s="55">
        <f t="shared" ca="1" si="270"/>
        <v>0</v>
      </c>
      <c r="AD838" s="55">
        <f t="shared" ca="1" si="270"/>
        <v>0</v>
      </c>
      <c r="AE838" s="55">
        <f t="shared" ca="1" si="270"/>
        <v>0</v>
      </c>
      <c r="AF838" s="55">
        <f t="shared" ca="1" si="270"/>
        <v>0</v>
      </c>
      <c r="AG838" s="55">
        <f t="shared" ca="1" si="270"/>
        <v>0</v>
      </c>
      <c r="AH838" s="55">
        <f t="shared" ca="1" si="270"/>
        <v>0</v>
      </c>
      <c r="AI838" s="55">
        <f t="shared" ca="1" si="270"/>
        <v>0</v>
      </c>
      <c r="AJ838" s="55">
        <f t="shared" ca="1" si="270"/>
        <v>0</v>
      </c>
      <c r="AK838" s="55">
        <f t="shared" ca="1" si="270"/>
        <v>0</v>
      </c>
      <c r="AL838" s="55">
        <f t="shared" ca="1" si="270"/>
        <v>0</v>
      </c>
      <c r="AM838" s="55">
        <f t="shared" ca="1" si="270"/>
        <v>0</v>
      </c>
      <c r="AN838" s="55">
        <f t="shared" ca="1" si="270"/>
        <v>0</v>
      </c>
      <c r="AO838" s="55">
        <f t="shared" ca="1" si="270"/>
        <v>-4.1708858589117889E-12</v>
      </c>
      <c r="AP838" s="55">
        <f t="shared" ca="1" si="270"/>
        <v>0</v>
      </c>
      <c r="AQ838" s="55">
        <f t="shared" ca="1" si="270"/>
        <v>0</v>
      </c>
      <c r="AR838" s="55">
        <f t="shared" ca="1" si="270"/>
        <v>0</v>
      </c>
      <c r="AS838" s="55">
        <f t="shared" ca="1" si="270"/>
        <v>0</v>
      </c>
      <c r="AT838" s="55">
        <f t="shared" ca="1" si="270"/>
        <v>0</v>
      </c>
      <c r="AU838" s="55">
        <f t="shared" ca="1" si="270"/>
        <v>0</v>
      </c>
      <c r="AV838" s="55">
        <f t="shared" ca="1" si="270"/>
        <v>0</v>
      </c>
      <c r="AW838" s="55">
        <f t="shared" ca="1" si="270"/>
        <v>0</v>
      </c>
      <c r="AX838" s="55">
        <f t="shared" ca="1" si="270"/>
        <v>0</v>
      </c>
    </row>
    <row r="839" spans="1:50" s="485" customFormat="1" ht="15" customHeight="1" x14ac:dyDescent="0.25">
      <c r="A839" s="479"/>
      <c r="B839" s="687"/>
      <c r="C839" s="621"/>
      <c r="D839" s="508"/>
      <c r="E839" s="482" t="str">
        <f xml:space="preserve"> Translate!E$344</f>
        <v xml:space="preserve">Tax depreciation charge IOC </v>
      </c>
      <c r="F839" s="504"/>
      <c r="G839" s="482" t="str">
        <f xml:space="preserve"> Translate!E$603</f>
        <v>US$ mn</v>
      </c>
      <c r="H839" s="482"/>
      <c r="I839" s="482">
        <f ca="1" xml:space="preserve"> SUM(K839:AX839)</f>
        <v>8399.7511044325329</v>
      </c>
      <c r="J839" s="482"/>
      <c r="K839" s="482">
        <f t="shared" ref="K839:AX839" ca="1" si="271">SUM(K837:K838)</f>
        <v>0</v>
      </c>
      <c r="L839" s="482">
        <f t="shared" ca="1" si="271"/>
        <v>0</v>
      </c>
      <c r="M839" s="482">
        <f t="shared" ca="1" si="271"/>
        <v>0</v>
      </c>
      <c r="N839" s="482">
        <f t="shared" ca="1" si="271"/>
        <v>0</v>
      </c>
      <c r="O839" s="482">
        <f t="shared" ca="1" si="271"/>
        <v>476.73676657758006</v>
      </c>
      <c r="P839" s="482">
        <f t="shared" ca="1" si="271"/>
        <v>847.70791645278007</v>
      </c>
      <c r="Q839" s="482">
        <f t="shared" ca="1" si="271"/>
        <v>1045.912502243244</v>
      </c>
      <c r="R839" s="482">
        <f t="shared" ca="1" si="271"/>
        <v>1128.6178703139924</v>
      </c>
      <c r="S839" s="482">
        <f t="shared" ca="1" si="271"/>
        <v>1175.4842455540829</v>
      </c>
      <c r="T839" s="482">
        <f t="shared" ca="1" si="271"/>
        <v>746.55118172139532</v>
      </c>
      <c r="U839" s="482">
        <f t="shared" ca="1" si="271"/>
        <v>424.33980864598573</v>
      </c>
      <c r="V839" s="482">
        <f t="shared" ca="1" si="271"/>
        <v>275.8701951913078</v>
      </c>
      <c r="W839" s="482">
        <f t="shared" ca="1" si="271"/>
        <v>243.8944989030615</v>
      </c>
      <c r="X839" s="482">
        <f t="shared" ca="1" si="271"/>
        <v>248.77238888112274</v>
      </c>
      <c r="Y839" s="482">
        <f t="shared" ca="1" si="271"/>
        <v>253.74783665874514</v>
      </c>
      <c r="Z839" s="482">
        <f t="shared" ca="1" si="271"/>
        <v>258.82279339192007</v>
      </c>
      <c r="AA839" s="482">
        <f t="shared" ca="1" si="271"/>
        <v>263.99924925975847</v>
      </c>
      <c r="AB839" s="482">
        <f t="shared" ca="1" si="271"/>
        <v>213.26957747725663</v>
      </c>
      <c r="AC839" s="482">
        <f t="shared" ca="1" si="271"/>
        <v>161.52531225910479</v>
      </c>
      <c r="AD839" s="482">
        <f t="shared" ca="1" si="271"/>
        <v>155.36411925747944</v>
      </c>
      <c r="AE839" s="482">
        <f t="shared" ca="1" si="271"/>
        <v>149.07970239582161</v>
      </c>
      <c r="AF839" s="482">
        <f t="shared" ca="1" si="271"/>
        <v>94.168274192197117</v>
      </c>
      <c r="AG839" s="482">
        <f t="shared" ca="1" si="271"/>
        <v>94.168274192197117</v>
      </c>
      <c r="AH839" s="482">
        <f t="shared" ca="1" si="271"/>
        <v>94.168274192197117</v>
      </c>
      <c r="AI839" s="482">
        <f t="shared" ca="1" si="271"/>
        <v>47.550316671307563</v>
      </c>
      <c r="AJ839" s="482">
        <f t="shared" ca="1" si="271"/>
        <v>2.1032064978498967E-13</v>
      </c>
      <c r="AK839" s="482">
        <f t="shared" ca="1" si="271"/>
        <v>2.1032064978498967E-13</v>
      </c>
      <c r="AL839" s="482">
        <f t="shared" ca="1" si="271"/>
        <v>2.1032064978498967E-13</v>
      </c>
      <c r="AM839" s="482">
        <f t="shared" ca="1" si="271"/>
        <v>2.1032064978498967E-13</v>
      </c>
      <c r="AN839" s="482">
        <f t="shared" ca="1" si="271"/>
        <v>2.1032064978498967E-13</v>
      </c>
      <c r="AO839" s="482">
        <f t="shared" ca="1" si="271"/>
        <v>-4.1708858589117889E-12</v>
      </c>
      <c r="AP839" s="482">
        <f t="shared" ca="1" si="271"/>
        <v>0</v>
      </c>
      <c r="AQ839" s="482">
        <f t="shared" ca="1" si="271"/>
        <v>0</v>
      </c>
      <c r="AR839" s="482">
        <f t="shared" ca="1" si="271"/>
        <v>0</v>
      </c>
      <c r="AS839" s="482">
        <f t="shared" ca="1" si="271"/>
        <v>0</v>
      </c>
      <c r="AT839" s="482">
        <f t="shared" ca="1" si="271"/>
        <v>0</v>
      </c>
      <c r="AU839" s="482">
        <f t="shared" ca="1" si="271"/>
        <v>0</v>
      </c>
      <c r="AV839" s="482">
        <f t="shared" ca="1" si="271"/>
        <v>0</v>
      </c>
      <c r="AW839" s="482">
        <f t="shared" ca="1" si="271"/>
        <v>0</v>
      </c>
      <c r="AX839" s="482">
        <f t="shared" ca="1" si="271"/>
        <v>0</v>
      </c>
    </row>
    <row r="840" spans="1:50" ht="15" customHeight="1" x14ac:dyDescent="0.25">
      <c r="A840" s="86"/>
      <c r="B840" s="677"/>
      <c r="C840" s="604"/>
      <c r="D840" s="217"/>
      <c r="E840" s="55"/>
      <c r="F840" s="64"/>
      <c r="G840" s="55"/>
      <c r="H840" s="55"/>
      <c r="I840" s="55"/>
      <c r="J840" s="55"/>
      <c r="K840" s="55"/>
      <c r="L840" s="55"/>
      <c r="M840" s="55"/>
      <c r="N840" s="55"/>
      <c r="O840" s="55"/>
      <c r="P840" s="55"/>
      <c r="Q840" s="55"/>
      <c r="R840" s="55"/>
      <c r="S840" s="55"/>
      <c r="T840" s="55"/>
      <c r="U840" s="55"/>
      <c r="V840" s="55"/>
      <c r="W840" s="55"/>
      <c r="X840" s="55"/>
      <c r="Y840" s="55"/>
      <c r="Z840" s="55"/>
      <c r="AA840" s="55"/>
      <c r="AB840" s="55"/>
      <c r="AC840" s="55"/>
      <c r="AD840" s="55"/>
      <c r="AE840" s="55"/>
      <c r="AF840" s="55"/>
      <c r="AG840" s="55"/>
      <c r="AH840" s="55"/>
      <c r="AI840" s="55"/>
      <c r="AJ840" s="55"/>
      <c r="AK840" s="55"/>
      <c r="AL840" s="55"/>
      <c r="AM840" s="55"/>
      <c r="AN840" s="55"/>
      <c r="AO840" s="55"/>
      <c r="AP840" s="55"/>
      <c r="AQ840" s="55"/>
      <c r="AR840" s="55"/>
      <c r="AS840" s="55"/>
      <c r="AT840" s="55"/>
      <c r="AU840" s="55"/>
      <c r="AV840" s="55"/>
      <c r="AW840" s="55"/>
      <c r="AX840" s="55"/>
    </row>
    <row r="841" spans="1:50" ht="15" customHeight="1" x14ac:dyDescent="0.25">
      <c r="A841" s="86"/>
      <c r="B841" s="677"/>
      <c r="C841" s="604"/>
      <c r="D841" s="217"/>
      <c r="E841" s="55" t="str">
        <f xml:space="preserve"> E$804</f>
        <v>Total: Capitalized costs: IOC</v>
      </c>
      <c r="F841" s="64">
        <f ca="1" xml:space="preserve"> F$804</f>
        <v>8399.7511044325347</v>
      </c>
      <c r="G841" s="55" t="str">
        <f xml:space="preserve"> G$804</f>
        <v>US$ mn</v>
      </c>
      <c r="H841" s="55"/>
      <c r="I841" s="55"/>
      <c r="J841" s="55"/>
      <c r="K841" s="55"/>
      <c r="L841" s="55"/>
      <c r="M841" s="55"/>
      <c r="N841" s="55"/>
      <c r="O841" s="55"/>
      <c r="P841" s="55"/>
      <c r="Q841" s="55"/>
      <c r="R841" s="55"/>
      <c r="S841" s="55"/>
      <c r="T841" s="55"/>
      <c r="U841" s="55"/>
      <c r="V841" s="55"/>
      <c r="W841" s="55"/>
      <c r="X841" s="55"/>
      <c r="Y841" s="55"/>
      <c r="Z841" s="55"/>
      <c r="AA841" s="55"/>
      <c r="AB841" s="55"/>
      <c r="AC841" s="55"/>
      <c r="AD841" s="55"/>
      <c r="AE841" s="55"/>
      <c r="AF841" s="55"/>
      <c r="AG841" s="55"/>
      <c r="AH841" s="55"/>
      <c r="AI841" s="55"/>
      <c r="AJ841" s="55"/>
      <c r="AK841" s="55"/>
      <c r="AL841" s="55"/>
      <c r="AM841" s="55"/>
      <c r="AN841" s="55"/>
      <c r="AO841" s="55"/>
      <c r="AP841" s="55"/>
      <c r="AQ841" s="55"/>
      <c r="AR841" s="55"/>
      <c r="AS841" s="55"/>
      <c r="AT841" s="55"/>
      <c r="AU841" s="55"/>
      <c r="AV841" s="55"/>
      <c r="AW841" s="55"/>
      <c r="AX841" s="55"/>
    </row>
    <row r="842" spans="1:50" ht="15" customHeight="1" x14ac:dyDescent="0.25">
      <c r="A842" s="86"/>
      <c r="B842" s="677"/>
      <c r="C842" s="604"/>
      <c r="D842" s="217"/>
      <c r="E842" s="55" t="str">
        <f>Translate!E$601 &amp; ": "  &amp; E839</f>
        <v xml:space="preserve">Total: Tax depreciation charge IOC </v>
      </c>
      <c r="F842" s="64">
        <f ca="1" xml:space="preserve"> SUM(K839:AX839)</f>
        <v>8399.7511044325329</v>
      </c>
      <c r="G842" s="55" t="str">
        <f xml:space="preserve"> G837</f>
        <v>US$ mn</v>
      </c>
      <c r="H842" s="55"/>
      <c r="I842" s="55"/>
      <c r="J842" s="55"/>
      <c r="K842" s="55"/>
      <c r="L842" s="55"/>
      <c r="M842" s="55"/>
      <c r="N842" s="55"/>
      <c r="O842" s="55"/>
      <c r="P842" s="55"/>
      <c r="Q842" s="55"/>
      <c r="R842" s="55"/>
      <c r="S842" s="55"/>
      <c r="T842" s="55"/>
      <c r="U842" s="55"/>
      <c r="V842" s="55"/>
      <c r="W842" s="55"/>
      <c r="X842" s="55"/>
      <c r="Y842" s="55"/>
      <c r="Z842" s="55"/>
      <c r="AA842" s="55"/>
      <c r="AB842" s="55"/>
      <c r="AC842" s="55"/>
      <c r="AD842" s="55"/>
      <c r="AE842" s="55"/>
      <c r="AF842" s="55"/>
      <c r="AG842" s="55"/>
      <c r="AH842" s="55"/>
      <c r="AI842" s="55"/>
      <c r="AJ842" s="55"/>
      <c r="AK842" s="55"/>
      <c r="AL842" s="55"/>
      <c r="AM842" s="55"/>
      <c r="AN842" s="55"/>
      <c r="AO842" s="55"/>
      <c r="AP842" s="55"/>
      <c r="AQ842" s="55"/>
      <c r="AR842" s="55"/>
      <c r="AS842" s="55"/>
      <c r="AT842" s="55"/>
      <c r="AU842" s="55"/>
      <c r="AV842" s="55"/>
      <c r="AW842" s="55"/>
      <c r="AX842" s="55"/>
    </row>
    <row r="843" spans="1:50" ht="15" customHeight="1" x14ac:dyDescent="0.25">
      <c r="A843" s="86"/>
      <c r="B843" s="677"/>
      <c r="C843" s="604"/>
      <c r="D843" s="217"/>
      <c r="E843" s="55" t="str">
        <f xml:space="preserve"> Translate!E$755 &amp; " " &amp; Translate!E$345</f>
        <v>Check:  Depreciation</v>
      </c>
      <c r="F843" s="157">
        <f ca="1" xml:space="preserve"> IF( ABS( F841 - F842 ) &gt; CHK_TOL, 1, 0)</f>
        <v>0</v>
      </c>
      <c r="G843" s="55" t="str">
        <f xml:space="preserve"> Translate!E$604</f>
        <v>Check</v>
      </c>
      <c r="H843" s="55"/>
      <c r="I843" s="55"/>
      <c r="J843" s="55"/>
      <c r="K843" s="55"/>
      <c r="L843" s="55"/>
      <c r="M843" s="55"/>
      <c r="N843" s="55"/>
      <c r="O843" s="55"/>
      <c r="P843" s="55"/>
      <c r="Q843" s="55"/>
      <c r="R843" s="55"/>
      <c r="S843" s="55"/>
      <c r="T843" s="55"/>
      <c r="U843" s="55"/>
      <c r="V843" s="55"/>
      <c r="W843" s="55"/>
      <c r="X843" s="55"/>
      <c r="Y843" s="55"/>
      <c r="Z843" s="55"/>
      <c r="AA843" s="55"/>
      <c r="AB843" s="55"/>
      <c r="AC843" s="55"/>
      <c r="AD843" s="55"/>
      <c r="AE843" s="55"/>
      <c r="AF843" s="55"/>
      <c r="AG843" s="55"/>
      <c r="AH843" s="55"/>
      <c r="AI843" s="55"/>
      <c r="AJ843" s="55"/>
      <c r="AK843" s="55"/>
      <c r="AL843" s="55"/>
      <c r="AM843" s="55"/>
      <c r="AN843" s="55"/>
      <c r="AO843" s="55"/>
      <c r="AP843" s="55"/>
      <c r="AQ843" s="55"/>
      <c r="AR843" s="55"/>
      <c r="AS843" s="55"/>
      <c r="AT843" s="55"/>
      <c r="AU843" s="55"/>
      <c r="AV843" s="55"/>
      <c r="AW843" s="55"/>
      <c r="AX843" s="55"/>
    </row>
    <row r="844" spans="1:50" ht="15" customHeight="1" x14ac:dyDescent="0.25">
      <c r="A844" s="86"/>
      <c r="B844" s="677"/>
      <c r="C844" s="604"/>
      <c r="D844" s="217"/>
      <c r="E844" s="98"/>
      <c r="F844" s="169"/>
      <c r="G844" s="98"/>
      <c r="H844" s="98"/>
      <c r="I844" s="98"/>
      <c r="J844" s="98"/>
      <c r="K844" s="98"/>
      <c r="L844" s="98"/>
      <c r="M844" s="98"/>
      <c r="N844" s="98"/>
      <c r="O844" s="98"/>
      <c r="P844" s="98"/>
      <c r="Q844" s="98"/>
      <c r="R844" s="98"/>
      <c r="S844" s="98"/>
      <c r="T844" s="98"/>
      <c r="U844" s="98"/>
      <c r="V844" s="98"/>
      <c r="W844" s="98"/>
      <c r="X844" s="98"/>
      <c r="Y844" s="98"/>
      <c r="Z844" s="98"/>
      <c r="AA844" s="98"/>
      <c r="AB844" s="98"/>
      <c r="AC844" s="98"/>
      <c r="AD844" s="98"/>
      <c r="AE844" s="98"/>
      <c r="AF844" s="98"/>
      <c r="AG844" s="98"/>
      <c r="AH844" s="98"/>
      <c r="AI844" s="98"/>
      <c r="AJ844" s="98"/>
      <c r="AK844" s="98"/>
      <c r="AL844" s="98"/>
      <c r="AM844" s="98"/>
      <c r="AN844" s="98"/>
      <c r="AO844" s="98"/>
      <c r="AP844" s="98"/>
      <c r="AQ844" s="98"/>
      <c r="AR844" s="98"/>
      <c r="AS844" s="98"/>
      <c r="AT844" s="98"/>
      <c r="AU844" s="98"/>
      <c r="AV844" s="98"/>
      <c r="AW844" s="98"/>
      <c r="AX844" s="98"/>
    </row>
    <row r="845" spans="1:50" ht="15" customHeight="1" x14ac:dyDescent="0.25">
      <c r="A845" s="89"/>
      <c r="B845" s="677"/>
      <c r="C845" s="604"/>
      <c r="D845" s="217"/>
      <c r="E845" s="13"/>
      <c r="F845" s="169"/>
      <c r="G845" s="13"/>
      <c r="H845" s="13"/>
      <c r="I845" s="217"/>
      <c r="J845" s="56"/>
      <c r="K845" s="98"/>
      <c r="L845" s="98"/>
      <c r="M845" s="98"/>
      <c r="N845" s="98"/>
      <c r="O845" s="98"/>
      <c r="P845" s="98"/>
      <c r="Q845" s="98"/>
      <c r="R845" s="98"/>
      <c r="S845" s="98"/>
      <c r="T845" s="98"/>
      <c r="U845" s="98"/>
      <c r="V845" s="98"/>
      <c r="W845" s="98"/>
      <c r="X845" s="98"/>
      <c r="Y845" s="98"/>
      <c r="Z845" s="98"/>
      <c r="AA845" s="98"/>
      <c r="AB845" s="98"/>
      <c r="AC845" s="98"/>
      <c r="AD845" s="98"/>
      <c r="AE845" s="98"/>
      <c r="AF845" s="98"/>
      <c r="AG845" s="98"/>
      <c r="AH845" s="98"/>
      <c r="AI845" s="98"/>
      <c r="AJ845" s="98"/>
      <c r="AK845" s="98"/>
      <c r="AL845" s="98"/>
      <c r="AM845" s="98"/>
      <c r="AN845" s="98"/>
      <c r="AO845" s="98"/>
      <c r="AP845" s="98"/>
      <c r="AQ845" s="98"/>
      <c r="AR845" s="98"/>
      <c r="AS845" s="98"/>
      <c r="AT845" s="98"/>
      <c r="AU845" s="98"/>
      <c r="AV845" s="98"/>
      <c r="AW845" s="98"/>
      <c r="AX845" s="98"/>
    </row>
    <row r="846" spans="1:50" ht="15" customHeight="1" x14ac:dyDescent="0.25">
      <c r="A846" s="202" t="str">
        <f>Translate!$E$477</f>
        <v>IOC corporate income tax</v>
      </c>
      <c r="B846" s="781"/>
      <c r="C846" s="610"/>
      <c r="D846" s="204"/>
      <c r="E846" s="202"/>
      <c r="F846" s="204"/>
      <c r="G846" s="202"/>
      <c r="H846" s="202"/>
      <c r="I846" s="202"/>
      <c r="J846" s="202"/>
      <c r="K846" s="202"/>
      <c r="L846" s="202"/>
      <c r="M846" s="202"/>
      <c r="N846" s="202"/>
      <c r="O846" s="202"/>
      <c r="P846" s="202"/>
      <c r="Q846" s="202"/>
      <c r="R846" s="202"/>
      <c r="S846" s="202"/>
      <c r="T846" s="202"/>
      <c r="U846" s="202"/>
      <c r="V846" s="202"/>
      <c r="W846" s="202"/>
      <c r="X846" s="202"/>
      <c r="Y846" s="202"/>
      <c r="Z846" s="202"/>
      <c r="AA846" s="202"/>
      <c r="AB846" s="202"/>
      <c r="AC846" s="202"/>
      <c r="AD846" s="202"/>
      <c r="AE846" s="202"/>
      <c r="AF846" s="202"/>
      <c r="AG846" s="202"/>
      <c r="AH846" s="202"/>
      <c r="AI846" s="202"/>
      <c r="AJ846" s="202"/>
      <c r="AK846" s="202"/>
      <c r="AL846" s="202"/>
      <c r="AM846" s="202"/>
      <c r="AN846" s="202"/>
      <c r="AO846" s="202"/>
      <c r="AP846" s="202"/>
      <c r="AQ846" s="202"/>
      <c r="AR846" s="202"/>
      <c r="AS846" s="202"/>
      <c r="AT846" s="202"/>
      <c r="AU846" s="202"/>
      <c r="AV846" s="202"/>
      <c r="AW846" s="202"/>
      <c r="AX846" s="202"/>
    </row>
    <row r="847" spans="1:50" ht="15" customHeight="1" x14ac:dyDescent="0.25">
      <c r="A847" s="86"/>
      <c r="B847" s="677"/>
      <c r="C847" s="604"/>
      <c r="D847" s="217"/>
      <c r="E847" s="13"/>
      <c r="F847" s="586"/>
      <c r="G847" s="13"/>
      <c r="H847" s="13"/>
      <c r="I847" s="217"/>
      <c r="J847" s="56"/>
      <c r="K847" s="98"/>
      <c r="L847" s="98"/>
      <c r="M847" s="98"/>
      <c r="N847" s="98"/>
      <c r="O847" s="98"/>
      <c r="P847" s="98"/>
      <c r="Q847" s="98"/>
      <c r="R847" s="98"/>
      <c r="S847" s="98"/>
      <c r="T847" s="98"/>
      <c r="U847" s="98"/>
      <c r="V847" s="98"/>
      <c r="W847" s="98"/>
      <c r="X847" s="98"/>
      <c r="Y847" s="98"/>
      <c r="Z847" s="98"/>
      <c r="AA847" s="98"/>
      <c r="AB847" s="98"/>
      <c r="AC847" s="98"/>
      <c r="AD847" s="98"/>
      <c r="AE847" s="98"/>
      <c r="AF847" s="98"/>
      <c r="AG847" s="98"/>
      <c r="AH847" s="98"/>
      <c r="AI847" s="98"/>
      <c r="AJ847" s="98"/>
      <c r="AK847" s="98"/>
      <c r="AL847" s="98"/>
      <c r="AM847" s="98"/>
      <c r="AN847" s="98"/>
      <c r="AO847" s="98"/>
      <c r="AP847" s="98"/>
      <c r="AQ847" s="98"/>
      <c r="AR847" s="98"/>
      <c r="AS847" s="98"/>
      <c r="AT847" s="98"/>
      <c r="AU847" s="98"/>
      <c r="AV847" s="98"/>
      <c r="AW847" s="98"/>
      <c r="AX847" s="98"/>
    </row>
    <row r="848" spans="1:50" ht="15" customHeight="1" x14ac:dyDescent="0.25">
      <c r="A848" s="241"/>
      <c r="B848" s="675" t="str">
        <f>Translate!$E$450</f>
        <v>Revenues for tax</v>
      </c>
      <c r="C848" s="615"/>
      <c r="D848" s="64"/>
      <c r="E848" s="190"/>
      <c r="F848" s="281"/>
      <c r="G848" s="190"/>
      <c r="H848" s="190"/>
      <c r="I848" s="55"/>
      <c r="J848" s="55"/>
      <c r="K848" s="55"/>
      <c r="L848" s="55"/>
      <c r="M848" s="55"/>
      <c r="N848" s="55"/>
      <c r="O848" s="55"/>
      <c r="P848" s="55"/>
      <c r="Q848" s="55"/>
      <c r="R848" s="55"/>
      <c r="S848" s="55"/>
      <c r="T848" s="55"/>
      <c r="U848" s="55"/>
      <c r="V848" s="55"/>
      <c r="W848" s="55"/>
      <c r="X848" s="55"/>
      <c r="Y848" s="55"/>
      <c r="Z848" s="55"/>
      <c r="AA848" s="55"/>
      <c r="AB848" s="55"/>
      <c r="AC848" s="55"/>
      <c r="AD848" s="55"/>
      <c r="AE848" s="55"/>
      <c r="AF848" s="55"/>
      <c r="AG848" s="55"/>
      <c r="AH848" s="55"/>
      <c r="AI848" s="55"/>
      <c r="AJ848" s="55"/>
      <c r="AK848" s="55"/>
      <c r="AL848" s="55"/>
      <c r="AM848" s="55"/>
      <c r="AN848" s="55"/>
      <c r="AO848" s="55"/>
      <c r="AP848" s="55"/>
      <c r="AQ848" s="55"/>
      <c r="AR848" s="55"/>
      <c r="AS848" s="55"/>
      <c r="AT848" s="55"/>
      <c r="AU848" s="55"/>
      <c r="AV848" s="55"/>
      <c r="AW848" s="55"/>
      <c r="AX848" s="55"/>
    </row>
    <row r="849" spans="1:50" s="7" customFormat="1" ht="15" customHeight="1" x14ac:dyDescent="0.25">
      <c r="A849" s="274"/>
      <c r="B849" s="672"/>
      <c r="C849" s="618"/>
      <c r="D849" s="64"/>
      <c r="E849" s="55" t="str">
        <f t="shared" ref="E849:AX849" si="272" xml:space="preserve"> E$700</f>
        <v>IOC share of revenues</v>
      </c>
      <c r="F849" s="55">
        <f t="shared" si="272"/>
        <v>0</v>
      </c>
      <c r="G849" s="55" t="str">
        <f t="shared" si="272"/>
        <v>US$ mn</v>
      </c>
      <c r="H849" s="55">
        <f t="shared" si="272"/>
        <v>0</v>
      </c>
      <c r="I849" s="55">
        <f t="shared" ca="1" si="272"/>
        <v>45734.834814730028</v>
      </c>
      <c r="J849" s="55">
        <f t="shared" si="272"/>
        <v>0</v>
      </c>
      <c r="K849" s="55">
        <f t="shared" ca="1" si="272"/>
        <v>0</v>
      </c>
      <c r="L849" s="55">
        <f t="shared" ca="1" si="272"/>
        <v>0</v>
      </c>
      <c r="M849" s="55">
        <f t="shared" ca="1" si="272"/>
        <v>0</v>
      </c>
      <c r="N849" s="55">
        <f t="shared" ca="1" si="272"/>
        <v>0</v>
      </c>
      <c r="O849" s="55">
        <f t="shared" ca="1" si="272"/>
        <v>165.96573648787856</v>
      </c>
      <c r="P849" s="55">
        <f t="shared" ca="1" si="272"/>
        <v>1329.8653274544001</v>
      </c>
      <c r="Q849" s="55">
        <f t="shared" ca="1" si="272"/>
        <v>2712.9252680069767</v>
      </c>
      <c r="R849" s="55">
        <f t="shared" ca="1" si="272"/>
        <v>2767.1837733671159</v>
      </c>
      <c r="S849" s="55">
        <f t="shared" ca="1" si="272"/>
        <v>2822.5274488344585</v>
      </c>
      <c r="T849" s="55">
        <f t="shared" ca="1" si="272"/>
        <v>2878.9779978111474</v>
      </c>
      <c r="U849" s="55">
        <f t="shared" ca="1" si="272"/>
        <v>2936.5575577673703</v>
      </c>
      <c r="V849" s="55">
        <f t="shared" ca="1" si="272"/>
        <v>2995.2887089227179</v>
      </c>
      <c r="W849" s="55">
        <f t="shared" ca="1" si="272"/>
        <v>3055.1944831011724</v>
      </c>
      <c r="X849" s="55">
        <f t="shared" ca="1" si="272"/>
        <v>3116.2983727631954</v>
      </c>
      <c r="Y849" s="55">
        <f t="shared" ca="1" si="272"/>
        <v>3178.6243402184596</v>
      </c>
      <c r="Z849" s="55">
        <f t="shared" ca="1" si="272"/>
        <v>3242.196827022829</v>
      </c>
      <c r="AA849" s="55">
        <f t="shared" ca="1" si="272"/>
        <v>2678.703018486262</v>
      </c>
      <c r="AB849" s="55">
        <f t="shared" ca="1" si="272"/>
        <v>2213.14443387335</v>
      </c>
      <c r="AC849" s="55">
        <f t="shared" ca="1" si="272"/>
        <v>1828.4999312661619</v>
      </c>
      <c r="AD849" s="55">
        <f t="shared" ca="1" si="272"/>
        <v>1510.7066432121032</v>
      </c>
      <c r="AE849" s="55">
        <f t="shared" ca="1" si="272"/>
        <v>1248.1458286218397</v>
      </c>
      <c r="AF849" s="55">
        <f t="shared" ca="1" si="272"/>
        <v>1031.2180836073642</v>
      </c>
      <c r="AG849" s="55">
        <f t="shared" ca="1" si="272"/>
        <v>851.99238067640442</v>
      </c>
      <c r="AH849" s="55">
        <f t="shared" ca="1" si="272"/>
        <v>703.91610491484528</v>
      </c>
      <c r="AI849" s="55">
        <f t="shared" ca="1" si="272"/>
        <v>581.57548588064526</v>
      </c>
      <c r="AJ849" s="55">
        <f t="shared" ca="1" si="272"/>
        <v>480.49766643458906</v>
      </c>
      <c r="AK849" s="55">
        <f t="shared" ca="1" si="272"/>
        <v>396.98717200825757</v>
      </c>
      <c r="AL849" s="55">
        <f t="shared" ca="1" si="272"/>
        <v>327.99080151322232</v>
      </c>
      <c r="AM849" s="55">
        <f t="shared" ca="1" si="272"/>
        <v>270.98600021022435</v>
      </c>
      <c r="AN849" s="55">
        <f t="shared" ca="1" si="272"/>
        <v>223.88863337368736</v>
      </c>
      <c r="AO849" s="55">
        <f t="shared" ca="1" si="272"/>
        <v>184.97678889334054</v>
      </c>
      <c r="AP849" s="55">
        <f t="shared" ca="1" si="272"/>
        <v>0</v>
      </c>
      <c r="AQ849" s="55">
        <f t="shared" ca="1" si="272"/>
        <v>0</v>
      </c>
      <c r="AR849" s="55">
        <f t="shared" ca="1" si="272"/>
        <v>0</v>
      </c>
      <c r="AS849" s="55">
        <f t="shared" ca="1" si="272"/>
        <v>0</v>
      </c>
      <c r="AT849" s="55">
        <f t="shared" ca="1" si="272"/>
        <v>0</v>
      </c>
      <c r="AU849" s="55">
        <f t="shared" ca="1" si="272"/>
        <v>0</v>
      </c>
      <c r="AV849" s="55">
        <f t="shared" ca="1" si="272"/>
        <v>0</v>
      </c>
      <c r="AW849" s="55">
        <f t="shared" ca="1" si="272"/>
        <v>0</v>
      </c>
      <c r="AX849" s="55">
        <f t="shared" ca="1" si="272"/>
        <v>0</v>
      </c>
    </row>
    <row r="850" spans="1:50" s="55" customFormat="1" ht="15" customHeight="1" x14ac:dyDescent="0.25">
      <c r="A850" s="274"/>
      <c r="B850" s="672"/>
      <c r="C850" s="618"/>
      <c r="D850" s="64"/>
      <c r="E850" s="55" t="str">
        <f t="shared" ref="E850:AX850" si="273" xml:space="preserve"> E$1074</f>
        <v>Carried interest loan: interest charge</v>
      </c>
      <c r="F850" s="55">
        <f t="shared" si="273"/>
        <v>0</v>
      </c>
      <c r="G850" s="55" t="str">
        <f t="shared" si="273"/>
        <v>US$ mn</v>
      </c>
      <c r="H850" s="55">
        <f t="shared" si="273"/>
        <v>0</v>
      </c>
      <c r="I850" s="55">
        <f t="shared" ca="1" si="273"/>
        <v>23.133769451511213</v>
      </c>
      <c r="J850" s="55">
        <f t="shared" si="273"/>
        <v>0</v>
      </c>
      <c r="K850" s="55">
        <f t="shared" ca="1" si="273"/>
        <v>0</v>
      </c>
      <c r="L850" s="55">
        <f t="shared" ca="1" si="273"/>
        <v>7.6500000000000054E-2</v>
      </c>
      <c r="M850" s="55">
        <f t="shared" ca="1" si="273"/>
        <v>0.62500500000000059</v>
      </c>
      <c r="N850" s="55">
        <f t="shared" ca="1" si="273"/>
        <v>3.0346096500000019</v>
      </c>
      <c r="O850" s="55">
        <f t="shared" ca="1" si="273"/>
        <v>6.5076379167246952</v>
      </c>
      <c r="P850" s="55">
        <f t="shared" ca="1" si="273"/>
        <v>8.2441431967856182</v>
      </c>
      <c r="Q850" s="55">
        <f t="shared" ca="1" si="273"/>
        <v>4.6458736880008962</v>
      </c>
      <c r="R850" s="55">
        <f t="shared" ca="1" si="273"/>
        <v>0</v>
      </c>
      <c r="S850" s="55">
        <f t="shared" ca="1" si="273"/>
        <v>0</v>
      </c>
      <c r="T850" s="55">
        <f t="shared" ca="1" si="273"/>
        <v>0</v>
      </c>
      <c r="U850" s="55">
        <f t="shared" ca="1" si="273"/>
        <v>0</v>
      </c>
      <c r="V850" s="55">
        <f t="shared" ca="1" si="273"/>
        <v>0</v>
      </c>
      <c r="W850" s="55">
        <f t="shared" ca="1" si="273"/>
        <v>0</v>
      </c>
      <c r="X850" s="55">
        <f t="shared" ca="1" si="273"/>
        <v>0</v>
      </c>
      <c r="Y850" s="55">
        <f t="shared" ca="1" si="273"/>
        <v>0</v>
      </c>
      <c r="Z850" s="55">
        <f t="shared" ca="1" si="273"/>
        <v>0</v>
      </c>
      <c r="AA850" s="55">
        <f t="shared" ca="1" si="273"/>
        <v>0</v>
      </c>
      <c r="AB850" s="55">
        <f t="shared" ca="1" si="273"/>
        <v>0</v>
      </c>
      <c r="AC850" s="55">
        <f t="shared" ca="1" si="273"/>
        <v>0</v>
      </c>
      <c r="AD850" s="55">
        <f t="shared" ca="1" si="273"/>
        <v>0</v>
      </c>
      <c r="AE850" s="55">
        <f t="shared" ca="1" si="273"/>
        <v>0</v>
      </c>
      <c r="AF850" s="55">
        <f t="shared" ca="1" si="273"/>
        <v>0</v>
      </c>
      <c r="AG850" s="55">
        <f t="shared" ca="1" si="273"/>
        <v>0</v>
      </c>
      <c r="AH850" s="55">
        <f t="shared" ca="1" si="273"/>
        <v>0</v>
      </c>
      <c r="AI850" s="55">
        <f t="shared" ca="1" si="273"/>
        <v>0</v>
      </c>
      <c r="AJ850" s="55">
        <f t="shared" ca="1" si="273"/>
        <v>0</v>
      </c>
      <c r="AK850" s="55">
        <f t="shared" ca="1" si="273"/>
        <v>0</v>
      </c>
      <c r="AL850" s="55">
        <f t="shared" ca="1" si="273"/>
        <v>0</v>
      </c>
      <c r="AM850" s="55">
        <f t="shared" ca="1" si="273"/>
        <v>0</v>
      </c>
      <c r="AN850" s="55">
        <f t="shared" ca="1" si="273"/>
        <v>0</v>
      </c>
      <c r="AO850" s="55">
        <f t="shared" ca="1" si="273"/>
        <v>0</v>
      </c>
      <c r="AP850" s="55">
        <f t="shared" ca="1" si="273"/>
        <v>0</v>
      </c>
      <c r="AQ850" s="55">
        <f t="shared" ca="1" si="273"/>
        <v>0</v>
      </c>
      <c r="AR850" s="55">
        <f t="shared" ca="1" si="273"/>
        <v>0</v>
      </c>
      <c r="AS850" s="55">
        <f t="shared" ca="1" si="273"/>
        <v>0</v>
      </c>
      <c r="AT850" s="55">
        <f t="shared" ca="1" si="273"/>
        <v>0</v>
      </c>
      <c r="AU850" s="55">
        <f t="shared" ca="1" si="273"/>
        <v>0</v>
      </c>
      <c r="AV850" s="55">
        <f t="shared" ca="1" si="273"/>
        <v>0</v>
      </c>
      <c r="AW850" s="55">
        <f t="shared" ca="1" si="273"/>
        <v>0</v>
      </c>
      <c r="AX850" s="55">
        <f t="shared" ca="1" si="273"/>
        <v>0</v>
      </c>
    </row>
    <row r="851" spans="1:50" ht="15" customHeight="1" x14ac:dyDescent="0.25">
      <c r="A851" s="241"/>
      <c r="B851" s="675"/>
      <c r="C851" s="615"/>
      <c r="D851" s="64"/>
      <c r="E851" s="55"/>
      <c r="F851" s="64"/>
      <c r="G851" s="55"/>
      <c r="H851" s="55"/>
      <c r="I851" s="55"/>
      <c r="J851" s="55"/>
      <c r="K851" s="55"/>
      <c r="L851" s="55"/>
      <c r="M851" s="55"/>
      <c r="N851" s="55"/>
      <c r="O851" s="55"/>
      <c r="P851" s="55"/>
      <c r="Q851" s="55"/>
      <c r="R851" s="55"/>
      <c r="S851" s="55"/>
      <c r="T851" s="55"/>
      <c r="U851" s="55"/>
      <c r="V851" s="55"/>
      <c r="W851" s="55"/>
      <c r="X851" s="55"/>
      <c r="Y851" s="55"/>
      <c r="Z851" s="55"/>
      <c r="AA851" s="55"/>
      <c r="AB851" s="55"/>
      <c r="AC851" s="55"/>
      <c r="AD851" s="55"/>
      <c r="AE851" s="55"/>
      <c r="AF851" s="55"/>
      <c r="AG851" s="55"/>
      <c r="AH851" s="55"/>
      <c r="AI851" s="55"/>
      <c r="AJ851" s="55"/>
      <c r="AK851" s="55"/>
      <c r="AL851" s="55"/>
      <c r="AM851" s="55"/>
      <c r="AN851" s="55"/>
      <c r="AO851" s="55"/>
      <c r="AP851" s="55"/>
      <c r="AQ851" s="55"/>
      <c r="AR851" s="55"/>
      <c r="AS851" s="55"/>
      <c r="AT851" s="55"/>
      <c r="AU851" s="55"/>
      <c r="AV851" s="55"/>
      <c r="AW851" s="55"/>
      <c r="AX851" s="55"/>
    </row>
    <row r="852" spans="1:50" ht="15" customHeight="1" x14ac:dyDescent="0.25">
      <c r="A852" s="241"/>
      <c r="B852" s="675" t="str">
        <f>Translate!$E$451</f>
        <v>Royalty deductibility (Tax &amp; Royalty regimes only)</v>
      </c>
      <c r="C852" s="615"/>
      <c r="D852" s="64"/>
      <c r="E852" s="55"/>
      <c r="F852" s="64"/>
      <c r="G852" s="55"/>
      <c r="H852" s="55" t="str">
        <f>Translate!E523</f>
        <v>With PSC royalty is netted off revenues</v>
      </c>
      <c r="I852" s="55"/>
      <c r="J852" s="55"/>
      <c r="K852" s="55"/>
      <c r="L852" s="55"/>
      <c r="M852" s="55"/>
      <c r="N852" s="55"/>
      <c r="O852" s="55"/>
      <c r="P852" s="55"/>
      <c r="Q852" s="55"/>
      <c r="R852" s="55"/>
      <c r="S852" s="55"/>
      <c r="T852" s="55"/>
      <c r="U852" s="55"/>
      <c r="V852" s="55"/>
      <c r="W852" s="55"/>
      <c r="X852" s="55"/>
      <c r="Y852" s="55"/>
      <c r="Z852" s="55"/>
      <c r="AA852" s="55"/>
      <c r="AB852" s="55"/>
      <c r="AC852" s="55"/>
      <c r="AD852" s="55"/>
      <c r="AE852" s="55"/>
      <c r="AF852" s="55"/>
      <c r="AG852" s="55"/>
      <c r="AH852" s="55"/>
      <c r="AI852" s="55"/>
      <c r="AJ852" s="55"/>
      <c r="AK852" s="55"/>
      <c r="AL852" s="55"/>
      <c r="AM852" s="55"/>
      <c r="AN852" s="55"/>
      <c r="AO852" s="55"/>
      <c r="AP852" s="55"/>
      <c r="AQ852" s="55"/>
      <c r="AR852" s="55"/>
      <c r="AS852" s="55"/>
      <c r="AT852" s="55"/>
      <c r="AU852" s="55"/>
      <c r="AV852" s="55"/>
      <c r="AW852" s="55"/>
      <c r="AX852" s="55"/>
    </row>
    <row r="853" spans="1:50" ht="15" customHeight="1" x14ac:dyDescent="0.25">
      <c r="A853" s="241"/>
      <c r="B853" s="675"/>
      <c r="C853" s="615"/>
      <c r="D853" s="64"/>
      <c r="E853" s="55" t="str">
        <f t="shared" ref="E853:AX853" si="274" xml:space="preserve"> E$442</f>
        <v>T&amp;R: Royalty attributable to: IOC</v>
      </c>
      <c r="F853" s="55">
        <f t="shared" si="274"/>
        <v>0</v>
      </c>
      <c r="G853" s="55" t="str">
        <f t="shared" si="274"/>
        <v>US$ mn</v>
      </c>
      <c r="H853" s="55">
        <f t="shared" si="274"/>
        <v>0</v>
      </c>
      <c r="I853" s="55">
        <f t="shared" ca="1" si="274"/>
        <v>9146.9669629460022</v>
      </c>
      <c r="J853" s="55">
        <f t="shared" si="274"/>
        <v>0</v>
      </c>
      <c r="K853" s="55">
        <f t="shared" ca="1" si="274"/>
        <v>0</v>
      </c>
      <c r="L853" s="55">
        <f ca="1" xml:space="preserve"> L$442</f>
        <v>0</v>
      </c>
      <c r="M853" s="55">
        <f t="shared" ca="1" si="274"/>
        <v>0</v>
      </c>
      <c r="N853" s="55">
        <f t="shared" ca="1" si="274"/>
        <v>0</v>
      </c>
      <c r="O853" s="55">
        <f t="shared" ca="1" si="274"/>
        <v>33.193147297575713</v>
      </c>
      <c r="P853" s="55">
        <f t="shared" ca="1" si="274"/>
        <v>265.97306549088</v>
      </c>
      <c r="Q853" s="55">
        <f t="shared" ca="1" si="274"/>
        <v>542.58505360139532</v>
      </c>
      <c r="R853" s="55">
        <f t="shared" ca="1" si="274"/>
        <v>553.43675467342314</v>
      </c>
      <c r="S853" s="55">
        <f t="shared" ca="1" si="274"/>
        <v>564.50548976689174</v>
      </c>
      <c r="T853" s="55">
        <f t="shared" ca="1" si="274"/>
        <v>575.79559956222943</v>
      </c>
      <c r="U853" s="55">
        <f t="shared" ca="1" si="274"/>
        <v>587.31151155347402</v>
      </c>
      <c r="V853" s="55">
        <f t="shared" ca="1" si="274"/>
        <v>599.05774178454362</v>
      </c>
      <c r="W853" s="55">
        <f t="shared" ca="1" si="274"/>
        <v>611.03889662023448</v>
      </c>
      <c r="X853" s="55">
        <f t="shared" ca="1" si="274"/>
        <v>623.25967455263913</v>
      </c>
      <c r="Y853" s="55">
        <f t="shared" ca="1" si="274"/>
        <v>635.72486804369191</v>
      </c>
      <c r="Z853" s="55">
        <f t="shared" ca="1" si="274"/>
        <v>648.43936540456582</v>
      </c>
      <c r="AA853" s="55">
        <f t="shared" ca="1" si="274"/>
        <v>535.74060369725237</v>
      </c>
      <c r="AB853" s="55">
        <f t="shared" ca="1" si="274"/>
        <v>442.62888677466998</v>
      </c>
      <c r="AC853" s="55">
        <f t="shared" ca="1" si="274"/>
        <v>365.6999862532324</v>
      </c>
      <c r="AD853" s="55">
        <f t="shared" ca="1" si="274"/>
        <v>302.14132864242066</v>
      </c>
      <c r="AE853" s="55">
        <f t="shared" ca="1" si="274"/>
        <v>249.62916572436794</v>
      </c>
      <c r="AF853" s="55">
        <f t="shared" ca="1" si="274"/>
        <v>206.24361672147285</v>
      </c>
      <c r="AG853" s="55">
        <f t="shared" ca="1" si="274"/>
        <v>170.39847613528087</v>
      </c>
      <c r="AH853" s="55">
        <f t="shared" ca="1" si="274"/>
        <v>140.78322098296906</v>
      </c>
      <c r="AI853" s="55">
        <f t="shared" ca="1" si="274"/>
        <v>116.31509717612906</v>
      </c>
      <c r="AJ853" s="55">
        <f t="shared" ca="1" si="274"/>
        <v>96.099533286917818</v>
      </c>
      <c r="AK853" s="55">
        <f t="shared" ca="1" si="274"/>
        <v>79.397434401651509</v>
      </c>
      <c r="AL853" s="55">
        <f t="shared" ca="1" si="274"/>
        <v>65.598160302644459</v>
      </c>
      <c r="AM853" s="55">
        <f t="shared" ca="1" si="274"/>
        <v>54.197200042044869</v>
      </c>
      <c r="AN853" s="55">
        <f t="shared" ca="1" si="274"/>
        <v>44.777726674737472</v>
      </c>
      <c r="AO853" s="55">
        <f t="shared" ca="1" si="274"/>
        <v>36.995357778668108</v>
      </c>
      <c r="AP853" s="55">
        <f t="shared" ca="1" si="274"/>
        <v>0</v>
      </c>
      <c r="AQ853" s="55">
        <f t="shared" ca="1" si="274"/>
        <v>0</v>
      </c>
      <c r="AR853" s="55">
        <f t="shared" ca="1" si="274"/>
        <v>0</v>
      </c>
      <c r="AS853" s="55">
        <f t="shared" ca="1" si="274"/>
        <v>0</v>
      </c>
      <c r="AT853" s="55">
        <f t="shared" ca="1" si="274"/>
        <v>0</v>
      </c>
      <c r="AU853" s="55">
        <f t="shared" ca="1" si="274"/>
        <v>0</v>
      </c>
      <c r="AV853" s="55">
        <f t="shared" ca="1" si="274"/>
        <v>0</v>
      </c>
      <c r="AW853" s="55">
        <f t="shared" ca="1" si="274"/>
        <v>0</v>
      </c>
      <c r="AX853" s="55">
        <f t="shared" ca="1" si="274"/>
        <v>0</v>
      </c>
    </row>
    <row r="854" spans="1:50" ht="15" customHeight="1" x14ac:dyDescent="0.25">
      <c r="A854" s="241"/>
      <c r="B854" s="675"/>
      <c r="C854" s="615"/>
      <c r="D854" s="64"/>
      <c r="E854" s="490" t="str">
        <f>E$25</f>
        <v>Royalty, CIT and RRT deductible</v>
      </c>
      <c r="F854" s="408" t="str">
        <f>F$25</f>
        <v>yes</v>
      </c>
      <c r="G854" s="490" t="str">
        <f>G$25</f>
        <v>Option</v>
      </c>
      <c r="H854" s="55"/>
      <c r="I854" s="55"/>
      <c r="J854" s="55"/>
      <c r="K854" s="55"/>
      <c r="L854" s="55"/>
      <c r="M854" s="55"/>
      <c r="N854" s="55"/>
      <c r="O854" s="55"/>
      <c r="P854" s="55"/>
      <c r="Q854" s="55"/>
      <c r="R854" s="55"/>
      <c r="S854" s="55"/>
      <c r="T854" s="55"/>
      <c r="U854" s="55"/>
      <c r="V854" s="55"/>
      <c r="W854" s="55"/>
      <c r="X854" s="55"/>
      <c r="Y854" s="55"/>
      <c r="Z854" s="55"/>
      <c r="AA854" s="55"/>
      <c r="AB854" s="55"/>
      <c r="AC854" s="55"/>
      <c r="AD854" s="55"/>
      <c r="AE854" s="55"/>
      <c r="AF854" s="55"/>
      <c r="AG854" s="55"/>
      <c r="AH854" s="55"/>
      <c r="AI854" s="55"/>
      <c r="AJ854" s="55"/>
      <c r="AK854" s="55"/>
      <c r="AL854" s="55"/>
      <c r="AM854" s="55"/>
      <c r="AN854" s="55"/>
      <c r="AO854" s="55"/>
      <c r="AP854" s="55"/>
      <c r="AQ854" s="55"/>
      <c r="AR854" s="55"/>
      <c r="AS854" s="55"/>
      <c r="AT854" s="55"/>
      <c r="AU854" s="55"/>
      <c r="AV854" s="55"/>
      <c r="AW854" s="55"/>
      <c r="AX854" s="55"/>
    </row>
    <row r="855" spans="1:50" ht="15" customHeight="1" x14ac:dyDescent="0.25">
      <c r="B855" s="675"/>
      <c r="C855" s="615"/>
      <c r="D855" s="48"/>
      <c r="E855" s="222" t="str">
        <f>Inputs!E$87</f>
        <v>Label: yes</v>
      </c>
      <c r="F855" s="533" t="str">
        <f>Inputs!F$87</f>
        <v>yes</v>
      </c>
      <c r="G855" s="222" t="str">
        <f>Inputs!G$87</f>
        <v>Label</v>
      </c>
      <c r="H855" s="48"/>
      <c r="I855" s="48"/>
    </row>
    <row r="856" spans="1:50" ht="15" customHeight="1" x14ac:dyDescent="0.25">
      <c r="A856" s="241"/>
      <c r="B856" s="675"/>
      <c r="C856" s="615"/>
      <c r="D856" s="64"/>
      <c r="E856" s="222" t="str">
        <f>Inputs!E$88</f>
        <v>Label: no</v>
      </c>
      <c r="F856" s="533" t="str">
        <f>Inputs!F$88</f>
        <v>no</v>
      </c>
      <c r="G856" s="222" t="str">
        <f>Inputs!G$88</f>
        <v>Label</v>
      </c>
      <c r="H856" s="55"/>
      <c r="I856" s="55"/>
      <c r="J856" s="55"/>
      <c r="K856" s="55"/>
      <c r="L856" s="55"/>
      <c r="M856" s="55"/>
      <c r="N856" s="55"/>
      <c r="O856" s="55"/>
      <c r="P856" s="55"/>
      <c r="Q856" s="55"/>
      <c r="R856" s="55"/>
      <c r="S856" s="55"/>
      <c r="T856" s="55"/>
      <c r="U856" s="55"/>
      <c r="V856" s="55"/>
      <c r="W856" s="55"/>
      <c r="X856" s="55"/>
      <c r="Y856" s="55"/>
      <c r="Z856" s="55"/>
      <c r="AA856" s="55"/>
      <c r="AB856" s="55"/>
      <c r="AC856" s="55"/>
      <c r="AD856" s="55"/>
      <c r="AE856" s="55"/>
      <c r="AF856" s="55"/>
      <c r="AG856" s="55"/>
      <c r="AH856" s="55"/>
      <c r="AI856" s="55"/>
      <c r="AJ856" s="55"/>
      <c r="AK856" s="55"/>
      <c r="AL856" s="55"/>
      <c r="AM856" s="55"/>
      <c r="AN856" s="55"/>
      <c r="AO856" s="55"/>
      <c r="AP856" s="55"/>
      <c r="AQ856" s="55"/>
      <c r="AR856" s="55"/>
      <c r="AS856" s="55"/>
      <c r="AT856" s="55"/>
      <c r="AU856" s="55"/>
      <c r="AV856" s="55"/>
      <c r="AW856" s="55"/>
      <c r="AX856" s="55"/>
    </row>
    <row r="857" spans="1:50" s="412" customFormat="1" ht="15" customHeight="1" x14ac:dyDescent="0.25">
      <c r="A857" s="398"/>
      <c r="B857" s="675"/>
      <c r="C857" s="625"/>
      <c r="D857" s="410"/>
      <c r="E857" s="398" t="str">
        <f xml:space="preserve"> E853 &amp;  ": " &amp; Translate!E538</f>
        <v>T&amp;R: Royalty attributable to: IOC: deductible</v>
      </c>
      <c r="F857" s="506"/>
      <c r="G857" s="398" t="str">
        <f xml:space="preserve"> G853</f>
        <v>US$ mn</v>
      </c>
      <c r="H857" s="411"/>
      <c r="I857" s="411">
        <f ca="1" xml:space="preserve"> SUM(K857:AX857)</f>
        <v>9146.9669629460022</v>
      </c>
      <c r="J857" s="411"/>
      <c r="K857" s="411">
        <f t="shared" ref="K857:AX857" ca="1" si="275" xml:space="preserve"> K853 * ( $F854 &lt;&gt; $F856)</f>
        <v>0</v>
      </c>
      <c r="L857" s="411">
        <f t="shared" ca="1" si="275"/>
        <v>0</v>
      </c>
      <c r="M857" s="411">
        <f t="shared" ca="1" si="275"/>
        <v>0</v>
      </c>
      <c r="N857" s="411">
        <f t="shared" ca="1" si="275"/>
        <v>0</v>
      </c>
      <c r="O857" s="411">
        <f t="shared" ca="1" si="275"/>
        <v>33.193147297575713</v>
      </c>
      <c r="P857" s="411">
        <f t="shared" ca="1" si="275"/>
        <v>265.97306549088</v>
      </c>
      <c r="Q857" s="411">
        <f t="shared" ca="1" si="275"/>
        <v>542.58505360139532</v>
      </c>
      <c r="R857" s="411">
        <f t="shared" ca="1" si="275"/>
        <v>553.43675467342314</v>
      </c>
      <c r="S857" s="411">
        <f t="shared" ca="1" si="275"/>
        <v>564.50548976689174</v>
      </c>
      <c r="T857" s="411">
        <f t="shared" ca="1" si="275"/>
        <v>575.79559956222943</v>
      </c>
      <c r="U857" s="411">
        <f t="shared" ca="1" si="275"/>
        <v>587.31151155347402</v>
      </c>
      <c r="V857" s="411">
        <f t="shared" ca="1" si="275"/>
        <v>599.05774178454362</v>
      </c>
      <c r="W857" s="411">
        <f t="shared" ca="1" si="275"/>
        <v>611.03889662023448</v>
      </c>
      <c r="X857" s="411">
        <f t="shared" ca="1" si="275"/>
        <v>623.25967455263913</v>
      </c>
      <c r="Y857" s="411">
        <f t="shared" ca="1" si="275"/>
        <v>635.72486804369191</v>
      </c>
      <c r="Z857" s="411">
        <f t="shared" ca="1" si="275"/>
        <v>648.43936540456582</v>
      </c>
      <c r="AA857" s="411">
        <f t="shared" ca="1" si="275"/>
        <v>535.74060369725237</v>
      </c>
      <c r="AB857" s="411">
        <f t="shared" ca="1" si="275"/>
        <v>442.62888677466998</v>
      </c>
      <c r="AC857" s="411">
        <f t="shared" ca="1" si="275"/>
        <v>365.6999862532324</v>
      </c>
      <c r="AD857" s="411">
        <f t="shared" ca="1" si="275"/>
        <v>302.14132864242066</v>
      </c>
      <c r="AE857" s="411">
        <f t="shared" ca="1" si="275"/>
        <v>249.62916572436794</v>
      </c>
      <c r="AF857" s="411">
        <f t="shared" ca="1" si="275"/>
        <v>206.24361672147285</v>
      </c>
      <c r="AG857" s="411">
        <f t="shared" ca="1" si="275"/>
        <v>170.39847613528087</v>
      </c>
      <c r="AH857" s="411">
        <f t="shared" ca="1" si="275"/>
        <v>140.78322098296906</v>
      </c>
      <c r="AI857" s="411">
        <f t="shared" ca="1" si="275"/>
        <v>116.31509717612906</v>
      </c>
      <c r="AJ857" s="411">
        <f t="shared" ca="1" si="275"/>
        <v>96.099533286917818</v>
      </c>
      <c r="AK857" s="411">
        <f t="shared" ca="1" si="275"/>
        <v>79.397434401651509</v>
      </c>
      <c r="AL857" s="411">
        <f t="shared" ca="1" si="275"/>
        <v>65.598160302644459</v>
      </c>
      <c r="AM857" s="411">
        <f t="shared" ca="1" si="275"/>
        <v>54.197200042044869</v>
      </c>
      <c r="AN857" s="411">
        <f t="shared" ca="1" si="275"/>
        <v>44.777726674737472</v>
      </c>
      <c r="AO857" s="411">
        <f t="shared" ca="1" si="275"/>
        <v>36.995357778668108</v>
      </c>
      <c r="AP857" s="411">
        <f t="shared" ca="1" si="275"/>
        <v>0</v>
      </c>
      <c r="AQ857" s="411">
        <f t="shared" ca="1" si="275"/>
        <v>0</v>
      </c>
      <c r="AR857" s="411">
        <f t="shared" ca="1" si="275"/>
        <v>0</v>
      </c>
      <c r="AS857" s="411">
        <f t="shared" ca="1" si="275"/>
        <v>0</v>
      </c>
      <c r="AT857" s="411">
        <f t="shared" ca="1" si="275"/>
        <v>0</v>
      </c>
      <c r="AU857" s="411">
        <f t="shared" ca="1" si="275"/>
        <v>0</v>
      </c>
      <c r="AV857" s="411">
        <f t="shared" ca="1" si="275"/>
        <v>0</v>
      </c>
      <c r="AW857" s="411">
        <f t="shared" ca="1" si="275"/>
        <v>0</v>
      </c>
      <c r="AX857" s="411">
        <f t="shared" ca="1" si="275"/>
        <v>0</v>
      </c>
    </row>
    <row r="858" spans="1:50" ht="15" customHeight="1" x14ac:dyDescent="0.25">
      <c r="A858" s="241"/>
      <c r="B858" s="675"/>
      <c r="C858" s="615"/>
      <c r="D858" s="64"/>
      <c r="E858" s="222"/>
      <c r="F858" s="533"/>
      <c r="G858" s="222"/>
      <c r="H858" s="55"/>
      <c r="I858" s="55"/>
      <c r="J858" s="55"/>
      <c r="K858" s="55"/>
      <c r="L858" s="55"/>
      <c r="M858" s="55"/>
      <c r="N858" s="55"/>
      <c r="O858" s="55"/>
      <c r="P858" s="55"/>
      <c r="Q858" s="55"/>
      <c r="R858" s="55"/>
      <c r="S858" s="55"/>
      <c r="T858" s="55"/>
      <c r="U858" s="55"/>
      <c r="V858" s="55"/>
      <c r="W858" s="55"/>
      <c r="X858" s="55"/>
      <c r="Y858" s="55"/>
      <c r="Z858" s="55"/>
      <c r="AA858" s="55"/>
      <c r="AB858" s="55"/>
      <c r="AC858" s="55"/>
      <c r="AD858" s="55"/>
      <c r="AE858" s="55"/>
      <c r="AF858" s="55"/>
      <c r="AG858" s="55"/>
      <c r="AH858" s="55"/>
      <c r="AI858" s="55"/>
      <c r="AJ858" s="55"/>
      <c r="AK858" s="55"/>
      <c r="AL858" s="55"/>
      <c r="AM858" s="55"/>
      <c r="AN858" s="55"/>
      <c r="AO858" s="55"/>
      <c r="AP858" s="55"/>
      <c r="AQ858" s="55"/>
      <c r="AR858" s="55"/>
      <c r="AS858" s="55"/>
      <c r="AT858" s="55"/>
      <c r="AU858" s="55"/>
      <c r="AV858" s="55"/>
      <c r="AW858" s="55"/>
      <c r="AX858" s="55"/>
    </row>
    <row r="859" spans="1:50" ht="15" customHeight="1" x14ac:dyDescent="0.25">
      <c r="A859" s="241"/>
      <c r="B859" s="675" t="str">
        <f>Translate!$E$452</f>
        <v>Carbon tax deductibility</v>
      </c>
      <c r="C859" s="615"/>
      <c r="D859" s="64"/>
      <c r="E859" s="55"/>
      <c r="F859" s="64"/>
      <c r="G859" s="55"/>
      <c r="H859" s="55"/>
      <c r="I859" s="55"/>
      <c r="J859" s="55"/>
      <c r="K859" s="55"/>
      <c r="L859" s="55"/>
      <c r="M859" s="55"/>
      <c r="N859" s="55"/>
      <c r="O859" s="55"/>
      <c r="P859" s="55"/>
      <c r="Q859" s="55"/>
      <c r="R859" s="55"/>
      <c r="S859" s="55"/>
      <c r="T859" s="55"/>
      <c r="U859" s="55"/>
      <c r="V859" s="55"/>
      <c r="W859" s="55"/>
      <c r="X859" s="55"/>
      <c r="Y859" s="55"/>
      <c r="Z859" s="55"/>
      <c r="AA859" s="55"/>
      <c r="AB859" s="55"/>
      <c r="AC859" s="55"/>
      <c r="AD859" s="55"/>
      <c r="AE859" s="55"/>
      <c r="AF859" s="55"/>
      <c r="AG859" s="55"/>
      <c r="AH859" s="55"/>
      <c r="AI859" s="55"/>
      <c r="AJ859" s="55"/>
      <c r="AK859" s="55"/>
      <c r="AL859" s="55"/>
      <c r="AM859" s="55"/>
      <c r="AN859" s="55"/>
      <c r="AO859" s="55"/>
      <c r="AP859" s="55"/>
      <c r="AQ859" s="55"/>
      <c r="AR859" s="55"/>
      <c r="AS859" s="55"/>
      <c r="AT859" s="55"/>
      <c r="AU859" s="55"/>
      <c r="AV859" s="55"/>
      <c r="AW859" s="55"/>
      <c r="AX859" s="55"/>
    </row>
    <row r="860" spans="1:50" ht="15" customHeight="1" x14ac:dyDescent="0.25">
      <c r="A860" s="241"/>
      <c r="B860" s="675"/>
      <c r="C860" s="615"/>
      <c r="D860" s="64"/>
      <c r="E860" s="48" t="str">
        <f>E$748</f>
        <v>Carbon tax: IOC</v>
      </c>
      <c r="F860" s="147">
        <f t="shared" ref="F860:AX860" si="276">F$748</f>
        <v>0</v>
      </c>
      <c r="G860" s="48" t="str">
        <f t="shared" si="276"/>
        <v>US$ mn</v>
      </c>
      <c r="H860" s="48">
        <f t="shared" si="276"/>
        <v>0</v>
      </c>
      <c r="I860" s="48">
        <f t="shared" ca="1" si="276"/>
        <v>808.75002537955561</v>
      </c>
      <c r="J860" s="48">
        <f t="shared" si="276"/>
        <v>0</v>
      </c>
      <c r="K860" s="48">
        <f t="shared" ca="1" si="276"/>
        <v>0</v>
      </c>
      <c r="L860" s="48">
        <f t="shared" ca="1" si="276"/>
        <v>0</v>
      </c>
      <c r="M860" s="48">
        <f t="shared" ca="1" si="276"/>
        <v>0</v>
      </c>
      <c r="N860" s="48">
        <f t="shared" ca="1" si="276"/>
        <v>0</v>
      </c>
      <c r="O860" s="48">
        <f t="shared" ca="1" si="276"/>
        <v>3.5145821862532287</v>
      </c>
      <c r="P860" s="48">
        <f t="shared" ca="1" si="276"/>
        <v>27.609768000000003</v>
      </c>
      <c r="Q860" s="48">
        <f t="shared" ca="1" si="276"/>
        <v>55.219536000000005</v>
      </c>
      <c r="R860" s="48">
        <f t="shared" ca="1" si="276"/>
        <v>55.219536000000005</v>
      </c>
      <c r="S860" s="48">
        <f t="shared" ca="1" si="276"/>
        <v>55.219536000000005</v>
      </c>
      <c r="T860" s="48">
        <f t="shared" ca="1" si="276"/>
        <v>55.219536000000005</v>
      </c>
      <c r="U860" s="48">
        <f t="shared" ca="1" si="276"/>
        <v>55.219536000000005</v>
      </c>
      <c r="V860" s="48">
        <f t="shared" ca="1" si="276"/>
        <v>55.219536000000005</v>
      </c>
      <c r="W860" s="48">
        <f t="shared" ca="1" si="276"/>
        <v>55.219536000000005</v>
      </c>
      <c r="X860" s="48">
        <f t="shared" ca="1" si="276"/>
        <v>55.219536000000005</v>
      </c>
      <c r="Y860" s="48">
        <f t="shared" ca="1" si="276"/>
        <v>55.219536000000005</v>
      </c>
      <c r="Z860" s="48">
        <f t="shared" ca="1" si="276"/>
        <v>55.219536000000005</v>
      </c>
      <c r="AA860" s="48">
        <f t="shared" ca="1" si="276"/>
        <v>44.727824160000011</v>
      </c>
      <c r="AB860" s="48">
        <f t="shared" ca="1" si="276"/>
        <v>36.229537569600005</v>
      </c>
      <c r="AC860" s="48">
        <f t="shared" ca="1" si="276"/>
        <v>29.34592543137601</v>
      </c>
      <c r="AD860" s="48">
        <f t="shared" ca="1" si="276"/>
        <v>23.770199599414575</v>
      </c>
      <c r="AE860" s="48">
        <f t="shared" ca="1" si="276"/>
        <v>19.253861675525808</v>
      </c>
      <c r="AF860" s="48">
        <f t="shared" ca="1" si="276"/>
        <v>15.595627957175903</v>
      </c>
      <c r="AG860" s="48">
        <f t="shared" ca="1" si="276"/>
        <v>12.632458645312484</v>
      </c>
      <c r="AH860" s="48">
        <f t="shared" ca="1" si="276"/>
        <v>10.232291502703113</v>
      </c>
      <c r="AI860" s="48">
        <f t="shared" ca="1" si="276"/>
        <v>8.2881561171895211</v>
      </c>
      <c r="AJ860" s="48">
        <f t="shared" ca="1" si="276"/>
        <v>6.7134064549235122</v>
      </c>
      <c r="AK860" s="48">
        <f t="shared" ca="1" si="276"/>
        <v>5.4378592284880458</v>
      </c>
      <c r="AL860" s="48">
        <f t="shared" ca="1" si="276"/>
        <v>4.4046659750753161</v>
      </c>
      <c r="AM860" s="48">
        <f t="shared" ca="1" si="276"/>
        <v>3.5677794398110061</v>
      </c>
      <c r="AN860" s="48">
        <f t="shared" ca="1" si="276"/>
        <v>2.8899013462469147</v>
      </c>
      <c r="AO860" s="48">
        <f t="shared" ca="1" si="276"/>
        <v>2.3408200904600021</v>
      </c>
      <c r="AP860" s="48">
        <f t="shared" ca="1" si="276"/>
        <v>0</v>
      </c>
      <c r="AQ860" s="48">
        <f t="shared" ca="1" si="276"/>
        <v>0</v>
      </c>
      <c r="AR860" s="48">
        <f t="shared" ca="1" si="276"/>
        <v>0</v>
      </c>
      <c r="AS860" s="48">
        <f t="shared" ca="1" si="276"/>
        <v>0</v>
      </c>
      <c r="AT860" s="48">
        <f t="shared" ca="1" si="276"/>
        <v>0</v>
      </c>
      <c r="AU860" s="48">
        <f t="shared" ca="1" si="276"/>
        <v>0</v>
      </c>
      <c r="AV860" s="48">
        <f t="shared" ca="1" si="276"/>
        <v>0</v>
      </c>
      <c r="AW860" s="48">
        <f t="shared" ca="1" si="276"/>
        <v>0</v>
      </c>
      <c r="AX860" s="48">
        <f t="shared" ca="1" si="276"/>
        <v>0</v>
      </c>
    </row>
    <row r="861" spans="1:50" ht="15" customHeight="1" x14ac:dyDescent="0.25">
      <c r="A861" s="241"/>
      <c r="B861" s="675"/>
      <c r="C861" s="615"/>
      <c r="D861" s="64"/>
      <c r="E861" s="490" t="str">
        <f>E$35</f>
        <v>Carbon tax cost recoverable and CIT and RRT deductible</v>
      </c>
      <c r="F861" s="490" t="str">
        <f>F$35</f>
        <v>yes</v>
      </c>
      <c r="G861" s="490" t="str">
        <f>G$35</f>
        <v>Option</v>
      </c>
      <c r="H861" s="55"/>
      <c r="I861" s="55"/>
      <c r="J861" s="55"/>
      <c r="K861" s="55"/>
      <c r="L861" s="55"/>
      <c r="M861" s="55"/>
      <c r="N861" s="55"/>
      <c r="O861" s="55"/>
      <c r="P861" s="55"/>
      <c r="Q861" s="55"/>
      <c r="R861" s="55"/>
      <c r="S861" s="55"/>
      <c r="T861" s="55"/>
      <c r="U861" s="55"/>
      <c r="V861" s="55"/>
      <c r="W861" s="55"/>
      <c r="X861" s="55"/>
      <c r="Y861" s="55"/>
      <c r="Z861" s="55"/>
      <c r="AA861" s="55"/>
      <c r="AB861" s="55"/>
      <c r="AC861" s="55"/>
      <c r="AD861" s="55"/>
      <c r="AE861" s="55"/>
      <c r="AF861" s="55"/>
      <c r="AG861" s="55"/>
      <c r="AH861" s="55"/>
      <c r="AI861" s="55"/>
      <c r="AJ861" s="55"/>
      <c r="AK861" s="55"/>
      <c r="AL861" s="55"/>
      <c r="AM861" s="55"/>
      <c r="AN861" s="55"/>
      <c r="AO861" s="55"/>
      <c r="AP861" s="55"/>
      <c r="AQ861" s="55"/>
      <c r="AR861" s="55"/>
      <c r="AS861" s="55"/>
      <c r="AT861" s="55"/>
      <c r="AU861" s="55"/>
      <c r="AV861" s="55"/>
      <c r="AW861" s="55"/>
      <c r="AX861" s="55"/>
    </row>
    <row r="862" spans="1:50" ht="15" customHeight="1" x14ac:dyDescent="0.25">
      <c r="B862" s="675"/>
      <c r="C862" s="615"/>
      <c r="D862" s="48"/>
      <c r="E862" s="222" t="str">
        <f>Inputs!E$87</f>
        <v>Label: yes</v>
      </c>
      <c r="F862" s="533" t="str">
        <f>Inputs!F$87</f>
        <v>yes</v>
      </c>
      <c r="G862" s="222" t="str">
        <f>Inputs!G$87</f>
        <v>Label</v>
      </c>
      <c r="H862" s="48"/>
      <c r="I862" s="48"/>
    </row>
    <row r="863" spans="1:50" ht="15" customHeight="1" x14ac:dyDescent="0.25">
      <c r="A863" s="241"/>
      <c r="B863" s="675"/>
      <c r="C863" s="615"/>
      <c r="D863" s="64"/>
      <c r="E863" s="222" t="str">
        <f>Inputs!E$88</f>
        <v>Label: no</v>
      </c>
      <c r="F863" s="533" t="str">
        <f>Inputs!F$88</f>
        <v>no</v>
      </c>
      <c r="G863" s="222" t="str">
        <f>Inputs!G$88</f>
        <v>Label</v>
      </c>
      <c r="H863" s="55"/>
      <c r="I863" s="55"/>
      <c r="J863" s="55"/>
      <c r="K863" s="55"/>
      <c r="L863" s="55"/>
      <c r="M863" s="55"/>
      <c r="N863" s="55"/>
      <c r="O863" s="55"/>
      <c r="P863" s="55"/>
      <c r="Q863" s="55"/>
      <c r="R863" s="55"/>
      <c r="S863" s="55"/>
      <c r="T863" s="55"/>
      <c r="U863" s="55"/>
      <c r="V863" s="55"/>
      <c r="W863" s="55"/>
      <c r="X863" s="55"/>
      <c r="Y863" s="55"/>
      <c r="Z863" s="55"/>
      <c r="AA863" s="55"/>
      <c r="AB863" s="55"/>
      <c r="AC863" s="55"/>
      <c r="AD863" s="55"/>
      <c r="AE863" s="55"/>
      <c r="AF863" s="55"/>
      <c r="AG863" s="55"/>
      <c r="AH863" s="55"/>
      <c r="AI863" s="55"/>
      <c r="AJ863" s="55"/>
      <c r="AK863" s="55"/>
      <c r="AL863" s="55"/>
      <c r="AM863" s="55"/>
      <c r="AN863" s="55"/>
      <c r="AO863" s="55"/>
      <c r="AP863" s="55"/>
      <c r="AQ863" s="55"/>
      <c r="AR863" s="55"/>
      <c r="AS863" s="55"/>
      <c r="AT863" s="55"/>
      <c r="AU863" s="55"/>
      <c r="AV863" s="55"/>
      <c r="AW863" s="55"/>
      <c r="AX863" s="55"/>
    </row>
    <row r="864" spans="1:50" s="7" customFormat="1" ht="15" customHeight="1" x14ac:dyDescent="0.25">
      <c r="A864" s="274"/>
      <c r="B864" s="672"/>
      <c r="C864" s="618"/>
      <c r="D864" s="64"/>
      <c r="E864" s="55" t="str">
        <f xml:space="preserve"> E860 &amp;  " " &amp; Translate!E538</f>
        <v>Carbon tax: IOC deductible</v>
      </c>
      <c r="F864" s="64"/>
      <c r="G864" s="55" t="str">
        <f xml:space="preserve"> Translate!E$603</f>
        <v>US$ mn</v>
      </c>
      <c r="H864" s="55"/>
      <c r="I864" s="55">
        <f ca="1" xml:space="preserve"> SUM(K864:AX864)</f>
        <v>808.75002537955561</v>
      </c>
      <c r="J864" s="55"/>
      <c r="K864" s="55">
        <f t="shared" ref="K864:AX864" ca="1" si="277" xml:space="preserve"> K860 * ($F861 &lt;&gt; $F863)</f>
        <v>0</v>
      </c>
      <c r="L864" s="55">
        <f t="shared" ca="1" si="277"/>
        <v>0</v>
      </c>
      <c r="M864" s="55">
        <f t="shared" ca="1" si="277"/>
        <v>0</v>
      </c>
      <c r="N864" s="55">
        <f t="shared" ca="1" si="277"/>
        <v>0</v>
      </c>
      <c r="O864" s="55">
        <f t="shared" ca="1" si="277"/>
        <v>3.5145821862532287</v>
      </c>
      <c r="P864" s="55">
        <f t="shared" ca="1" si="277"/>
        <v>27.609768000000003</v>
      </c>
      <c r="Q864" s="55">
        <f t="shared" ca="1" si="277"/>
        <v>55.219536000000005</v>
      </c>
      <c r="R864" s="55">
        <f t="shared" ca="1" si="277"/>
        <v>55.219536000000005</v>
      </c>
      <c r="S864" s="55">
        <f t="shared" ca="1" si="277"/>
        <v>55.219536000000005</v>
      </c>
      <c r="T864" s="55">
        <f t="shared" ca="1" si="277"/>
        <v>55.219536000000005</v>
      </c>
      <c r="U864" s="55">
        <f t="shared" ca="1" si="277"/>
        <v>55.219536000000005</v>
      </c>
      <c r="V864" s="55">
        <f t="shared" ca="1" si="277"/>
        <v>55.219536000000005</v>
      </c>
      <c r="W864" s="55">
        <f t="shared" ca="1" si="277"/>
        <v>55.219536000000005</v>
      </c>
      <c r="X864" s="55">
        <f t="shared" ca="1" si="277"/>
        <v>55.219536000000005</v>
      </c>
      <c r="Y864" s="55">
        <f t="shared" ca="1" si="277"/>
        <v>55.219536000000005</v>
      </c>
      <c r="Z864" s="55">
        <f t="shared" ca="1" si="277"/>
        <v>55.219536000000005</v>
      </c>
      <c r="AA864" s="55">
        <f t="shared" ca="1" si="277"/>
        <v>44.727824160000011</v>
      </c>
      <c r="AB864" s="55">
        <f t="shared" ca="1" si="277"/>
        <v>36.229537569600005</v>
      </c>
      <c r="AC864" s="55">
        <f t="shared" ca="1" si="277"/>
        <v>29.34592543137601</v>
      </c>
      <c r="AD864" s="55">
        <f t="shared" ca="1" si="277"/>
        <v>23.770199599414575</v>
      </c>
      <c r="AE864" s="55">
        <f t="shared" ca="1" si="277"/>
        <v>19.253861675525808</v>
      </c>
      <c r="AF864" s="55">
        <f t="shared" ca="1" si="277"/>
        <v>15.595627957175903</v>
      </c>
      <c r="AG864" s="55">
        <f t="shared" ca="1" si="277"/>
        <v>12.632458645312484</v>
      </c>
      <c r="AH864" s="55">
        <f t="shared" ca="1" si="277"/>
        <v>10.232291502703113</v>
      </c>
      <c r="AI864" s="55">
        <f t="shared" ca="1" si="277"/>
        <v>8.2881561171895211</v>
      </c>
      <c r="AJ864" s="55">
        <f t="shared" ca="1" si="277"/>
        <v>6.7134064549235122</v>
      </c>
      <c r="AK864" s="55">
        <f t="shared" ca="1" si="277"/>
        <v>5.4378592284880458</v>
      </c>
      <c r="AL864" s="55">
        <f t="shared" ca="1" si="277"/>
        <v>4.4046659750753161</v>
      </c>
      <c r="AM864" s="55">
        <f t="shared" ca="1" si="277"/>
        <v>3.5677794398110061</v>
      </c>
      <c r="AN864" s="55">
        <f t="shared" ca="1" si="277"/>
        <v>2.8899013462469147</v>
      </c>
      <c r="AO864" s="55">
        <f t="shared" ca="1" si="277"/>
        <v>2.3408200904600021</v>
      </c>
      <c r="AP864" s="55">
        <f t="shared" ca="1" si="277"/>
        <v>0</v>
      </c>
      <c r="AQ864" s="55">
        <f t="shared" ca="1" si="277"/>
        <v>0</v>
      </c>
      <c r="AR864" s="55">
        <f t="shared" ca="1" si="277"/>
        <v>0</v>
      </c>
      <c r="AS864" s="55">
        <f t="shared" ca="1" si="277"/>
        <v>0</v>
      </c>
      <c r="AT864" s="55">
        <f t="shared" ca="1" si="277"/>
        <v>0</v>
      </c>
      <c r="AU864" s="55">
        <f t="shared" ca="1" si="277"/>
        <v>0</v>
      </c>
      <c r="AV864" s="55">
        <f t="shared" ca="1" si="277"/>
        <v>0</v>
      </c>
      <c r="AW864" s="55">
        <f t="shared" ca="1" si="277"/>
        <v>0</v>
      </c>
      <c r="AX864" s="55">
        <f t="shared" ca="1" si="277"/>
        <v>0</v>
      </c>
    </row>
    <row r="865" spans="1:50" ht="15" customHeight="1" x14ac:dyDescent="0.25">
      <c r="A865" s="241"/>
      <c r="B865" s="675"/>
      <c r="C865" s="615"/>
      <c r="D865" s="64"/>
      <c r="E865" s="55"/>
      <c r="F865" s="64"/>
      <c r="G865" s="55"/>
      <c r="H865" s="55"/>
      <c r="I865" s="55"/>
      <c r="J865" s="55"/>
      <c r="K865" s="55"/>
      <c r="L865" s="55"/>
      <c r="M865" s="55"/>
      <c r="N865" s="55"/>
      <c r="O865" s="55"/>
      <c r="P865" s="55"/>
      <c r="Q865" s="55"/>
      <c r="R865" s="55"/>
      <c r="S865" s="55"/>
      <c r="T865" s="55"/>
      <c r="U865" s="55"/>
      <c r="V865" s="55"/>
      <c r="W865" s="55"/>
      <c r="X865" s="55"/>
      <c r="Y865" s="55"/>
      <c r="Z865" s="55"/>
      <c r="AA865" s="55"/>
      <c r="AB865" s="55"/>
      <c r="AC865" s="55"/>
      <c r="AD865" s="55"/>
      <c r="AE865" s="55"/>
      <c r="AF865" s="55"/>
      <c r="AG865" s="55"/>
      <c r="AH865" s="55"/>
      <c r="AI865" s="55"/>
      <c r="AJ865" s="55"/>
      <c r="AK865" s="55"/>
      <c r="AL865" s="55"/>
      <c r="AM865" s="55"/>
      <c r="AN865" s="55"/>
      <c r="AO865" s="55"/>
      <c r="AP865" s="55"/>
      <c r="AQ865" s="55"/>
      <c r="AR865" s="55"/>
      <c r="AS865" s="55"/>
      <c r="AT865" s="55"/>
      <c r="AU865" s="55"/>
      <c r="AV865" s="55"/>
      <c r="AW865" s="55"/>
      <c r="AX865" s="55"/>
    </row>
    <row r="866" spans="1:50" ht="15" customHeight="1" x14ac:dyDescent="0.25">
      <c r="A866" s="241"/>
      <c r="B866" s="675" t="str">
        <f>Translate!$E$453</f>
        <v>Deductions</v>
      </c>
      <c r="D866" s="281"/>
      <c r="E866" s="55"/>
      <c r="F866" s="64"/>
      <c r="G866" s="55"/>
      <c r="H866" s="55"/>
      <c r="I866" s="55"/>
      <c r="J866" s="55"/>
      <c r="K866" s="55"/>
      <c r="L866" s="55"/>
      <c r="M866" s="55"/>
      <c r="N866" s="55"/>
      <c r="O866" s="55"/>
      <c r="P866" s="55"/>
      <c r="Q866" s="55"/>
      <c r="R866" s="55"/>
      <c r="S866" s="55"/>
      <c r="T866" s="55"/>
      <c r="U866" s="55"/>
      <c r="V866" s="55"/>
      <c r="W866" s="55"/>
      <c r="X866" s="55"/>
      <c r="Y866" s="55"/>
      <c r="Z866" s="55"/>
      <c r="AA866" s="55"/>
      <c r="AB866" s="55"/>
      <c r="AC866" s="55"/>
      <c r="AD866" s="55"/>
      <c r="AE866" s="55"/>
      <c r="AF866" s="55"/>
      <c r="AG866" s="55"/>
      <c r="AH866" s="55"/>
      <c r="AI866" s="55"/>
      <c r="AJ866" s="55"/>
      <c r="AK866" s="55"/>
      <c r="AL866" s="55"/>
      <c r="AM866" s="55"/>
      <c r="AN866" s="55"/>
      <c r="AO866" s="55"/>
      <c r="AP866" s="55"/>
      <c r="AQ866" s="55"/>
      <c r="AR866" s="55"/>
      <c r="AS866" s="55"/>
      <c r="AT866" s="55"/>
      <c r="AU866" s="55"/>
      <c r="AV866" s="55"/>
      <c r="AW866" s="55"/>
      <c r="AX866" s="55"/>
    </row>
    <row r="867" spans="1:50" ht="15" customHeight="1" x14ac:dyDescent="0.25">
      <c r="A867" s="241"/>
      <c r="B867" s="675"/>
      <c r="D867" s="281"/>
      <c r="E867" s="55" t="str">
        <f t="shared" ref="E867:AX867" si="278" xml:space="preserve"> E$857</f>
        <v>T&amp;R: Royalty attributable to: IOC: deductible</v>
      </c>
      <c r="F867" s="55">
        <f t="shared" si="278"/>
        <v>0</v>
      </c>
      <c r="G867" s="55" t="str">
        <f t="shared" si="278"/>
        <v>US$ mn</v>
      </c>
      <c r="H867" s="55">
        <f t="shared" si="278"/>
        <v>0</v>
      </c>
      <c r="I867" s="55">
        <f t="shared" ca="1" si="278"/>
        <v>9146.9669629460022</v>
      </c>
      <c r="J867" s="55">
        <f t="shared" si="278"/>
        <v>0</v>
      </c>
      <c r="K867" s="55">
        <f t="shared" ca="1" si="278"/>
        <v>0</v>
      </c>
      <c r="L867" s="55">
        <f t="shared" ca="1" si="278"/>
        <v>0</v>
      </c>
      <c r="M867" s="55">
        <f t="shared" ca="1" si="278"/>
        <v>0</v>
      </c>
      <c r="N867" s="55">
        <f t="shared" ca="1" si="278"/>
        <v>0</v>
      </c>
      <c r="O867" s="55">
        <f t="shared" ca="1" si="278"/>
        <v>33.193147297575713</v>
      </c>
      <c r="P867" s="55">
        <f t="shared" ca="1" si="278"/>
        <v>265.97306549088</v>
      </c>
      <c r="Q867" s="55">
        <f t="shared" ca="1" si="278"/>
        <v>542.58505360139532</v>
      </c>
      <c r="R867" s="55">
        <f t="shared" ca="1" si="278"/>
        <v>553.43675467342314</v>
      </c>
      <c r="S867" s="55">
        <f t="shared" ca="1" si="278"/>
        <v>564.50548976689174</v>
      </c>
      <c r="T867" s="55">
        <f t="shared" ca="1" si="278"/>
        <v>575.79559956222943</v>
      </c>
      <c r="U867" s="55">
        <f t="shared" ca="1" si="278"/>
        <v>587.31151155347402</v>
      </c>
      <c r="V867" s="55">
        <f t="shared" ca="1" si="278"/>
        <v>599.05774178454362</v>
      </c>
      <c r="W867" s="55">
        <f t="shared" ca="1" si="278"/>
        <v>611.03889662023448</v>
      </c>
      <c r="X867" s="55">
        <f t="shared" ca="1" si="278"/>
        <v>623.25967455263913</v>
      </c>
      <c r="Y867" s="55">
        <f t="shared" ca="1" si="278"/>
        <v>635.72486804369191</v>
      </c>
      <c r="Z867" s="55">
        <f t="shared" ca="1" si="278"/>
        <v>648.43936540456582</v>
      </c>
      <c r="AA867" s="55">
        <f t="shared" ca="1" si="278"/>
        <v>535.74060369725237</v>
      </c>
      <c r="AB867" s="55">
        <f t="shared" ca="1" si="278"/>
        <v>442.62888677466998</v>
      </c>
      <c r="AC867" s="55">
        <f t="shared" ca="1" si="278"/>
        <v>365.6999862532324</v>
      </c>
      <c r="AD867" s="55">
        <f t="shared" ca="1" si="278"/>
        <v>302.14132864242066</v>
      </c>
      <c r="AE867" s="55">
        <f t="shared" ca="1" si="278"/>
        <v>249.62916572436794</v>
      </c>
      <c r="AF867" s="55">
        <f t="shared" ca="1" si="278"/>
        <v>206.24361672147285</v>
      </c>
      <c r="AG867" s="55">
        <f t="shared" ca="1" si="278"/>
        <v>170.39847613528087</v>
      </c>
      <c r="AH867" s="55">
        <f t="shared" ca="1" si="278"/>
        <v>140.78322098296906</v>
      </c>
      <c r="AI867" s="55">
        <f t="shared" ca="1" si="278"/>
        <v>116.31509717612906</v>
      </c>
      <c r="AJ867" s="55">
        <f t="shared" ca="1" si="278"/>
        <v>96.099533286917818</v>
      </c>
      <c r="AK867" s="55">
        <f t="shared" ca="1" si="278"/>
        <v>79.397434401651509</v>
      </c>
      <c r="AL867" s="55">
        <f t="shared" ca="1" si="278"/>
        <v>65.598160302644459</v>
      </c>
      <c r="AM867" s="55">
        <f t="shared" ca="1" si="278"/>
        <v>54.197200042044869</v>
      </c>
      <c r="AN867" s="55">
        <f t="shared" ca="1" si="278"/>
        <v>44.777726674737472</v>
      </c>
      <c r="AO867" s="55">
        <f t="shared" ca="1" si="278"/>
        <v>36.995357778668108</v>
      </c>
      <c r="AP867" s="55">
        <f t="shared" ca="1" si="278"/>
        <v>0</v>
      </c>
      <c r="AQ867" s="55">
        <f t="shared" ca="1" si="278"/>
        <v>0</v>
      </c>
      <c r="AR867" s="55">
        <f t="shared" ca="1" si="278"/>
        <v>0</v>
      </c>
      <c r="AS867" s="55">
        <f t="shared" ca="1" si="278"/>
        <v>0</v>
      </c>
      <c r="AT867" s="55">
        <f t="shared" ca="1" si="278"/>
        <v>0</v>
      </c>
      <c r="AU867" s="55">
        <f t="shared" ca="1" si="278"/>
        <v>0</v>
      </c>
      <c r="AV867" s="55">
        <f t="shared" ca="1" si="278"/>
        <v>0</v>
      </c>
      <c r="AW867" s="55">
        <f t="shared" ca="1" si="278"/>
        <v>0</v>
      </c>
      <c r="AX867" s="55">
        <f t="shared" ca="1" si="278"/>
        <v>0</v>
      </c>
    </row>
    <row r="868" spans="1:50" ht="15" customHeight="1" x14ac:dyDescent="0.25">
      <c r="A868" s="241"/>
      <c r="B868" s="675"/>
      <c r="C868" s="615"/>
      <c r="D868" s="64"/>
      <c r="E868" s="55" t="str">
        <f t="shared" ref="E868:AX868" si="279" xml:space="preserve"> E$765</f>
        <v>Exploration costs, after ELT: IOC: deducted immediately</v>
      </c>
      <c r="F868" s="64">
        <f t="shared" si="279"/>
        <v>0</v>
      </c>
      <c r="G868" s="55" t="str">
        <f t="shared" si="279"/>
        <v>US$ mn</v>
      </c>
      <c r="H868" s="55">
        <f t="shared" si="279"/>
        <v>0</v>
      </c>
      <c r="I868" s="55">
        <f t="shared" ca="1" si="279"/>
        <v>420</v>
      </c>
      <c r="J868" s="55">
        <f t="shared" si="279"/>
        <v>0</v>
      </c>
      <c r="K868" s="55">
        <f t="shared" ca="1" si="279"/>
        <v>420</v>
      </c>
      <c r="L868" s="55">
        <f t="shared" ca="1" si="279"/>
        <v>0</v>
      </c>
      <c r="M868" s="55">
        <f t="shared" ca="1" si="279"/>
        <v>0</v>
      </c>
      <c r="N868" s="55">
        <f t="shared" ca="1" si="279"/>
        <v>0</v>
      </c>
      <c r="O868" s="55">
        <f t="shared" ca="1" si="279"/>
        <v>0</v>
      </c>
      <c r="P868" s="55">
        <f t="shared" ca="1" si="279"/>
        <v>0</v>
      </c>
      <c r="Q868" s="55">
        <f t="shared" ca="1" si="279"/>
        <v>0</v>
      </c>
      <c r="R868" s="55">
        <f t="shared" ca="1" si="279"/>
        <v>0</v>
      </c>
      <c r="S868" s="55">
        <f t="shared" ca="1" si="279"/>
        <v>0</v>
      </c>
      <c r="T868" s="55">
        <f t="shared" ca="1" si="279"/>
        <v>0</v>
      </c>
      <c r="U868" s="55">
        <f t="shared" ca="1" si="279"/>
        <v>0</v>
      </c>
      <c r="V868" s="55">
        <f t="shared" ca="1" si="279"/>
        <v>0</v>
      </c>
      <c r="W868" s="55">
        <f t="shared" ca="1" si="279"/>
        <v>0</v>
      </c>
      <c r="X868" s="55">
        <f t="shared" ca="1" si="279"/>
        <v>0</v>
      </c>
      <c r="Y868" s="55">
        <f t="shared" ca="1" si="279"/>
        <v>0</v>
      </c>
      <c r="Z868" s="55">
        <f t="shared" ca="1" si="279"/>
        <v>0</v>
      </c>
      <c r="AA868" s="55">
        <f t="shared" ca="1" si="279"/>
        <v>0</v>
      </c>
      <c r="AB868" s="55">
        <f t="shared" ca="1" si="279"/>
        <v>0</v>
      </c>
      <c r="AC868" s="55">
        <f t="shared" ca="1" si="279"/>
        <v>0</v>
      </c>
      <c r="AD868" s="55">
        <f t="shared" ca="1" si="279"/>
        <v>0</v>
      </c>
      <c r="AE868" s="55">
        <f t="shared" ca="1" si="279"/>
        <v>0</v>
      </c>
      <c r="AF868" s="55">
        <f t="shared" ca="1" si="279"/>
        <v>0</v>
      </c>
      <c r="AG868" s="55">
        <f t="shared" ca="1" si="279"/>
        <v>0</v>
      </c>
      <c r="AH868" s="55">
        <f t="shared" ca="1" si="279"/>
        <v>0</v>
      </c>
      <c r="AI868" s="55">
        <f t="shared" ca="1" si="279"/>
        <v>0</v>
      </c>
      <c r="AJ868" s="55">
        <f t="shared" ca="1" si="279"/>
        <v>0</v>
      </c>
      <c r="AK868" s="55">
        <f t="shared" ca="1" si="279"/>
        <v>0</v>
      </c>
      <c r="AL868" s="55">
        <f t="shared" ca="1" si="279"/>
        <v>0</v>
      </c>
      <c r="AM868" s="55">
        <f t="shared" ca="1" si="279"/>
        <v>0</v>
      </c>
      <c r="AN868" s="55">
        <f t="shared" ca="1" si="279"/>
        <v>0</v>
      </c>
      <c r="AO868" s="55">
        <f t="shared" ca="1" si="279"/>
        <v>0</v>
      </c>
      <c r="AP868" s="55">
        <f t="shared" ca="1" si="279"/>
        <v>0</v>
      </c>
      <c r="AQ868" s="55">
        <f t="shared" ca="1" si="279"/>
        <v>0</v>
      </c>
      <c r="AR868" s="55">
        <f t="shared" ca="1" si="279"/>
        <v>0</v>
      </c>
      <c r="AS868" s="55">
        <f t="shared" ca="1" si="279"/>
        <v>0</v>
      </c>
      <c r="AT868" s="55">
        <f t="shared" ca="1" si="279"/>
        <v>0</v>
      </c>
      <c r="AU868" s="55">
        <f t="shared" ca="1" si="279"/>
        <v>0</v>
      </c>
      <c r="AV868" s="55">
        <f t="shared" ca="1" si="279"/>
        <v>0</v>
      </c>
      <c r="AW868" s="55">
        <f t="shared" ca="1" si="279"/>
        <v>0</v>
      </c>
      <c r="AX868" s="55">
        <f t="shared" ca="1" si="279"/>
        <v>0</v>
      </c>
    </row>
    <row r="869" spans="1:50" ht="15" customHeight="1" x14ac:dyDescent="0.25">
      <c r="A869" s="241"/>
      <c r="B869" s="675"/>
      <c r="C869" s="615"/>
      <c r="D869" s="64"/>
      <c r="E869" s="55" t="str">
        <f t="shared" ref="E869:AX869" si="280" xml:space="preserve"> E$839</f>
        <v xml:space="preserve">Tax depreciation charge IOC </v>
      </c>
      <c r="F869" s="64">
        <f t="shared" si="280"/>
        <v>0</v>
      </c>
      <c r="G869" s="55" t="str">
        <f t="shared" si="280"/>
        <v>US$ mn</v>
      </c>
      <c r="H869" s="55">
        <f t="shared" si="280"/>
        <v>0</v>
      </c>
      <c r="I869" s="55">
        <f t="shared" ca="1" si="280"/>
        <v>8399.7511044325329</v>
      </c>
      <c r="J869" s="55">
        <f t="shared" si="280"/>
        <v>0</v>
      </c>
      <c r="K869" s="55">
        <f t="shared" ca="1" si="280"/>
        <v>0</v>
      </c>
      <c r="L869" s="55">
        <f t="shared" ca="1" si="280"/>
        <v>0</v>
      </c>
      <c r="M869" s="55">
        <f t="shared" ca="1" si="280"/>
        <v>0</v>
      </c>
      <c r="N869" s="55">
        <f t="shared" ca="1" si="280"/>
        <v>0</v>
      </c>
      <c r="O869" s="55">
        <f t="shared" ca="1" si="280"/>
        <v>476.73676657758006</v>
      </c>
      <c r="P869" s="55">
        <f t="shared" ca="1" si="280"/>
        <v>847.70791645278007</v>
      </c>
      <c r="Q869" s="55">
        <f t="shared" ca="1" si="280"/>
        <v>1045.912502243244</v>
      </c>
      <c r="R869" s="55">
        <f t="shared" ca="1" si="280"/>
        <v>1128.6178703139924</v>
      </c>
      <c r="S869" s="55">
        <f t="shared" ca="1" si="280"/>
        <v>1175.4842455540829</v>
      </c>
      <c r="T869" s="55">
        <f t="shared" ca="1" si="280"/>
        <v>746.55118172139532</v>
      </c>
      <c r="U869" s="55">
        <f t="shared" ca="1" si="280"/>
        <v>424.33980864598573</v>
      </c>
      <c r="V869" s="55">
        <f t="shared" ca="1" si="280"/>
        <v>275.8701951913078</v>
      </c>
      <c r="W869" s="55">
        <f t="shared" ca="1" si="280"/>
        <v>243.8944989030615</v>
      </c>
      <c r="X869" s="55">
        <f t="shared" ca="1" si="280"/>
        <v>248.77238888112274</v>
      </c>
      <c r="Y869" s="55">
        <f t="shared" ca="1" si="280"/>
        <v>253.74783665874514</v>
      </c>
      <c r="Z869" s="55">
        <f t="shared" ca="1" si="280"/>
        <v>258.82279339192007</v>
      </c>
      <c r="AA869" s="55">
        <f t="shared" ca="1" si="280"/>
        <v>263.99924925975847</v>
      </c>
      <c r="AB869" s="55">
        <f t="shared" ca="1" si="280"/>
        <v>213.26957747725663</v>
      </c>
      <c r="AC869" s="55">
        <f t="shared" ca="1" si="280"/>
        <v>161.52531225910479</v>
      </c>
      <c r="AD869" s="55">
        <f t="shared" ca="1" si="280"/>
        <v>155.36411925747944</v>
      </c>
      <c r="AE869" s="55">
        <f t="shared" ca="1" si="280"/>
        <v>149.07970239582161</v>
      </c>
      <c r="AF869" s="55">
        <f t="shared" ca="1" si="280"/>
        <v>94.168274192197117</v>
      </c>
      <c r="AG869" s="55">
        <f t="shared" ca="1" si="280"/>
        <v>94.168274192197117</v>
      </c>
      <c r="AH869" s="55">
        <f t="shared" ca="1" si="280"/>
        <v>94.168274192197117</v>
      </c>
      <c r="AI869" s="55">
        <f t="shared" ca="1" si="280"/>
        <v>47.550316671307563</v>
      </c>
      <c r="AJ869" s="55">
        <f t="shared" ca="1" si="280"/>
        <v>2.1032064978498967E-13</v>
      </c>
      <c r="AK869" s="55">
        <f t="shared" ca="1" si="280"/>
        <v>2.1032064978498967E-13</v>
      </c>
      <c r="AL869" s="55">
        <f t="shared" ca="1" si="280"/>
        <v>2.1032064978498967E-13</v>
      </c>
      <c r="AM869" s="55">
        <f t="shared" ca="1" si="280"/>
        <v>2.1032064978498967E-13</v>
      </c>
      <c r="AN869" s="55">
        <f t="shared" ca="1" si="280"/>
        <v>2.1032064978498967E-13</v>
      </c>
      <c r="AO869" s="55">
        <f t="shared" ca="1" si="280"/>
        <v>-4.1708858589117889E-12</v>
      </c>
      <c r="AP869" s="55">
        <f t="shared" ca="1" si="280"/>
        <v>0</v>
      </c>
      <c r="AQ869" s="55">
        <f t="shared" ca="1" si="280"/>
        <v>0</v>
      </c>
      <c r="AR869" s="55">
        <f t="shared" ca="1" si="280"/>
        <v>0</v>
      </c>
      <c r="AS869" s="55">
        <f t="shared" ca="1" si="280"/>
        <v>0</v>
      </c>
      <c r="AT869" s="55">
        <f t="shared" ca="1" si="280"/>
        <v>0</v>
      </c>
      <c r="AU869" s="55">
        <f t="shared" ca="1" si="280"/>
        <v>0</v>
      </c>
      <c r="AV869" s="55">
        <f t="shared" ca="1" si="280"/>
        <v>0</v>
      </c>
      <c r="AW869" s="55">
        <f t="shared" ca="1" si="280"/>
        <v>0</v>
      </c>
      <c r="AX869" s="55">
        <f t="shared" ca="1" si="280"/>
        <v>0</v>
      </c>
    </row>
    <row r="870" spans="1:50" ht="15" customHeight="1" x14ac:dyDescent="0.25">
      <c r="A870" s="241"/>
      <c r="B870" s="675"/>
      <c r="C870" s="615"/>
      <c r="D870" s="64"/>
      <c r="E870" s="55" t="str">
        <f t="shared" ref="E870:AX870" si="281" xml:space="preserve"> E$745</f>
        <v>Operating costs, after ELT: IOC</v>
      </c>
      <c r="F870" s="64">
        <f t="shared" si="281"/>
        <v>0</v>
      </c>
      <c r="G870" s="55" t="str">
        <f t="shared" si="281"/>
        <v>US$ mn</v>
      </c>
      <c r="H870" s="55">
        <f t="shared" si="281"/>
        <v>0</v>
      </c>
      <c r="I870" s="55">
        <f t="shared" ca="1" si="281"/>
        <v>4927.2900747120902</v>
      </c>
      <c r="J870" s="55">
        <f t="shared" si="281"/>
        <v>0</v>
      </c>
      <c r="K870" s="55">
        <f t="shared" ca="1" si="281"/>
        <v>0</v>
      </c>
      <c r="L870" s="55">
        <f t="shared" ca="1" si="281"/>
        <v>0</v>
      </c>
      <c r="M870" s="55">
        <f t="shared" ca="1" si="281"/>
        <v>0</v>
      </c>
      <c r="N870" s="55">
        <f t="shared" ca="1" si="281"/>
        <v>0</v>
      </c>
      <c r="O870" s="55">
        <f t="shared" ca="1" si="281"/>
        <v>43.297286400000004</v>
      </c>
      <c r="P870" s="55">
        <f t="shared" ca="1" si="281"/>
        <v>158.98763566079998</v>
      </c>
      <c r="Q870" s="55">
        <f t="shared" ca="1" si="281"/>
        <v>234.24178320691203</v>
      </c>
      <c r="R870" s="55">
        <f t="shared" ca="1" si="281"/>
        <v>238.92661887105024</v>
      </c>
      <c r="S870" s="55">
        <f t="shared" ca="1" si="281"/>
        <v>243.70515124847128</v>
      </c>
      <c r="T870" s="55">
        <f t="shared" ca="1" si="281"/>
        <v>248.57925427344071</v>
      </c>
      <c r="U870" s="55">
        <f t="shared" ca="1" si="281"/>
        <v>253.55083935890951</v>
      </c>
      <c r="V870" s="55">
        <f t="shared" ca="1" si="281"/>
        <v>258.62185614608768</v>
      </c>
      <c r="W870" s="55">
        <f t="shared" ca="1" si="281"/>
        <v>263.79429326900947</v>
      </c>
      <c r="X870" s="55">
        <f t="shared" ca="1" si="281"/>
        <v>269.0701791343896</v>
      </c>
      <c r="Y870" s="55">
        <f t="shared" ca="1" si="281"/>
        <v>274.45158271707749</v>
      </c>
      <c r="Z870" s="55">
        <f t="shared" ca="1" si="281"/>
        <v>279.94061437141897</v>
      </c>
      <c r="AA870" s="55">
        <f t="shared" ca="1" si="281"/>
        <v>285.53942665884739</v>
      </c>
      <c r="AB870" s="55">
        <f t="shared" ca="1" si="281"/>
        <v>291.25021519202437</v>
      </c>
      <c r="AC870" s="55">
        <f t="shared" ca="1" si="281"/>
        <v>171.38954970915282</v>
      </c>
      <c r="AD870" s="55">
        <f t="shared" ca="1" si="281"/>
        <v>163.16285132311344</v>
      </c>
      <c r="AE870" s="55">
        <f t="shared" ca="1" si="281"/>
        <v>142.65095001392208</v>
      </c>
      <c r="AF870" s="55">
        <f t="shared" ca="1" si="281"/>
        <v>134.59117133813547</v>
      </c>
      <c r="AG870" s="55">
        <f t="shared" ca="1" si="281"/>
        <v>123.67837366207046</v>
      </c>
      <c r="AH870" s="55">
        <f t="shared" ca="1" si="281"/>
        <v>119.84434407854626</v>
      </c>
      <c r="AI870" s="55">
        <f t="shared" ca="1" si="281"/>
        <v>115.80748196221627</v>
      </c>
      <c r="AJ870" s="55">
        <f t="shared" ca="1" si="281"/>
        <v>111.56120762360169</v>
      </c>
      <c r="AK870" s="55">
        <f t="shared" ca="1" si="281"/>
        <v>107.09875931865761</v>
      </c>
      <c r="AL870" s="55">
        <f t="shared" ca="1" si="281"/>
        <v>102.41318859846635</v>
      </c>
      <c r="AM870" s="55">
        <f t="shared" ca="1" si="281"/>
        <v>97.497355545739964</v>
      </c>
      <c r="AN870" s="55">
        <f t="shared" ca="1" si="281"/>
        <v>99.44730265665477</v>
      </c>
      <c r="AO870" s="55">
        <f t="shared" ca="1" si="281"/>
        <v>94.190802373374453</v>
      </c>
      <c r="AP870" s="55">
        <f t="shared" ca="1" si="281"/>
        <v>0</v>
      </c>
      <c r="AQ870" s="55">
        <f t="shared" ca="1" si="281"/>
        <v>0</v>
      </c>
      <c r="AR870" s="55">
        <f t="shared" ca="1" si="281"/>
        <v>0</v>
      </c>
      <c r="AS870" s="55">
        <f t="shared" ca="1" si="281"/>
        <v>0</v>
      </c>
      <c r="AT870" s="55">
        <f t="shared" ca="1" si="281"/>
        <v>0</v>
      </c>
      <c r="AU870" s="55">
        <f t="shared" ca="1" si="281"/>
        <v>0</v>
      </c>
      <c r="AV870" s="55">
        <f t="shared" ca="1" si="281"/>
        <v>0</v>
      </c>
      <c r="AW870" s="55">
        <f t="shared" ca="1" si="281"/>
        <v>0</v>
      </c>
      <c r="AX870" s="55">
        <f t="shared" ca="1" si="281"/>
        <v>0</v>
      </c>
    </row>
    <row r="871" spans="1:50" ht="15" customHeight="1" x14ac:dyDescent="0.25">
      <c r="A871" s="241"/>
      <c r="B871" s="675"/>
      <c r="C871" s="615"/>
      <c r="D871" s="64"/>
      <c r="E871" s="55" t="str">
        <f t="shared" ref="E871:AX871" si="282" xml:space="preserve"> E$746</f>
        <v>Net decommissioning cashflows including fund: IOC</v>
      </c>
      <c r="F871" s="64">
        <f t="shared" si="282"/>
        <v>0</v>
      </c>
      <c r="G871" s="55" t="str">
        <f t="shared" si="282"/>
        <v>US$ mn</v>
      </c>
      <c r="H871" s="55">
        <f t="shared" si="282"/>
        <v>0</v>
      </c>
      <c r="I871" s="55">
        <f t="shared" ca="1" si="282"/>
        <v>913.95598448508929</v>
      </c>
      <c r="J871" s="55">
        <f t="shared" si="282"/>
        <v>0</v>
      </c>
      <c r="K871" s="55">
        <f t="shared" ca="1" si="282"/>
        <v>0</v>
      </c>
      <c r="L871" s="55">
        <f t="shared" ca="1" si="282"/>
        <v>0</v>
      </c>
      <c r="M871" s="55">
        <f t="shared" ca="1" si="282"/>
        <v>0</v>
      </c>
      <c r="N871" s="55">
        <f t="shared" ca="1" si="282"/>
        <v>0</v>
      </c>
      <c r="O871" s="55">
        <f t="shared" ca="1" si="282"/>
        <v>0</v>
      </c>
      <c r="P871" s="55">
        <f t="shared" ca="1" si="282"/>
        <v>0</v>
      </c>
      <c r="Q871" s="55">
        <f t="shared" ca="1" si="282"/>
        <v>0</v>
      </c>
      <c r="R871" s="55">
        <f t="shared" ca="1" si="282"/>
        <v>0</v>
      </c>
      <c r="S871" s="55">
        <f t="shared" ca="1" si="282"/>
        <v>0</v>
      </c>
      <c r="T871" s="55">
        <f t="shared" ca="1" si="282"/>
        <v>0</v>
      </c>
      <c r="U871" s="55">
        <f t="shared" ca="1" si="282"/>
        <v>0</v>
      </c>
      <c r="V871" s="55">
        <f t="shared" ca="1" si="282"/>
        <v>0</v>
      </c>
      <c r="W871" s="55">
        <f t="shared" ca="1" si="282"/>
        <v>50.994778372308772</v>
      </c>
      <c r="X871" s="55">
        <f t="shared" ca="1" si="282"/>
        <v>50.994778372308772</v>
      </c>
      <c r="Y871" s="55">
        <f t="shared" ca="1" si="282"/>
        <v>50.994778372308772</v>
      </c>
      <c r="Z871" s="55">
        <f t="shared" ca="1" si="282"/>
        <v>50.994778372308772</v>
      </c>
      <c r="AA871" s="55">
        <f t="shared" ca="1" si="282"/>
        <v>50.994778372308772</v>
      </c>
      <c r="AB871" s="55">
        <f t="shared" ca="1" si="282"/>
        <v>50.994778372308772</v>
      </c>
      <c r="AC871" s="55">
        <f t="shared" ca="1" si="282"/>
        <v>50.994778372308772</v>
      </c>
      <c r="AD871" s="55">
        <f t="shared" ca="1" si="282"/>
        <v>50.994778372308772</v>
      </c>
      <c r="AE871" s="55">
        <f t="shared" ca="1" si="282"/>
        <v>50.994778372308772</v>
      </c>
      <c r="AF871" s="55">
        <f t="shared" ca="1" si="282"/>
        <v>50.994778372308772</v>
      </c>
      <c r="AG871" s="55">
        <f t="shared" ca="1" si="282"/>
        <v>50.994778372308772</v>
      </c>
      <c r="AH871" s="55">
        <f t="shared" ca="1" si="282"/>
        <v>50.994778372308772</v>
      </c>
      <c r="AI871" s="55">
        <f t="shared" ca="1" si="282"/>
        <v>50.994778372308772</v>
      </c>
      <c r="AJ871" s="55">
        <f t="shared" ca="1" si="282"/>
        <v>50.994778372308772</v>
      </c>
      <c r="AK871" s="55">
        <f t="shared" ca="1" si="282"/>
        <v>50.994778372308772</v>
      </c>
      <c r="AL871" s="55">
        <f t="shared" ca="1" si="282"/>
        <v>50.994778372308744</v>
      </c>
      <c r="AM871" s="55">
        <f t="shared" ca="1" si="282"/>
        <v>32.679843509382998</v>
      </c>
      <c r="AN871" s="55">
        <f t="shared" ca="1" si="282"/>
        <v>32.679843509382998</v>
      </c>
      <c r="AO871" s="55">
        <f t="shared" ca="1" si="282"/>
        <v>32.679843509382998</v>
      </c>
      <c r="AP871" s="55">
        <f t="shared" ca="1" si="282"/>
        <v>0</v>
      </c>
      <c r="AQ871" s="55">
        <f t="shared" ca="1" si="282"/>
        <v>0</v>
      </c>
      <c r="AR871" s="55">
        <f t="shared" ca="1" si="282"/>
        <v>0</v>
      </c>
      <c r="AS871" s="55">
        <f t="shared" ca="1" si="282"/>
        <v>0</v>
      </c>
      <c r="AT871" s="55">
        <f t="shared" ca="1" si="282"/>
        <v>0</v>
      </c>
      <c r="AU871" s="55">
        <f t="shared" ca="1" si="282"/>
        <v>0</v>
      </c>
      <c r="AV871" s="55">
        <f t="shared" ca="1" si="282"/>
        <v>0</v>
      </c>
      <c r="AW871" s="55">
        <f t="shared" ca="1" si="282"/>
        <v>0</v>
      </c>
      <c r="AX871" s="55">
        <f t="shared" ca="1" si="282"/>
        <v>0</v>
      </c>
    </row>
    <row r="872" spans="1:50" ht="15" customHeight="1" x14ac:dyDescent="0.25">
      <c r="A872" s="241"/>
      <c r="B872" s="675"/>
      <c r="C872" s="615"/>
      <c r="D872" s="64"/>
      <c r="E872" s="48" t="str">
        <f t="shared" ref="E872:AX872" si="283" xml:space="preserve"> E$399</f>
        <v>Interest expensed: IOC</v>
      </c>
      <c r="F872" s="147">
        <f t="shared" si="283"/>
        <v>0</v>
      </c>
      <c r="G872" s="48" t="str">
        <f t="shared" si="283"/>
        <v>US$ mn</v>
      </c>
      <c r="H872" s="48">
        <f t="shared" si="283"/>
        <v>0</v>
      </c>
      <c r="I872" s="48">
        <f t="shared" ca="1" si="283"/>
        <v>1068.6524466773587</v>
      </c>
      <c r="J872" s="48">
        <f t="shared" si="283"/>
        <v>0</v>
      </c>
      <c r="K872" s="48">
        <f t="shared" ca="1" si="283"/>
        <v>0</v>
      </c>
      <c r="L872" s="48">
        <f t="shared" ca="1" si="283"/>
        <v>0</v>
      </c>
      <c r="M872" s="48">
        <f t="shared" ca="1" si="283"/>
        <v>0</v>
      </c>
      <c r="N872" s="48">
        <f t="shared" ca="1" si="283"/>
        <v>0</v>
      </c>
      <c r="O872" s="48">
        <f t="shared" ca="1" si="283"/>
        <v>66.562754729023737</v>
      </c>
      <c r="P872" s="48">
        <f t="shared" ca="1" si="283"/>
        <v>121.18340405121727</v>
      </c>
      <c r="Q872" s="48">
        <f t="shared" ca="1" si="283"/>
        <v>160.16477961765781</v>
      </c>
      <c r="R872" s="48">
        <f t="shared" ca="1" si="283"/>
        <v>144.14830165589203</v>
      </c>
      <c r="S872" s="48">
        <f t="shared" ca="1" si="283"/>
        <v>128.13182369412624</v>
      </c>
      <c r="T872" s="48">
        <f t="shared" ca="1" si="283"/>
        <v>112.11534573236045</v>
      </c>
      <c r="U872" s="48">
        <f t="shared" ca="1" si="283"/>
        <v>96.098867770594666</v>
      </c>
      <c r="V872" s="48">
        <f t="shared" ca="1" si="283"/>
        <v>80.082389808828893</v>
      </c>
      <c r="W872" s="48">
        <f t="shared" ca="1" si="283"/>
        <v>64.06591184706312</v>
      </c>
      <c r="X872" s="48">
        <f t="shared" ca="1" si="283"/>
        <v>48.049433885297333</v>
      </c>
      <c r="Y872" s="48">
        <f t="shared" ca="1" si="283"/>
        <v>32.03295592353156</v>
      </c>
      <c r="Z872" s="48">
        <f t="shared" ca="1" si="283"/>
        <v>16.01647796176578</v>
      </c>
      <c r="AA872" s="48">
        <f t="shared" ca="1" si="283"/>
        <v>0</v>
      </c>
      <c r="AB872" s="48">
        <f t="shared" ca="1" si="283"/>
        <v>0</v>
      </c>
      <c r="AC872" s="48">
        <f t="shared" ca="1" si="283"/>
        <v>0</v>
      </c>
      <c r="AD872" s="48">
        <f t="shared" ca="1" si="283"/>
        <v>0</v>
      </c>
      <c r="AE872" s="48">
        <f t="shared" ca="1" si="283"/>
        <v>0</v>
      </c>
      <c r="AF872" s="48">
        <f t="shared" ca="1" si="283"/>
        <v>0</v>
      </c>
      <c r="AG872" s="48">
        <f t="shared" ca="1" si="283"/>
        <v>0</v>
      </c>
      <c r="AH872" s="48">
        <f t="shared" ca="1" si="283"/>
        <v>0</v>
      </c>
      <c r="AI872" s="48">
        <f t="shared" ca="1" si="283"/>
        <v>0</v>
      </c>
      <c r="AJ872" s="48">
        <f t="shared" ca="1" si="283"/>
        <v>0</v>
      </c>
      <c r="AK872" s="48">
        <f t="shared" ca="1" si="283"/>
        <v>0</v>
      </c>
      <c r="AL872" s="48">
        <f t="shared" ca="1" si="283"/>
        <v>0</v>
      </c>
      <c r="AM872" s="48">
        <f t="shared" ca="1" si="283"/>
        <v>0</v>
      </c>
      <c r="AN872" s="48">
        <f t="shared" ca="1" si="283"/>
        <v>0</v>
      </c>
      <c r="AO872" s="48">
        <f t="shared" ca="1" si="283"/>
        <v>0</v>
      </c>
      <c r="AP872" s="48">
        <f t="shared" ca="1" si="283"/>
        <v>0</v>
      </c>
      <c r="AQ872" s="48">
        <f t="shared" ca="1" si="283"/>
        <v>0</v>
      </c>
      <c r="AR872" s="48">
        <f t="shared" ca="1" si="283"/>
        <v>0</v>
      </c>
      <c r="AS872" s="48">
        <f t="shared" ca="1" si="283"/>
        <v>0</v>
      </c>
      <c r="AT872" s="48">
        <f t="shared" ca="1" si="283"/>
        <v>0</v>
      </c>
      <c r="AU872" s="48">
        <f t="shared" ca="1" si="283"/>
        <v>0</v>
      </c>
      <c r="AV872" s="48">
        <f t="shared" ca="1" si="283"/>
        <v>0</v>
      </c>
      <c r="AW872" s="48">
        <f t="shared" ca="1" si="283"/>
        <v>0</v>
      </c>
      <c r="AX872" s="48">
        <f t="shared" ca="1" si="283"/>
        <v>0</v>
      </c>
    </row>
    <row r="873" spans="1:50" ht="15" customHeight="1" x14ac:dyDescent="0.25">
      <c r="A873" s="241"/>
      <c r="B873" s="675"/>
      <c r="C873" s="615"/>
      <c r="D873" s="64"/>
      <c r="E873" s="48" t="str">
        <f t="shared" ref="E873:AX873" si="284">E864</f>
        <v>Carbon tax: IOC deductible</v>
      </c>
      <c r="F873" s="147">
        <f t="shared" si="284"/>
        <v>0</v>
      </c>
      <c r="G873" s="48" t="str">
        <f t="shared" si="284"/>
        <v>US$ mn</v>
      </c>
      <c r="H873" s="48">
        <f t="shared" si="284"/>
        <v>0</v>
      </c>
      <c r="I873" s="48">
        <f t="shared" ca="1" si="284"/>
        <v>808.75002537955561</v>
      </c>
      <c r="J873" s="48">
        <f t="shared" si="284"/>
        <v>0</v>
      </c>
      <c r="K873" s="48">
        <f t="shared" ca="1" si="284"/>
        <v>0</v>
      </c>
      <c r="L873" s="48">
        <f t="shared" ca="1" si="284"/>
        <v>0</v>
      </c>
      <c r="M873" s="48">
        <f t="shared" ca="1" si="284"/>
        <v>0</v>
      </c>
      <c r="N873" s="48">
        <f t="shared" ca="1" si="284"/>
        <v>0</v>
      </c>
      <c r="O873" s="48">
        <f t="shared" ca="1" si="284"/>
        <v>3.5145821862532287</v>
      </c>
      <c r="P873" s="48">
        <f t="shared" ca="1" si="284"/>
        <v>27.609768000000003</v>
      </c>
      <c r="Q873" s="48">
        <f t="shared" ca="1" si="284"/>
        <v>55.219536000000005</v>
      </c>
      <c r="R873" s="48">
        <f t="shared" ca="1" si="284"/>
        <v>55.219536000000005</v>
      </c>
      <c r="S873" s="48">
        <f t="shared" ca="1" si="284"/>
        <v>55.219536000000005</v>
      </c>
      <c r="T873" s="48">
        <f t="shared" ca="1" si="284"/>
        <v>55.219536000000005</v>
      </c>
      <c r="U873" s="48">
        <f t="shared" ca="1" si="284"/>
        <v>55.219536000000005</v>
      </c>
      <c r="V873" s="48">
        <f t="shared" ca="1" si="284"/>
        <v>55.219536000000005</v>
      </c>
      <c r="W873" s="48">
        <f t="shared" ca="1" si="284"/>
        <v>55.219536000000005</v>
      </c>
      <c r="X873" s="48">
        <f t="shared" ca="1" si="284"/>
        <v>55.219536000000005</v>
      </c>
      <c r="Y873" s="48">
        <f t="shared" ca="1" si="284"/>
        <v>55.219536000000005</v>
      </c>
      <c r="Z873" s="48">
        <f t="shared" ca="1" si="284"/>
        <v>55.219536000000005</v>
      </c>
      <c r="AA873" s="48">
        <f t="shared" ca="1" si="284"/>
        <v>44.727824160000011</v>
      </c>
      <c r="AB873" s="48">
        <f t="shared" ca="1" si="284"/>
        <v>36.229537569600005</v>
      </c>
      <c r="AC873" s="48">
        <f t="shared" ca="1" si="284"/>
        <v>29.34592543137601</v>
      </c>
      <c r="AD873" s="48">
        <f t="shared" ca="1" si="284"/>
        <v>23.770199599414575</v>
      </c>
      <c r="AE873" s="48">
        <f t="shared" ca="1" si="284"/>
        <v>19.253861675525808</v>
      </c>
      <c r="AF873" s="48">
        <f t="shared" ca="1" si="284"/>
        <v>15.595627957175903</v>
      </c>
      <c r="AG873" s="48">
        <f t="shared" ca="1" si="284"/>
        <v>12.632458645312484</v>
      </c>
      <c r="AH873" s="48">
        <f t="shared" ca="1" si="284"/>
        <v>10.232291502703113</v>
      </c>
      <c r="AI873" s="48">
        <f t="shared" ca="1" si="284"/>
        <v>8.2881561171895211</v>
      </c>
      <c r="AJ873" s="48">
        <f t="shared" ca="1" si="284"/>
        <v>6.7134064549235122</v>
      </c>
      <c r="AK873" s="48">
        <f t="shared" ca="1" si="284"/>
        <v>5.4378592284880458</v>
      </c>
      <c r="AL873" s="48">
        <f t="shared" ca="1" si="284"/>
        <v>4.4046659750753161</v>
      </c>
      <c r="AM873" s="48">
        <f t="shared" ca="1" si="284"/>
        <v>3.5677794398110061</v>
      </c>
      <c r="AN873" s="48">
        <f t="shared" ca="1" si="284"/>
        <v>2.8899013462469147</v>
      </c>
      <c r="AO873" s="48">
        <f t="shared" ca="1" si="284"/>
        <v>2.3408200904600021</v>
      </c>
      <c r="AP873" s="48">
        <f t="shared" ca="1" si="284"/>
        <v>0</v>
      </c>
      <c r="AQ873" s="48">
        <f t="shared" ca="1" si="284"/>
        <v>0</v>
      </c>
      <c r="AR873" s="48">
        <f t="shared" ca="1" si="284"/>
        <v>0</v>
      </c>
      <c r="AS873" s="48">
        <f t="shared" ca="1" si="284"/>
        <v>0</v>
      </c>
      <c r="AT873" s="48">
        <f t="shared" ca="1" si="284"/>
        <v>0</v>
      </c>
      <c r="AU873" s="48">
        <f t="shared" ca="1" si="284"/>
        <v>0</v>
      </c>
      <c r="AV873" s="48">
        <f t="shared" ca="1" si="284"/>
        <v>0</v>
      </c>
      <c r="AW873" s="48">
        <f t="shared" ca="1" si="284"/>
        <v>0</v>
      </c>
      <c r="AX873" s="48">
        <f t="shared" ca="1" si="284"/>
        <v>0</v>
      </c>
    </row>
    <row r="874" spans="1:50" ht="15" customHeight="1" x14ac:dyDescent="0.25">
      <c r="A874" s="241"/>
      <c r="B874" s="675"/>
      <c r="C874" s="615"/>
      <c r="D874" s="64"/>
      <c r="E874" s="507" t="str">
        <f>E$939</f>
        <v>Resource rent tax: IOC deductible for CIT prior period</v>
      </c>
      <c r="F874" s="587">
        <f t="shared" ref="F874:AX874" si="285">F$939</f>
        <v>0</v>
      </c>
      <c r="G874" s="507" t="str">
        <f t="shared" si="285"/>
        <v>US$ mn</v>
      </c>
      <c r="H874" s="507" t="str">
        <f t="shared" si="285"/>
        <v>prior period to avoid circular calculations</v>
      </c>
      <c r="I874" s="507">
        <f t="shared" ca="1" si="285"/>
        <v>0</v>
      </c>
      <c r="J874" s="507">
        <f t="shared" si="285"/>
        <v>0</v>
      </c>
      <c r="K874" s="507">
        <f t="shared" si="285"/>
        <v>0</v>
      </c>
      <c r="L874" s="507">
        <f t="shared" ca="1" si="285"/>
        <v>0</v>
      </c>
      <c r="M874" s="507">
        <f t="shared" ca="1" si="285"/>
        <v>0</v>
      </c>
      <c r="N874" s="507">
        <f t="shared" ca="1" si="285"/>
        <v>0</v>
      </c>
      <c r="O874" s="507">
        <f t="shared" ca="1" si="285"/>
        <v>0</v>
      </c>
      <c r="P874" s="507">
        <f t="shared" ca="1" si="285"/>
        <v>0</v>
      </c>
      <c r="Q874" s="507">
        <f t="shared" ca="1" si="285"/>
        <v>0</v>
      </c>
      <c r="R874" s="507">
        <f t="shared" ca="1" si="285"/>
        <v>0</v>
      </c>
      <c r="S874" s="507">
        <f t="shared" ca="1" si="285"/>
        <v>0</v>
      </c>
      <c r="T874" s="507">
        <f t="shared" ca="1" si="285"/>
        <v>0</v>
      </c>
      <c r="U874" s="507">
        <f t="shared" ca="1" si="285"/>
        <v>0</v>
      </c>
      <c r="V874" s="507">
        <f t="shared" ca="1" si="285"/>
        <v>0</v>
      </c>
      <c r="W874" s="507">
        <f t="shared" ca="1" si="285"/>
        <v>0</v>
      </c>
      <c r="X874" s="507">
        <f t="shared" ca="1" si="285"/>
        <v>0</v>
      </c>
      <c r="Y874" s="507">
        <f t="shared" ca="1" si="285"/>
        <v>0</v>
      </c>
      <c r="Z874" s="507">
        <f t="shared" ca="1" si="285"/>
        <v>0</v>
      </c>
      <c r="AA874" s="507">
        <f t="shared" ca="1" si="285"/>
        <v>0</v>
      </c>
      <c r="AB874" s="507">
        <f t="shared" ca="1" si="285"/>
        <v>0</v>
      </c>
      <c r="AC874" s="507">
        <f t="shared" ca="1" si="285"/>
        <v>0</v>
      </c>
      <c r="AD874" s="507">
        <f t="shared" ca="1" si="285"/>
        <v>0</v>
      </c>
      <c r="AE874" s="507">
        <f t="shared" ca="1" si="285"/>
        <v>0</v>
      </c>
      <c r="AF874" s="507">
        <f t="shared" ca="1" si="285"/>
        <v>0</v>
      </c>
      <c r="AG874" s="507">
        <f t="shared" ca="1" si="285"/>
        <v>0</v>
      </c>
      <c r="AH874" s="507">
        <f t="shared" ca="1" si="285"/>
        <v>0</v>
      </c>
      <c r="AI874" s="507">
        <f t="shared" ca="1" si="285"/>
        <v>0</v>
      </c>
      <c r="AJ874" s="507">
        <f t="shared" ca="1" si="285"/>
        <v>0</v>
      </c>
      <c r="AK874" s="507">
        <f t="shared" ca="1" si="285"/>
        <v>0</v>
      </c>
      <c r="AL874" s="507">
        <f t="shared" ca="1" si="285"/>
        <v>0</v>
      </c>
      <c r="AM874" s="507">
        <f t="shared" ca="1" si="285"/>
        <v>0</v>
      </c>
      <c r="AN874" s="507">
        <f t="shared" ca="1" si="285"/>
        <v>0</v>
      </c>
      <c r="AO874" s="507">
        <f t="shared" ca="1" si="285"/>
        <v>0</v>
      </c>
      <c r="AP874" s="507">
        <f t="shared" ca="1" si="285"/>
        <v>0</v>
      </c>
      <c r="AQ874" s="507">
        <f t="shared" ca="1" si="285"/>
        <v>0</v>
      </c>
      <c r="AR874" s="507">
        <f t="shared" ca="1" si="285"/>
        <v>0</v>
      </c>
      <c r="AS874" s="507">
        <f t="shared" ca="1" si="285"/>
        <v>0</v>
      </c>
      <c r="AT874" s="507">
        <f t="shared" ca="1" si="285"/>
        <v>0</v>
      </c>
      <c r="AU874" s="507">
        <f t="shared" ca="1" si="285"/>
        <v>0</v>
      </c>
      <c r="AV874" s="507">
        <f t="shared" ca="1" si="285"/>
        <v>0</v>
      </c>
      <c r="AW874" s="507">
        <f t="shared" ca="1" si="285"/>
        <v>0</v>
      </c>
      <c r="AX874" s="507">
        <f t="shared" ca="1" si="285"/>
        <v>0</v>
      </c>
    </row>
    <row r="875" spans="1:50" s="485" customFormat="1" ht="15" customHeight="1" x14ac:dyDescent="0.25">
      <c r="A875" s="502"/>
      <c r="B875" s="962"/>
      <c r="C875" s="503"/>
      <c r="D875" s="482"/>
      <c r="E875" s="482" t="str">
        <f xml:space="preserve"> Translate!E$346</f>
        <v>IOC deductions</v>
      </c>
      <c r="F875" s="482"/>
      <c r="G875" s="482" t="str">
        <f xml:space="preserve"> Translate!E$603</f>
        <v>US$ mn</v>
      </c>
      <c r="H875" s="482"/>
      <c r="I875" s="482">
        <f ca="1" xml:space="preserve"> SUM(K875:AX875)</f>
        <v>25685.36659863263</v>
      </c>
      <c r="J875" s="482"/>
      <c r="K875" s="482">
        <f t="shared" ref="K875:AX875" ca="1" si="286">SUM(K867:K874)</f>
        <v>420</v>
      </c>
      <c r="L875" s="482">
        <f t="shared" ca="1" si="286"/>
        <v>0</v>
      </c>
      <c r="M875" s="482">
        <f t="shared" ca="1" si="286"/>
        <v>0</v>
      </c>
      <c r="N875" s="482">
        <f t="shared" ca="1" si="286"/>
        <v>0</v>
      </c>
      <c r="O875" s="482">
        <f t="shared" ca="1" si="286"/>
        <v>623.30453719043271</v>
      </c>
      <c r="P875" s="482">
        <f t="shared" ca="1" si="286"/>
        <v>1421.4617896556772</v>
      </c>
      <c r="Q875" s="482">
        <f t="shared" ca="1" si="286"/>
        <v>2038.1236546692094</v>
      </c>
      <c r="R875" s="482">
        <f t="shared" ca="1" si="286"/>
        <v>2120.3490815143577</v>
      </c>
      <c r="S875" s="482">
        <f t="shared" ca="1" si="286"/>
        <v>2167.0462462635724</v>
      </c>
      <c r="T875" s="482">
        <f t="shared" ca="1" si="286"/>
        <v>1738.2609172894261</v>
      </c>
      <c r="U875" s="482">
        <f t="shared" ca="1" si="286"/>
        <v>1416.5205633289638</v>
      </c>
      <c r="V875" s="482">
        <f t="shared" ca="1" si="286"/>
        <v>1268.8517189307681</v>
      </c>
      <c r="W875" s="482">
        <f t="shared" ca="1" si="286"/>
        <v>1289.0079150116771</v>
      </c>
      <c r="X875" s="482">
        <f t="shared" ca="1" si="286"/>
        <v>1295.3659908257575</v>
      </c>
      <c r="Y875" s="482">
        <f t="shared" ca="1" si="286"/>
        <v>1302.171557715355</v>
      </c>
      <c r="Z875" s="482">
        <f t="shared" ca="1" si="286"/>
        <v>1309.4335655019795</v>
      </c>
      <c r="AA875" s="482">
        <f t="shared" ca="1" si="286"/>
        <v>1181.0018821481669</v>
      </c>
      <c r="AB875" s="482">
        <f t="shared" ca="1" si="286"/>
        <v>1034.3729953858599</v>
      </c>
      <c r="AC875" s="482">
        <f t="shared" ca="1" si="286"/>
        <v>778.95555202517482</v>
      </c>
      <c r="AD875" s="482">
        <f t="shared" ca="1" si="286"/>
        <v>695.43327719473689</v>
      </c>
      <c r="AE875" s="482">
        <f t="shared" ca="1" si="286"/>
        <v>611.60845818194628</v>
      </c>
      <c r="AF875" s="482">
        <f t="shared" ca="1" si="286"/>
        <v>501.5934685812901</v>
      </c>
      <c r="AG875" s="482">
        <f t="shared" ca="1" si="286"/>
        <v>451.87236100716967</v>
      </c>
      <c r="AH875" s="482">
        <f t="shared" ca="1" si="286"/>
        <v>416.02290912872428</v>
      </c>
      <c r="AI875" s="482">
        <f t="shared" ca="1" si="286"/>
        <v>338.95583029915122</v>
      </c>
      <c r="AJ875" s="482">
        <f t="shared" ca="1" si="286"/>
        <v>265.36892573775202</v>
      </c>
      <c r="AK875" s="482">
        <f t="shared" ca="1" si="286"/>
        <v>242.92883132110614</v>
      </c>
      <c r="AL875" s="482">
        <f t="shared" ca="1" si="286"/>
        <v>223.41079324849511</v>
      </c>
      <c r="AM875" s="482">
        <f t="shared" ca="1" si="286"/>
        <v>187.94217853697904</v>
      </c>
      <c r="AN875" s="482">
        <f t="shared" ca="1" si="286"/>
        <v>179.79477418702237</v>
      </c>
      <c r="AO875" s="482">
        <f t="shared" ca="1" si="286"/>
        <v>166.20682375188139</v>
      </c>
      <c r="AP875" s="482">
        <f t="shared" ca="1" si="286"/>
        <v>0</v>
      </c>
      <c r="AQ875" s="482">
        <f t="shared" ca="1" si="286"/>
        <v>0</v>
      </c>
      <c r="AR875" s="482">
        <f t="shared" ca="1" si="286"/>
        <v>0</v>
      </c>
      <c r="AS875" s="482">
        <f t="shared" ca="1" si="286"/>
        <v>0</v>
      </c>
      <c r="AT875" s="482">
        <f t="shared" ca="1" si="286"/>
        <v>0</v>
      </c>
      <c r="AU875" s="482">
        <f t="shared" ca="1" si="286"/>
        <v>0</v>
      </c>
      <c r="AV875" s="482">
        <f t="shared" ca="1" si="286"/>
        <v>0</v>
      </c>
      <c r="AW875" s="482">
        <f t="shared" ca="1" si="286"/>
        <v>0</v>
      </c>
      <c r="AX875" s="482">
        <f t="shared" ca="1" si="286"/>
        <v>0</v>
      </c>
    </row>
    <row r="876" spans="1:50" ht="15" customHeight="1" x14ac:dyDescent="0.25">
      <c r="A876" s="241"/>
      <c r="B876" s="675"/>
      <c r="C876" s="615"/>
      <c r="D876" s="64"/>
      <c r="E876" s="48"/>
      <c r="F876" s="147"/>
      <c r="G876" s="48"/>
      <c r="H876" s="48"/>
      <c r="I876" s="48"/>
      <c r="J876" s="48"/>
      <c r="K876" s="48"/>
      <c r="L876" s="48"/>
      <c r="M876" s="48"/>
      <c r="N876" s="48"/>
      <c r="O876" s="48"/>
      <c r="P876" s="48"/>
      <c r="Q876" s="48"/>
      <c r="R876" s="48"/>
      <c r="S876" s="48"/>
      <c r="T876" s="48"/>
      <c r="U876" s="48"/>
      <c r="V876" s="48"/>
      <c r="W876" s="48"/>
      <c r="X876" s="48"/>
      <c r="Y876" s="48"/>
      <c r="Z876" s="48"/>
      <c r="AA876" s="48"/>
      <c r="AB876" s="48"/>
      <c r="AC876" s="48"/>
      <c r="AD876" s="48"/>
      <c r="AE876" s="48"/>
      <c r="AF876" s="48"/>
      <c r="AG876" s="48"/>
      <c r="AH876" s="48"/>
      <c r="AI876" s="48"/>
      <c r="AJ876" s="48"/>
      <c r="AK876" s="48"/>
      <c r="AL876" s="48"/>
      <c r="AM876" s="48"/>
      <c r="AN876" s="48"/>
      <c r="AO876" s="48"/>
      <c r="AP876" s="48"/>
      <c r="AQ876" s="48"/>
      <c r="AR876" s="48"/>
      <c r="AS876" s="48"/>
      <c r="AT876" s="48"/>
      <c r="AU876" s="48"/>
      <c r="AV876" s="48"/>
      <c r="AW876" s="48"/>
      <c r="AX876" s="48"/>
    </row>
    <row r="877" spans="1:50" ht="15" customHeight="1" x14ac:dyDescent="0.25">
      <c r="A877" s="241"/>
      <c r="B877" s="675"/>
      <c r="C877" s="615"/>
      <c r="D877" s="64"/>
      <c r="E877" s="190" t="str">
        <f xml:space="preserve"> Translate!E$347</f>
        <v>Taxable income before prior period losses</v>
      </c>
      <c r="F877" s="64"/>
      <c r="G877" s="190" t="str">
        <f xml:space="preserve"> Translate!E$603</f>
        <v>US$ mn</v>
      </c>
      <c r="H877" s="190"/>
      <c r="I877" s="55">
        <f ca="1" xml:space="preserve"> SUM(K877:AX877)</f>
        <v>20072.601985548892</v>
      </c>
      <c r="J877" s="55"/>
      <c r="K877" s="55">
        <f t="shared" ref="K877:AW877" ca="1" si="287" xml:space="preserve"> K849 + K850 - K875</f>
        <v>-420</v>
      </c>
      <c r="L877" s="55">
        <f t="shared" ca="1" si="287"/>
        <v>7.6500000000000054E-2</v>
      </c>
      <c r="M877" s="55">
        <f t="shared" ca="1" si="287"/>
        <v>0.62500500000000059</v>
      </c>
      <c r="N877" s="55">
        <f t="shared" ca="1" si="287"/>
        <v>3.0346096500000019</v>
      </c>
      <c r="O877" s="55">
        <f t="shared" ca="1" si="287"/>
        <v>-450.83116278582946</v>
      </c>
      <c r="P877" s="55">
        <f t="shared" ca="1" si="287"/>
        <v>-83.352319004491392</v>
      </c>
      <c r="Q877" s="55">
        <f t="shared" ca="1" si="287"/>
        <v>679.44748702576817</v>
      </c>
      <c r="R877" s="55">
        <f t="shared" ca="1" si="287"/>
        <v>646.83469185275817</v>
      </c>
      <c r="S877" s="55">
        <f t="shared" ca="1" si="287"/>
        <v>655.48120257088613</v>
      </c>
      <c r="T877" s="55">
        <f t="shared" ca="1" si="287"/>
        <v>1140.7170805217213</v>
      </c>
      <c r="U877" s="55">
        <f t="shared" ca="1" si="287"/>
        <v>1520.0369944384065</v>
      </c>
      <c r="V877" s="55">
        <f t="shared" ca="1" si="287"/>
        <v>1726.4369899919498</v>
      </c>
      <c r="W877" s="55">
        <f t="shared" ca="1" si="287"/>
        <v>1766.1865680894953</v>
      </c>
      <c r="X877" s="55">
        <f t="shared" ca="1" si="287"/>
        <v>1820.9323819374379</v>
      </c>
      <c r="Y877" s="55">
        <f t="shared" ca="1" si="287"/>
        <v>1876.4527825031046</v>
      </c>
      <c r="Z877" s="55">
        <f t="shared" ca="1" si="287"/>
        <v>1932.7632615208495</v>
      </c>
      <c r="AA877" s="55">
        <f t="shared" ca="1" si="287"/>
        <v>1497.701136338095</v>
      </c>
      <c r="AB877" s="55">
        <f t="shared" ca="1" si="287"/>
        <v>1178.7714384874901</v>
      </c>
      <c r="AC877" s="55">
        <f t="shared" ca="1" si="287"/>
        <v>1049.5443792409869</v>
      </c>
      <c r="AD877" s="55">
        <f t="shared" ca="1" si="287"/>
        <v>815.27336601736636</v>
      </c>
      <c r="AE877" s="55">
        <f t="shared" ca="1" si="287"/>
        <v>636.53737043989338</v>
      </c>
      <c r="AF877" s="55">
        <f t="shared" ca="1" si="287"/>
        <v>529.62461502607403</v>
      </c>
      <c r="AG877" s="55">
        <f t="shared" ca="1" si="287"/>
        <v>400.12001966923475</v>
      </c>
      <c r="AH877" s="55">
        <f t="shared" ca="1" si="287"/>
        <v>287.893195786121</v>
      </c>
      <c r="AI877" s="55">
        <f t="shared" ca="1" si="287"/>
        <v>242.61965558149404</v>
      </c>
      <c r="AJ877" s="55">
        <f t="shared" ca="1" si="287"/>
        <v>215.12874069683704</v>
      </c>
      <c r="AK877" s="55">
        <f t="shared" ca="1" si="287"/>
        <v>154.05834068715143</v>
      </c>
      <c r="AL877" s="55">
        <f t="shared" ca="1" si="287"/>
        <v>104.58000826472721</v>
      </c>
      <c r="AM877" s="55">
        <f t="shared" ca="1" si="287"/>
        <v>83.043821673245304</v>
      </c>
      <c r="AN877" s="55">
        <f t="shared" ca="1" si="287"/>
        <v>44.093859186664986</v>
      </c>
      <c r="AO877" s="55">
        <f t="shared" ca="1" si="287"/>
        <v>18.769965141459153</v>
      </c>
      <c r="AP877" s="55">
        <f t="shared" ca="1" si="287"/>
        <v>0</v>
      </c>
      <c r="AQ877" s="55">
        <f t="shared" ca="1" si="287"/>
        <v>0</v>
      </c>
      <c r="AR877" s="55">
        <f t="shared" ca="1" si="287"/>
        <v>0</v>
      </c>
      <c r="AS877" s="55">
        <f t="shared" ca="1" si="287"/>
        <v>0</v>
      </c>
      <c r="AT877" s="55">
        <f t="shared" ca="1" si="287"/>
        <v>0</v>
      </c>
      <c r="AU877" s="55">
        <f t="shared" ca="1" si="287"/>
        <v>0</v>
      </c>
      <c r="AV877" s="55">
        <f t="shared" ca="1" si="287"/>
        <v>0</v>
      </c>
      <c r="AW877" s="55">
        <f t="shared" ca="1" si="287"/>
        <v>0</v>
      </c>
      <c r="AX877" s="55">
        <f t="shared" ref="AX877" ca="1" si="288" xml:space="preserve"> AX849 + AX850 - AX875</f>
        <v>0</v>
      </c>
    </row>
    <row r="878" spans="1:50" ht="15" customHeight="1" x14ac:dyDescent="0.25">
      <c r="A878" s="241"/>
      <c r="B878" s="675"/>
      <c r="C878" s="615"/>
      <c r="D878" s="64"/>
      <c r="E878" s="190" t="str">
        <f xml:space="preserve"> Translate!E$348</f>
        <v>Prior period losses carried forward</v>
      </c>
      <c r="F878" s="64"/>
      <c r="G878" s="190" t="str">
        <f xml:space="preserve"> Translate!E$603</f>
        <v>US$ mn</v>
      </c>
      <c r="H878" s="190" t="str">
        <f>Translate!E524</f>
        <v>assumes permanent carry forward</v>
      </c>
      <c r="I878" s="55">
        <f ca="1" xml:space="preserve"> SUM(K878:AX878)</f>
        <v>-3764.0281757407038</v>
      </c>
      <c r="J878" s="55"/>
      <c r="K878" s="55">
        <f t="shared" ref="K878:AX878" si="289">J879*(J879&lt;0)</f>
        <v>0</v>
      </c>
      <c r="L878" s="55">
        <f t="shared" ca="1" si="289"/>
        <v>-420</v>
      </c>
      <c r="M878" s="55">
        <f t="shared" ca="1" si="289"/>
        <v>-419.92349999999999</v>
      </c>
      <c r="N878" s="55">
        <f t="shared" ca="1" si="289"/>
        <v>-419.298495</v>
      </c>
      <c r="O878" s="55">
        <f t="shared" ca="1" si="289"/>
        <v>-416.26388535000001</v>
      </c>
      <c r="P878" s="55">
        <f t="shared" ca="1" si="289"/>
        <v>-867.09504813582953</v>
      </c>
      <c r="Q878" s="55">
        <f t="shared" ca="1" si="289"/>
        <v>-950.44736714032092</v>
      </c>
      <c r="R878" s="55">
        <f t="shared" ca="1" si="289"/>
        <v>-270.99988011455275</v>
      </c>
      <c r="S878" s="55">
        <f t="shared" ca="1" si="289"/>
        <v>0</v>
      </c>
      <c r="T878" s="55">
        <f t="shared" ca="1" si="289"/>
        <v>0</v>
      </c>
      <c r="U878" s="55">
        <f t="shared" ca="1" si="289"/>
        <v>0</v>
      </c>
      <c r="V878" s="55">
        <f t="shared" ca="1" si="289"/>
        <v>0</v>
      </c>
      <c r="W878" s="55">
        <f t="shared" ca="1" si="289"/>
        <v>0</v>
      </c>
      <c r="X878" s="55">
        <f t="shared" ca="1" si="289"/>
        <v>0</v>
      </c>
      <c r="Y878" s="55">
        <f t="shared" ca="1" si="289"/>
        <v>0</v>
      </c>
      <c r="Z878" s="55">
        <f t="shared" ca="1" si="289"/>
        <v>0</v>
      </c>
      <c r="AA878" s="55">
        <f t="shared" ca="1" si="289"/>
        <v>0</v>
      </c>
      <c r="AB878" s="55">
        <f t="shared" ca="1" si="289"/>
        <v>0</v>
      </c>
      <c r="AC878" s="55">
        <f t="shared" ca="1" si="289"/>
        <v>0</v>
      </c>
      <c r="AD878" s="55">
        <f t="shared" ca="1" si="289"/>
        <v>0</v>
      </c>
      <c r="AE878" s="55">
        <f t="shared" ca="1" si="289"/>
        <v>0</v>
      </c>
      <c r="AF878" s="55">
        <f t="shared" ca="1" si="289"/>
        <v>0</v>
      </c>
      <c r="AG878" s="55">
        <f t="shared" ca="1" si="289"/>
        <v>0</v>
      </c>
      <c r="AH878" s="55">
        <f t="shared" ca="1" si="289"/>
        <v>0</v>
      </c>
      <c r="AI878" s="55">
        <f t="shared" ca="1" si="289"/>
        <v>0</v>
      </c>
      <c r="AJ878" s="55">
        <f t="shared" ca="1" si="289"/>
        <v>0</v>
      </c>
      <c r="AK878" s="55">
        <f t="shared" ca="1" si="289"/>
        <v>0</v>
      </c>
      <c r="AL878" s="55">
        <f t="shared" ca="1" si="289"/>
        <v>0</v>
      </c>
      <c r="AM878" s="55">
        <f t="shared" ca="1" si="289"/>
        <v>0</v>
      </c>
      <c r="AN878" s="55">
        <f t="shared" ca="1" si="289"/>
        <v>0</v>
      </c>
      <c r="AO878" s="55">
        <f t="shared" ca="1" si="289"/>
        <v>0</v>
      </c>
      <c r="AP878" s="55">
        <f t="shared" ca="1" si="289"/>
        <v>0</v>
      </c>
      <c r="AQ878" s="55">
        <f t="shared" ca="1" si="289"/>
        <v>0</v>
      </c>
      <c r="AR878" s="55">
        <f t="shared" ca="1" si="289"/>
        <v>0</v>
      </c>
      <c r="AS878" s="55">
        <f t="shared" ca="1" si="289"/>
        <v>0</v>
      </c>
      <c r="AT878" s="55">
        <f t="shared" ca="1" si="289"/>
        <v>0</v>
      </c>
      <c r="AU878" s="55">
        <f t="shared" ca="1" si="289"/>
        <v>0</v>
      </c>
      <c r="AV878" s="55">
        <f t="shared" ca="1" si="289"/>
        <v>0</v>
      </c>
      <c r="AW878" s="55">
        <f t="shared" ca="1" si="289"/>
        <v>0</v>
      </c>
      <c r="AX878" s="55">
        <f t="shared" ca="1" si="289"/>
        <v>0</v>
      </c>
    </row>
    <row r="879" spans="1:50" s="485" customFormat="1" ht="15" customHeight="1" x14ac:dyDescent="0.25">
      <c r="A879" s="502"/>
      <c r="B879" s="684"/>
      <c r="C879" s="645"/>
      <c r="D879" s="504"/>
      <c r="E879" s="511" t="str">
        <f xml:space="preserve"> Translate!E$349</f>
        <v>Taxable income after losses</v>
      </c>
      <c r="F879" s="504"/>
      <c r="G879" s="511" t="str">
        <f xml:space="preserve"> Translate!E$603</f>
        <v>US$ mn</v>
      </c>
      <c r="H879" s="511"/>
      <c r="I879" s="482">
        <f ca="1" xml:space="preserve"> SUM(K879:AX879)</f>
        <v>16308.573809808197</v>
      </c>
      <c r="J879" s="515"/>
      <c r="K879" s="482">
        <f t="shared" ref="K879:AX879" ca="1" si="290" xml:space="preserve"> K877 + K878</f>
        <v>-420</v>
      </c>
      <c r="L879" s="482">
        <f t="shared" ca="1" si="290"/>
        <v>-419.92349999999999</v>
      </c>
      <c r="M879" s="482">
        <f t="shared" ca="1" si="290"/>
        <v>-419.298495</v>
      </c>
      <c r="N879" s="482">
        <f t="shared" ca="1" si="290"/>
        <v>-416.26388535000001</v>
      </c>
      <c r="O879" s="482">
        <f t="shared" ca="1" si="290"/>
        <v>-867.09504813582953</v>
      </c>
      <c r="P879" s="482">
        <f t="shared" ca="1" si="290"/>
        <v>-950.44736714032092</v>
      </c>
      <c r="Q879" s="482">
        <f t="shared" ca="1" si="290"/>
        <v>-270.99988011455275</v>
      </c>
      <c r="R879" s="482">
        <f t="shared" ca="1" si="290"/>
        <v>375.83481173820542</v>
      </c>
      <c r="S879" s="482">
        <f t="shared" ca="1" si="290"/>
        <v>655.48120257088613</v>
      </c>
      <c r="T879" s="482">
        <f t="shared" ca="1" si="290"/>
        <v>1140.7170805217213</v>
      </c>
      <c r="U879" s="482">
        <f t="shared" ca="1" si="290"/>
        <v>1520.0369944384065</v>
      </c>
      <c r="V879" s="482">
        <f t="shared" ca="1" si="290"/>
        <v>1726.4369899919498</v>
      </c>
      <c r="W879" s="482">
        <f t="shared" ca="1" si="290"/>
        <v>1766.1865680894953</v>
      </c>
      <c r="X879" s="482">
        <f t="shared" ca="1" si="290"/>
        <v>1820.9323819374379</v>
      </c>
      <c r="Y879" s="482">
        <f t="shared" ca="1" si="290"/>
        <v>1876.4527825031046</v>
      </c>
      <c r="Z879" s="482">
        <f t="shared" ca="1" si="290"/>
        <v>1932.7632615208495</v>
      </c>
      <c r="AA879" s="482">
        <f t="shared" ca="1" si="290"/>
        <v>1497.701136338095</v>
      </c>
      <c r="AB879" s="482">
        <f t="shared" ca="1" si="290"/>
        <v>1178.7714384874901</v>
      </c>
      <c r="AC879" s="482">
        <f t="shared" ca="1" si="290"/>
        <v>1049.5443792409869</v>
      </c>
      <c r="AD879" s="482">
        <f t="shared" ca="1" si="290"/>
        <v>815.27336601736636</v>
      </c>
      <c r="AE879" s="482">
        <f t="shared" ca="1" si="290"/>
        <v>636.53737043989338</v>
      </c>
      <c r="AF879" s="482">
        <f t="shared" ca="1" si="290"/>
        <v>529.62461502607403</v>
      </c>
      <c r="AG879" s="482">
        <f t="shared" ca="1" si="290"/>
        <v>400.12001966923475</v>
      </c>
      <c r="AH879" s="482">
        <f t="shared" ca="1" si="290"/>
        <v>287.893195786121</v>
      </c>
      <c r="AI879" s="482">
        <f t="shared" ca="1" si="290"/>
        <v>242.61965558149404</v>
      </c>
      <c r="AJ879" s="482">
        <f t="shared" ca="1" si="290"/>
        <v>215.12874069683704</v>
      </c>
      <c r="AK879" s="482">
        <f t="shared" ca="1" si="290"/>
        <v>154.05834068715143</v>
      </c>
      <c r="AL879" s="482">
        <f t="shared" ca="1" si="290"/>
        <v>104.58000826472721</v>
      </c>
      <c r="AM879" s="482">
        <f t="shared" ca="1" si="290"/>
        <v>83.043821673245304</v>
      </c>
      <c r="AN879" s="482">
        <f t="shared" ca="1" si="290"/>
        <v>44.093859186664986</v>
      </c>
      <c r="AO879" s="482">
        <f t="shared" ca="1" si="290"/>
        <v>18.769965141459153</v>
      </c>
      <c r="AP879" s="482">
        <f t="shared" ca="1" si="290"/>
        <v>0</v>
      </c>
      <c r="AQ879" s="482">
        <f t="shared" ca="1" si="290"/>
        <v>0</v>
      </c>
      <c r="AR879" s="482">
        <f t="shared" ca="1" si="290"/>
        <v>0</v>
      </c>
      <c r="AS879" s="482">
        <f t="shared" ca="1" si="290"/>
        <v>0</v>
      </c>
      <c r="AT879" s="482">
        <f t="shared" ca="1" si="290"/>
        <v>0</v>
      </c>
      <c r="AU879" s="482">
        <f t="shared" ca="1" si="290"/>
        <v>0</v>
      </c>
      <c r="AV879" s="482">
        <f t="shared" ca="1" si="290"/>
        <v>0</v>
      </c>
      <c r="AW879" s="482">
        <f t="shared" ca="1" si="290"/>
        <v>0</v>
      </c>
      <c r="AX879" s="482">
        <f t="shared" ca="1" si="290"/>
        <v>0</v>
      </c>
    </row>
    <row r="880" spans="1:50" ht="15" customHeight="1" x14ac:dyDescent="0.25">
      <c r="A880" s="86"/>
      <c r="B880" s="677"/>
      <c r="C880" s="604"/>
      <c r="D880" s="217"/>
      <c r="E880" s="13"/>
      <c r="F880" s="151"/>
      <c r="G880" s="13"/>
      <c r="H880" s="13"/>
      <c r="I880" s="217"/>
      <c r="K880" s="98"/>
      <c r="L880" s="98"/>
      <c r="M880" s="98"/>
      <c r="N880" s="98"/>
      <c r="O880" s="98"/>
      <c r="P880" s="98"/>
      <c r="Q880" s="98"/>
      <c r="R880" s="98"/>
      <c r="S880" s="98"/>
      <c r="T880" s="98"/>
      <c r="U880" s="98"/>
      <c r="V880" s="98"/>
      <c r="W880" s="98"/>
      <c r="X880" s="98"/>
      <c r="Y880" s="98"/>
      <c r="Z880" s="98"/>
      <c r="AA880" s="98"/>
      <c r="AB880" s="98"/>
      <c r="AC880" s="98"/>
      <c r="AD880" s="98"/>
      <c r="AE880" s="98"/>
      <c r="AF880" s="98"/>
      <c r="AG880" s="98"/>
      <c r="AH880" s="98"/>
      <c r="AI880" s="98"/>
      <c r="AJ880" s="98"/>
      <c r="AK880" s="98"/>
      <c r="AL880" s="98"/>
      <c r="AM880" s="98"/>
      <c r="AN880" s="98"/>
      <c r="AO880" s="98"/>
      <c r="AP880" s="98"/>
      <c r="AQ880" s="98"/>
      <c r="AR880" s="98"/>
      <c r="AS880" s="98"/>
      <c r="AT880" s="98"/>
      <c r="AU880" s="98"/>
      <c r="AV880" s="98"/>
      <c r="AW880" s="98"/>
      <c r="AX880" s="98"/>
    </row>
    <row r="881" spans="1:50" ht="15" customHeight="1" x14ac:dyDescent="0.25">
      <c r="A881" s="86"/>
      <c r="B881" s="677"/>
      <c r="C881" s="604"/>
      <c r="D881" s="217"/>
      <c r="E881" s="402" t="str">
        <f xml:space="preserve"> FiscalModel!E$65</f>
        <v>CIT rate</v>
      </c>
      <c r="F881" s="534">
        <f xml:space="preserve"> FiscalModel!F$65</f>
        <v>0.35</v>
      </c>
      <c r="G881" s="402" t="str">
        <f xml:space="preserve"> FiscalModel!G$65</f>
        <v>%</v>
      </c>
      <c r="H881" s="13"/>
      <c r="I881" s="217"/>
      <c r="K881" s="98"/>
      <c r="L881" s="98"/>
      <c r="M881" s="98"/>
      <c r="N881" s="98"/>
      <c r="O881" s="98"/>
      <c r="P881" s="98"/>
      <c r="Q881" s="98"/>
      <c r="R881" s="98"/>
      <c r="S881" s="98"/>
      <c r="T881" s="98"/>
      <c r="U881" s="98"/>
      <c r="V881" s="98"/>
      <c r="W881" s="98"/>
      <c r="X881" s="98"/>
      <c r="Y881" s="98"/>
      <c r="Z881" s="98"/>
      <c r="AA881" s="98"/>
      <c r="AB881" s="98"/>
      <c r="AC881" s="98"/>
      <c r="AD881" s="98"/>
      <c r="AE881" s="98"/>
      <c r="AF881" s="98"/>
      <c r="AG881" s="98"/>
      <c r="AH881" s="98"/>
      <c r="AI881" s="98"/>
      <c r="AJ881" s="98"/>
      <c r="AK881" s="98"/>
      <c r="AL881" s="98"/>
      <c r="AM881" s="98"/>
      <c r="AN881" s="98"/>
      <c r="AO881" s="98"/>
      <c r="AP881" s="98"/>
      <c r="AQ881" s="98"/>
      <c r="AR881" s="98"/>
      <c r="AS881" s="98"/>
      <c r="AT881" s="98"/>
      <c r="AU881" s="98"/>
      <c r="AV881" s="98"/>
      <c r="AW881" s="98"/>
      <c r="AX881" s="98"/>
    </row>
    <row r="882" spans="1:50" s="827" customFormat="1" ht="15" customHeight="1" x14ac:dyDescent="0.25">
      <c r="B882" s="828"/>
      <c r="C882" s="829"/>
      <c r="E882" s="513" t="str">
        <f xml:space="preserve"> Translate!E$350</f>
        <v>CIT rate applicable</v>
      </c>
      <c r="G882" s="513" t="s">
        <v>24</v>
      </c>
      <c r="K882" s="827">
        <f>$F881</f>
        <v>0.35</v>
      </c>
      <c r="L882" s="827">
        <f t="shared" ref="L882:AX882" si="291">$F881</f>
        <v>0.35</v>
      </c>
      <c r="M882" s="827">
        <f t="shared" si="291"/>
        <v>0.35</v>
      </c>
      <c r="N882" s="827">
        <f t="shared" si="291"/>
        <v>0.35</v>
      </c>
      <c r="O882" s="827">
        <f t="shared" si="291"/>
        <v>0.35</v>
      </c>
      <c r="P882" s="827">
        <f t="shared" si="291"/>
        <v>0.35</v>
      </c>
      <c r="Q882" s="827">
        <f t="shared" si="291"/>
        <v>0.35</v>
      </c>
      <c r="R882" s="827">
        <f t="shared" si="291"/>
        <v>0.35</v>
      </c>
      <c r="S882" s="827">
        <f t="shared" si="291"/>
        <v>0.35</v>
      </c>
      <c r="T882" s="827">
        <f t="shared" si="291"/>
        <v>0.35</v>
      </c>
      <c r="U882" s="827">
        <f t="shared" si="291"/>
        <v>0.35</v>
      </c>
      <c r="V882" s="827">
        <f t="shared" si="291"/>
        <v>0.35</v>
      </c>
      <c r="W882" s="827">
        <f t="shared" si="291"/>
        <v>0.35</v>
      </c>
      <c r="X882" s="827">
        <f t="shared" si="291"/>
        <v>0.35</v>
      </c>
      <c r="Y882" s="827">
        <f t="shared" si="291"/>
        <v>0.35</v>
      </c>
      <c r="Z882" s="827">
        <f t="shared" si="291"/>
        <v>0.35</v>
      </c>
      <c r="AA882" s="827">
        <f t="shared" si="291"/>
        <v>0.35</v>
      </c>
      <c r="AB882" s="827">
        <f t="shared" si="291"/>
        <v>0.35</v>
      </c>
      <c r="AC882" s="827">
        <f t="shared" si="291"/>
        <v>0.35</v>
      </c>
      <c r="AD882" s="827">
        <f t="shared" si="291"/>
        <v>0.35</v>
      </c>
      <c r="AE882" s="827">
        <f t="shared" si="291"/>
        <v>0.35</v>
      </c>
      <c r="AF882" s="827">
        <f t="shared" si="291"/>
        <v>0.35</v>
      </c>
      <c r="AG882" s="827">
        <f t="shared" si="291"/>
        <v>0.35</v>
      </c>
      <c r="AH882" s="827">
        <f t="shared" si="291"/>
        <v>0.35</v>
      </c>
      <c r="AI882" s="827">
        <f t="shared" si="291"/>
        <v>0.35</v>
      </c>
      <c r="AJ882" s="827">
        <f t="shared" si="291"/>
        <v>0.35</v>
      </c>
      <c r="AK882" s="827">
        <f t="shared" si="291"/>
        <v>0.35</v>
      </c>
      <c r="AL882" s="827">
        <f t="shared" si="291"/>
        <v>0.35</v>
      </c>
      <c r="AM882" s="827">
        <f t="shared" si="291"/>
        <v>0.35</v>
      </c>
      <c r="AN882" s="827">
        <f t="shared" si="291"/>
        <v>0.35</v>
      </c>
      <c r="AO882" s="827">
        <f t="shared" si="291"/>
        <v>0.35</v>
      </c>
      <c r="AP882" s="827">
        <f t="shared" si="291"/>
        <v>0.35</v>
      </c>
      <c r="AQ882" s="827">
        <f t="shared" si="291"/>
        <v>0.35</v>
      </c>
      <c r="AR882" s="827">
        <f t="shared" si="291"/>
        <v>0.35</v>
      </c>
      <c r="AS882" s="827">
        <f t="shared" si="291"/>
        <v>0.35</v>
      </c>
      <c r="AT882" s="827">
        <f t="shared" si="291"/>
        <v>0.35</v>
      </c>
      <c r="AU882" s="827">
        <f t="shared" si="291"/>
        <v>0.35</v>
      </c>
      <c r="AV882" s="827">
        <f t="shared" si="291"/>
        <v>0.35</v>
      </c>
      <c r="AW882" s="827">
        <f t="shared" si="291"/>
        <v>0.35</v>
      </c>
      <c r="AX882" s="827">
        <f t="shared" si="291"/>
        <v>0.35</v>
      </c>
    </row>
    <row r="883" spans="1:50" ht="15" customHeight="1" x14ac:dyDescent="0.25">
      <c r="A883" s="86"/>
      <c r="B883" s="677"/>
      <c r="C883" s="604"/>
      <c r="D883" s="217"/>
      <c r="E883" s="402"/>
      <c r="F883" s="534"/>
      <c r="G883" s="402"/>
      <c r="H883" s="13"/>
      <c r="I883" s="217"/>
      <c r="K883" s="98"/>
      <c r="L883" s="98"/>
      <c r="M883" s="98"/>
      <c r="N883" s="98"/>
      <c r="O883" s="98"/>
      <c r="P883" s="98"/>
      <c r="Q883" s="98"/>
      <c r="R883" s="98"/>
      <c r="S883" s="98"/>
      <c r="T883" s="98"/>
      <c r="U883" s="98"/>
      <c r="V883" s="98"/>
      <c r="W883" s="98"/>
      <c r="X883" s="98"/>
      <c r="Y883" s="98"/>
      <c r="Z883" s="98"/>
      <c r="AA883" s="98"/>
      <c r="AB883" s="98"/>
      <c r="AC883" s="98"/>
      <c r="AD883" s="98"/>
      <c r="AE883" s="98"/>
      <c r="AF883" s="98"/>
      <c r="AG883" s="98"/>
      <c r="AH883" s="98"/>
      <c r="AI883" s="98"/>
      <c r="AJ883" s="98"/>
      <c r="AK883" s="98"/>
      <c r="AL883" s="98"/>
      <c r="AM883" s="98"/>
      <c r="AN883" s="98"/>
      <c r="AO883" s="98"/>
      <c r="AP883" s="98"/>
      <c r="AQ883" s="98"/>
      <c r="AR883" s="98"/>
      <c r="AS883" s="98"/>
      <c r="AT883" s="98"/>
      <c r="AU883" s="98"/>
      <c r="AV883" s="98"/>
      <c r="AW883" s="98"/>
      <c r="AX883" s="98"/>
    </row>
    <row r="884" spans="1:50" s="7" customFormat="1" ht="15" customHeight="1" x14ac:dyDescent="0.25">
      <c r="A884" s="274"/>
      <c r="B884" s="672"/>
      <c r="C884" s="618"/>
      <c r="D884" s="64"/>
      <c r="E884" s="190" t="str">
        <f xml:space="preserve"> Translate!E$351</f>
        <v>CIT paid: IOC</v>
      </c>
      <c r="F884" s="64"/>
      <c r="G884" s="190" t="str">
        <f xml:space="preserve"> Translate!E$603</f>
        <v>US$ mn</v>
      </c>
      <c r="H884" s="190"/>
      <c r="I884" s="55">
        <f ca="1" xml:space="preserve"> SUM(K884:AX884)</f>
        <v>7025.4106949421139</v>
      </c>
      <c r="J884" s="55"/>
      <c r="K884" s="55">
        <f t="shared" ref="K884:AX884" ca="1" si="292" xml:space="preserve"> K879 * K882 * ( K879 &gt; 0 )</f>
        <v>0</v>
      </c>
      <c r="L884" s="55">
        <f t="shared" ca="1" si="292"/>
        <v>0</v>
      </c>
      <c r="M884" s="55">
        <f t="shared" ca="1" si="292"/>
        <v>0</v>
      </c>
      <c r="N884" s="55">
        <f t="shared" ca="1" si="292"/>
        <v>0</v>
      </c>
      <c r="O884" s="55">
        <f t="shared" ca="1" si="292"/>
        <v>0</v>
      </c>
      <c r="P884" s="55">
        <f t="shared" ca="1" si="292"/>
        <v>0</v>
      </c>
      <c r="Q884" s="55">
        <f t="shared" ca="1" si="292"/>
        <v>0</v>
      </c>
      <c r="R884" s="55">
        <f t="shared" ca="1" si="292"/>
        <v>131.54218410837188</v>
      </c>
      <c r="S884" s="55">
        <f t="shared" ca="1" si="292"/>
        <v>229.41842089981012</v>
      </c>
      <c r="T884" s="55">
        <f t="shared" ca="1" si="292"/>
        <v>399.25097818260241</v>
      </c>
      <c r="U884" s="55">
        <f t="shared" ca="1" si="292"/>
        <v>532.0129480534423</v>
      </c>
      <c r="V884" s="55">
        <f t="shared" ca="1" si="292"/>
        <v>604.25294649718239</v>
      </c>
      <c r="W884" s="55">
        <f t="shared" ca="1" si="292"/>
        <v>618.1652988313233</v>
      </c>
      <c r="X884" s="55">
        <f t="shared" ca="1" si="292"/>
        <v>637.3263336781032</v>
      </c>
      <c r="Y884" s="55">
        <f t="shared" ca="1" si="292"/>
        <v>656.75847387608655</v>
      </c>
      <c r="Z884" s="55">
        <f t="shared" ca="1" si="292"/>
        <v>676.46714153229732</v>
      </c>
      <c r="AA884" s="55">
        <f t="shared" ca="1" si="292"/>
        <v>524.1953977183332</v>
      </c>
      <c r="AB884" s="55">
        <f t="shared" ca="1" si="292"/>
        <v>412.57000347062149</v>
      </c>
      <c r="AC884" s="55">
        <f t="shared" ca="1" si="292"/>
        <v>367.3405327343454</v>
      </c>
      <c r="AD884" s="55">
        <f t="shared" ca="1" si="292"/>
        <v>285.3456781060782</v>
      </c>
      <c r="AE884" s="55">
        <f t="shared" ca="1" si="292"/>
        <v>222.78807965396268</v>
      </c>
      <c r="AF884" s="55">
        <f t="shared" ca="1" si="292"/>
        <v>185.3686152591259</v>
      </c>
      <c r="AG884" s="55">
        <f t="shared" ca="1" si="292"/>
        <v>140.04200688423217</v>
      </c>
      <c r="AH884" s="55">
        <f t="shared" ca="1" si="292"/>
        <v>100.76261852514234</v>
      </c>
      <c r="AI884" s="55">
        <f t="shared" ca="1" si="292"/>
        <v>84.91687945352291</v>
      </c>
      <c r="AJ884" s="55">
        <f t="shared" ca="1" si="292"/>
        <v>75.295059243892965</v>
      </c>
      <c r="AK884" s="55">
        <f t="shared" ca="1" si="292"/>
        <v>53.920419240502994</v>
      </c>
      <c r="AL884" s="55">
        <f t="shared" ca="1" si="292"/>
        <v>36.603002892654523</v>
      </c>
      <c r="AM884" s="55">
        <f t="shared" ca="1" si="292"/>
        <v>29.065337585635856</v>
      </c>
      <c r="AN884" s="55">
        <f t="shared" ca="1" si="292"/>
        <v>15.432850715332744</v>
      </c>
      <c r="AO884" s="55">
        <f t="shared" ca="1" si="292"/>
        <v>6.5694877995107035</v>
      </c>
      <c r="AP884" s="55">
        <f t="shared" ca="1" si="292"/>
        <v>0</v>
      </c>
      <c r="AQ884" s="55">
        <f t="shared" ca="1" si="292"/>
        <v>0</v>
      </c>
      <c r="AR884" s="55">
        <f t="shared" ca="1" si="292"/>
        <v>0</v>
      </c>
      <c r="AS884" s="55">
        <f t="shared" ca="1" si="292"/>
        <v>0</v>
      </c>
      <c r="AT884" s="55">
        <f t="shared" ca="1" si="292"/>
        <v>0</v>
      </c>
      <c r="AU884" s="55">
        <f t="shared" ca="1" si="292"/>
        <v>0</v>
      </c>
      <c r="AV884" s="55">
        <f t="shared" ca="1" si="292"/>
        <v>0</v>
      </c>
      <c r="AW884" s="55">
        <f t="shared" ca="1" si="292"/>
        <v>0</v>
      </c>
      <c r="AX884" s="55">
        <f t="shared" ca="1" si="292"/>
        <v>0</v>
      </c>
    </row>
    <row r="885" spans="1:50" ht="15" customHeight="1" x14ac:dyDescent="0.25">
      <c r="A885" s="86"/>
    </row>
    <row r="886" spans="1:50" ht="15" customHeight="1" x14ac:dyDescent="0.25">
      <c r="A886" s="202" t="str">
        <f xml:space="preserve"> Translate!E$166</f>
        <v>Resource rent tax</v>
      </c>
      <c r="B886" s="781"/>
      <c r="C886" s="610"/>
      <c r="D886" s="204"/>
      <c r="E886" s="202"/>
      <c r="F886" s="204"/>
      <c r="G886" s="202"/>
      <c r="H886" s="202"/>
      <c r="I886" s="202"/>
      <c r="J886" s="202"/>
      <c r="K886" s="202"/>
      <c r="L886" s="202"/>
      <c r="M886" s="202"/>
      <c r="N886" s="202"/>
      <c r="O886" s="202"/>
      <c r="P886" s="202"/>
      <c r="Q886" s="202"/>
      <c r="R886" s="202"/>
      <c r="S886" s="202"/>
      <c r="T886" s="202"/>
      <c r="U886" s="202"/>
      <c r="V886" s="202"/>
      <c r="W886" s="202"/>
      <c r="X886" s="202"/>
      <c r="Y886" s="202"/>
      <c r="Z886" s="202"/>
      <c r="AA886" s="202"/>
      <c r="AB886" s="202"/>
      <c r="AC886" s="202"/>
      <c r="AD886" s="202"/>
      <c r="AE886" s="202"/>
      <c r="AF886" s="202"/>
      <c r="AG886" s="202"/>
      <c r="AH886" s="202"/>
      <c r="AI886" s="202"/>
      <c r="AJ886" s="202"/>
      <c r="AK886" s="202"/>
      <c r="AL886" s="202"/>
      <c r="AM886" s="202"/>
      <c r="AN886" s="202"/>
      <c r="AO886" s="202"/>
      <c r="AP886" s="202"/>
      <c r="AQ886" s="202"/>
      <c r="AR886" s="202"/>
      <c r="AS886" s="202"/>
      <c r="AT886" s="202"/>
      <c r="AU886" s="202"/>
      <c r="AV886" s="202"/>
      <c r="AW886" s="202"/>
      <c r="AX886" s="202"/>
    </row>
    <row r="887" spans="1:50" ht="15" customHeight="1" x14ac:dyDescent="0.25">
      <c r="A887" s="86"/>
    </row>
    <row r="888" spans="1:50" ht="15" customHeight="1" x14ac:dyDescent="0.25">
      <c r="A888" s="86"/>
      <c r="B888" s="675" t="str">
        <f>Translate!$E$454</f>
        <v>Determine cashflow for RRT</v>
      </c>
    </row>
    <row r="889" spans="1:50" ht="15" customHeight="1" x14ac:dyDescent="0.25">
      <c r="A889" s="86"/>
      <c r="E889" s="3" t="str">
        <f>E$700</f>
        <v>IOC share of revenues</v>
      </c>
      <c r="F889" s="44">
        <f t="shared" ref="F889:AX889" si="293">F$700</f>
        <v>0</v>
      </c>
      <c r="G889" s="3" t="str">
        <f t="shared" si="293"/>
        <v>US$ mn</v>
      </c>
      <c r="H889" s="3">
        <f t="shared" si="293"/>
        <v>0</v>
      </c>
      <c r="I889" s="3">
        <f t="shared" ca="1" si="293"/>
        <v>45734.834814730028</v>
      </c>
      <c r="J889" s="3">
        <f t="shared" si="293"/>
        <v>0</v>
      </c>
      <c r="K889" s="3">
        <f t="shared" ca="1" si="293"/>
        <v>0</v>
      </c>
      <c r="L889" s="3">
        <f t="shared" ca="1" si="293"/>
        <v>0</v>
      </c>
      <c r="M889" s="3">
        <f t="shared" ca="1" si="293"/>
        <v>0</v>
      </c>
      <c r="N889" s="3">
        <f t="shared" ca="1" si="293"/>
        <v>0</v>
      </c>
      <c r="O889" s="3">
        <f t="shared" ca="1" si="293"/>
        <v>165.96573648787856</v>
      </c>
      <c r="P889" s="3">
        <f t="shared" ca="1" si="293"/>
        <v>1329.8653274544001</v>
      </c>
      <c r="Q889" s="3">
        <f t="shared" ca="1" si="293"/>
        <v>2712.9252680069767</v>
      </c>
      <c r="R889" s="3">
        <f t="shared" ca="1" si="293"/>
        <v>2767.1837733671159</v>
      </c>
      <c r="S889" s="3">
        <f t="shared" ca="1" si="293"/>
        <v>2822.5274488344585</v>
      </c>
      <c r="T889" s="3">
        <f t="shared" ca="1" si="293"/>
        <v>2878.9779978111474</v>
      </c>
      <c r="U889" s="3">
        <f t="shared" ca="1" si="293"/>
        <v>2936.5575577673703</v>
      </c>
      <c r="V889" s="3">
        <f t="shared" ca="1" si="293"/>
        <v>2995.2887089227179</v>
      </c>
      <c r="W889" s="3">
        <f t="shared" ca="1" si="293"/>
        <v>3055.1944831011724</v>
      </c>
      <c r="X889" s="3">
        <f t="shared" ca="1" si="293"/>
        <v>3116.2983727631954</v>
      </c>
      <c r="Y889" s="3">
        <f t="shared" ca="1" si="293"/>
        <v>3178.6243402184596</v>
      </c>
      <c r="Z889" s="3">
        <f t="shared" ca="1" si="293"/>
        <v>3242.196827022829</v>
      </c>
      <c r="AA889" s="3">
        <f t="shared" ca="1" si="293"/>
        <v>2678.703018486262</v>
      </c>
      <c r="AB889" s="3">
        <f t="shared" ca="1" si="293"/>
        <v>2213.14443387335</v>
      </c>
      <c r="AC889" s="3">
        <f t="shared" ca="1" si="293"/>
        <v>1828.4999312661619</v>
      </c>
      <c r="AD889" s="3">
        <f t="shared" ca="1" si="293"/>
        <v>1510.7066432121032</v>
      </c>
      <c r="AE889" s="3">
        <f t="shared" ca="1" si="293"/>
        <v>1248.1458286218397</v>
      </c>
      <c r="AF889" s="3">
        <f t="shared" ca="1" si="293"/>
        <v>1031.2180836073642</v>
      </c>
      <c r="AG889" s="3">
        <f t="shared" ca="1" si="293"/>
        <v>851.99238067640442</v>
      </c>
      <c r="AH889" s="3">
        <f t="shared" ca="1" si="293"/>
        <v>703.91610491484528</v>
      </c>
      <c r="AI889" s="3">
        <f t="shared" ca="1" si="293"/>
        <v>581.57548588064526</v>
      </c>
      <c r="AJ889" s="3">
        <f t="shared" ca="1" si="293"/>
        <v>480.49766643458906</v>
      </c>
      <c r="AK889" s="3">
        <f t="shared" ca="1" si="293"/>
        <v>396.98717200825757</v>
      </c>
      <c r="AL889" s="3">
        <f t="shared" ca="1" si="293"/>
        <v>327.99080151322232</v>
      </c>
      <c r="AM889" s="3">
        <f t="shared" ca="1" si="293"/>
        <v>270.98600021022435</v>
      </c>
      <c r="AN889" s="3">
        <f t="shared" ca="1" si="293"/>
        <v>223.88863337368736</v>
      </c>
      <c r="AO889" s="3">
        <f t="shared" ca="1" si="293"/>
        <v>184.97678889334054</v>
      </c>
      <c r="AP889" s="3">
        <f t="shared" ca="1" si="293"/>
        <v>0</v>
      </c>
      <c r="AQ889" s="3">
        <f t="shared" ca="1" si="293"/>
        <v>0</v>
      </c>
      <c r="AR889" s="3">
        <f t="shared" ca="1" si="293"/>
        <v>0</v>
      </c>
      <c r="AS889" s="3">
        <f t="shared" ca="1" si="293"/>
        <v>0</v>
      </c>
      <c r="AT889" s="3">
        <f t="shared" ca="1" si="293"/>
        <v>0</v>
      </c>
      <c r="AU889" s="3">
        <f t="shared" ca="1" si="293"/>
        <v>0</v>
      </c>
      <c r="AV889" s="3">
        <f t="shared" ca="1" si="293"/>
        <v>0</v>
      </c>
      <c r="AW889" s="3">
        <f t="shared" ca="1" si="293"/>
        <v>0</v>
      </c>
      <c r="AX889" s="3">
        <f t="shared" ca="1" si="293"/>
        <v>0</v>
      </c>
    </row>
    <row r="890" spans="1:50" ht="15" customHeight="1" x14ac:dyDescent="0.25">
      <c r="A890" s="86"/>
    </row>
    <row r="891" spans="1:50" ht="15" customHeight="1" x14ac:dyDescent="0.25">
      <c r="A891" s="86"/>
      <c r="E891" s="3" t="str">
        <f xml:space="preserve"> E$857</f>
        <v>T&amp;R: Royalty attributable to: IOC: deductible</v>
      </c>
      <c r="F891" s="3">
        <f t="shared" ref="F891:AX891" si="294" xml:space="preserve"> F$857</f>
        <v>0</v>
      </c>
      <c r="G891" s="3" t="str">
        <f t="shared" si="294"/>
        <v>US$ mn</v>
      </c>
      <c r="H891" s="3">
        <f t="shared" si="294"/>
        <v>0</v>
      </c>
      <c r="I891" s="3">
        <f t="shared" ca="1" si="294"/>
        <v>9146.9669629460022</v>
      </c>
      <c r="J891" s="3">
        <f t="shared" si="294"/>
        <v>0</v>
      </c>
      <c r="K891" s="3">
        <f t="shared" ca="1" si="294"/>
        <v>0</v>
      </c>
      <c r="L891" s="3">
        <f t="shared" ca="1" si="294"/>
        <v>0</v>
      </c>
      <c r="M891" s="3">
        <f t="shared" ca="1" si="294"/>
        <v>0</v>
      </c>
      <c r="N891" s="3">
        <f t="shared" ca="1" si="294"/>
        <v>0</v>
      </c>
      <c r="O891" s="3">
        <f t="shared" ca="1" si="294"/>
        <v>33.193147297575713</v>
      </c>
      <c r="P891" s="3">
        <f t="shared" ca="1" si="294"/>
        <v>265.97306549088</v>
      </c>
      <c r="Q891" s="3">
        <f t="shared" ca="1" si="294"/>
        <v>542.58505360139532</v>
      </c>
      <c r="R891" s="3">
        <f t="shared" ca="1" si="294"/>
        <v>553.43675467342314</v>
      </c>
      <c r="S891" s="3">
        <f t="shared" ca="1" si="294"/>
        <v>564.50548976689174</v>
      </c>
      <c r="T891" s="3">
        <f t="shared" ca="1" si="294"/>
        <v>575.79559956222943</v>
      </c>
      <c r="U891" s="3">
        <f t="shared" ca="1" si="294"/>
        <v>587.31151155347402</v>
      </c>
      <c r="V891" s="3">
        <f t="shared" ca="1" si="294"/>
        <v>599.05774178454362</v>
      </c>
      <c r="W891" s="3">
        <f t="shared" ca="1" si="294"/>
        <v>611.03889662023448</v>
      </c>
      <c r="X891" s="3">
        <f t="shared" ca="1" si="294"/>
        <v>623.25967455263913</v>
      </c>
      <c r="Y891" s="3">
        <f t="shared" ca="1" si="294"/>
        <v>635.72486804369191</v>
      </c>
      <c r="Z891" s="3">
        <f t="shared" ca="1" si="294"/>
        <v>648.43936540456582</v>
      </c>
      <c r="AA891" s="3">
        <f t="shared" ca="1" si="294"/>
        <v>535.74060369725237</v>
      </c>
      <c r="AB891" s="3">
        <f t="shared" ca="1" si="294"/>
        <v>442.62888677466998</v>
      </c>
      <c r="AC891" s="3">
        <f t="shared" ca="1" si="294"/>
        <v>365.6999862532324</v>
      </c>
      <c r="AD891" s="3">
        <f t="shared" ca="1" si="294"/>
        <v>302.14132864242066</v>
      </c>
      <c r="AE891" s="3">
        <f t="shared" ca="1" si="294"/>
        <v>249.62916572436794</v>
      </c>
      <c r="AF891" s="3">
        <f t="shared" ca="1" si="294"/>
        <v>206.24361672147285</v>
      </c>
      <c r="AG891" s="3">
        <f t="shared" ca="1" si="294"/>
        <v>170.39847613528087</v>
      </c>
      <c r="AH891" s="3">
        <f t="shared" ca="1" si="294"/>
        <v>140.78322098296906</v>
      </c>
      <c r="AI891" s="3">
        <f t="shared" ca="1" si="294"/>
        <v>116.31509717612906</v>
      </c>
      <c r="AJ891" s="3">
        <f t="shared" ca="1" si="294"/>
        <v>96.099533286917818</v>
      </c>
      <c r="AK891" s="3">
        <f t="shared" ca="1" si="294"/>
        <v>79.397434401651509</v>
      </c>
      <c r="AL891" s="3">
        <f t="shared" ca="1" si="294"/>
        <v>65.598160302644459</v>
      </c>
      <c r="AM891" s="3">
        <f t="shared" ca="1" si="294"/>
        <v>54.197200042044869</v>
      </c>
      <c r="AN891" s="3">
        <f t="shared" ca="1" si="294"/>
        <v>44.777726674737472</v>
      </c>
      <c r="AO891" s="3">
        <f t="shared" ca="1" si="294"/>
        <v>36.995357778668108</v>
      </c>
      <c r="AP891" s="3">
        <f t="shared" ca="1" si="294"/>
        <v>0</v>
      </c>
      <c r="AQ891" s="3">
        <f t="shared" ca="1" si="294"/>
        <v>0</v>
      </c>
      <c r="AR891" s="3">
        <f t="shared" ca="1" si="294"/>
        <v>0</v>
      </c>
      <c r="AS891" s="3">
        <f t="shared" ca="1" si="294"/>
        <v>0</v>
      </c>
      <c r="AT891" s="3">
        <f t="shared" ca="1" si="294"/>
        <v>0</v>
      </c>
      <c r="AU891" s="3">
        <f t="shared" ca="1" si="294"/>
        <v>0</v>
      </c>
      <c r="AV891" s="3">
        <f t="shared" ca="1" si="294"/>
        <v>0</v>
      </c>
      <c r="AW891" s="3">
        <f t="shared" ca="1" si="294"/>
        <v>0</v>
      </c>
      <c r="AX891" s="3">
        <f t="shared" ca="1" si="294"/>
        <v>0</v>
      </c>
    </row>
    <row r="892" spans="1:50" ht="15" customHeight="1" x14ac:dyDescent="0.25">
      <c r="A892" s="86"/>
      <c r="E892" s="3" t="str">
        <f xml:space="preserve"> E$742</f>
        <v>Exploration costs, after ELT: IOC</v>
      </c>
      <c r="F892" s="44">
        <f t="shared" ref="F892:AX892" si="295" xml:space="preserve"> F$742</f>
        <v>0</v>
      </c>
      <c r="G892" s="3" t="str">
        <f t="shared" si="295"/>
        <v>US$ mn</v>
      </c>
      <c r="H892" s="3">
        <f t="shared" si="295"/>
        <v>0</v>
      </c>
      <c r="I892" s="3">
        <f t="shared" ca="1" si="295"/>
        <v>420</v>
      </c>
      <c r="J892" s="3">
        <f t="shared" si="295"/>
        <v>0</v>
      </c>
      <c r="K892" s="3">
        <f t="shared" ca="1" si="295"/>
        <v>420</v>
      </c>
      <c r="L892" s="3">
        <f t="shared" ca="1" si="295"/>
        <v>0</v>
      </c>
      <c r="M892" s="3">
        <f t="shared" ca="1" si="295"/>
        <v>0</v>
      </c>
      <c r="N892" s="3">
        <f t="shared" ca="1" si="295"/>
        <v>0</v>
      </c>
      <c r="O892" s="3">
        <f t="shared" ca="1" si="295"/>
        <v>0</v>
      </c>
      <c r="P892" s="3">
        <f t="shared" ca="1" si="295"/>
        <v>0</v>
      </c>
      <c r="Q892" s="3">
        <f t="shared" ca="1" si="295"/>
        <v>0</v>
      </c>
      <c r="R892" s="3">
        <f t="shared" ca="1" si="295"/>
        <v>0</v>
      </c>
      <c r="S892" s="3">
        <f t="shared" ca="1" si="295"/>
        <v>0</v>
      </c>
      <c r="T892" s="3">
        <f t="shared" ca="1" si="295"/>
        <v>0</v>
      </c>
      <c r="U892" s="3">
        <f t="shared" ca="1" si="295"/>
        <v>0</v>
      </c>
      <c r="V892" s="3">
        <f t="shared" ca="1" si="295"/>
        <v>0</v>
      </c>
      <c r="W892" s="3">
        <f t="shared" ca="1" si="295"/>
        <v>0</v>
      </c>
      <c r="X892" s="3">
        <f t="shared" ca="1" si="295"/>
        <v>0</v>
      </c>
      <c r="Y892" s="3">
        <f t="shared" ca="1" si="295"/>
        <v>0</v>
      </c>
      <c r="Z892" s="3">
        <f t="shared" ca="1" si="295"/>
        <v>0</v>
      </c>
      <c r="AA892" s="3">
        <f t="shared" ca="1" si="295"/>
        <v>0</v>
      </c>
      <c r="AB892" s="3">
        <f t="shared" ca="1" si="295"/>
        <v>0</v>
      </c>
      <c r="AC892" s="3">
        <f t="shared" ca="1" si="295"/>
        <v>0</v>
      </c>
      <c r="AD892" s="3">
        <f t="shared" ca="1" si="295"/>
        <v>0</v>
      </c>
      <c r="AE892" s="3">
        <f t="shared" ca="1" si="295"/>
        <v>0</v>
      </c>
      <c r="AF892" s="3">
        <f t="shared" ca="1" si="295"/>
        <v>0</v>
      </c>
      <c r="AG892" s="3">
        <f t="shared" ca="1" si="295"/>
        <v>0</v>
      </c>
      <c r="AH892" s="3">
        <f t="shared" ca="1" si="295"/>
        <v>0</v>
      </c>
      <c r="AI892" s="3">
        <f t="shared" ca="1" si="295"/>
        <v>0</v>
      </c>
      <c r="AJ892" s="3">
        <f t="shared" ca="1" si="295"/>
        <v>0</v>
      </c>
      <c r="AK892" s="3">
        <f t="shared" ca="1" si="295"/>
        <v>0</v>
      </c>
      <c r="AL892" s="3">
        <f t="shared" ca="1" si="295"/>
        <v>0</v>
      </c>
      <c r="AM892" s="3">
        <f t="shared" ca="1" si="295"/>
        <v>0</v>
      </c>
      <c r="AN892" s="3">
        <f t="shared" ca="1" si="295"/>
        <v>0</v>
      </c>
      <c r="AO892" s="3">
        <f t="shared" ca="1" si="295"/>
        <v>0</v>
      </c>
      <c r="AP892" s="3">
        <f t="shared" ca="1" si="295"/>
        <v>0</v>
      </c>
      <c r="AQ892" s="3">
        <f t="shared" ca="1" si="295"/>
        <v>0</v>
      </c>
      <c r="AR892" s="3">
        <f t="shared" ca="1" si="295"/>
        <v>0</v>
      </c>
      <c r="AS892" s="3">
        <f t="shared" ca="1" si="295"/>
        <v>0</v>
      </c>
      <c r="AT892" s="3">
        <f t="shared" ca="1" si="295"/>
        <v>0</v>
      </c>
      <c r="AU892" s="3">
        <f t="shared" ca="1" si="295"/>
        <v>0</v>
      </c>
      <c r="AV892" s="3">
        <f t="shared" ca="1" si="295"/>
        <v>0</v>
      </c>
      <c r="AW892" s="3">
        <f t="shared" ca="1" si="295"/>
        <v>0</v>
      </c>
      <c r="AX892" s="3">
        <f t="shared" ca="1" si="295"/>
        <v>0</v>
      </c>
    </row>
    <row r="893" spans="1:50" ht="15" customHeight="1" x14ac:dyDescent="0.25">
      <c r="A893" s="86"/>
      <c r="E893" s="3" t="str">
        <f xml:space="preserve"> E$743</f>
        <v>Development costs, after ELT: IOC</v>
      </c>
      <c r="F893" s="44">
        <f t="shared" ref="F893:AX893" si="296" xml:space="preserve"> F$743</f>
        <v>0</v>
      </c>
      <c r="G893" s="3" t="str">
        <f t="shared" si="296"/>
        <v>US$ mn</v>
      </c>
      <c r="H893" s="3">
        <f t="shared" si="296"/>
        <v>0</v>
      </c>
      <c r="I893" s="3">
        <f t="shared" ca="1" si="296"/>
        <v>8364.4578251446346</v>
      </c>
      <c r="J893" s="3">
        <f t="shared" si="296"/>
        <v>0</v>
      </c>
      <c r="K893" s="3">
        <f t="shared" ca="1" si="296"/>
        <v>0</v>
      </c>
      <c r="L893" s="3">
        <f t="shared" ca="1" si="296"/>
        <v>40.799999999999997</v>
      </c>
      <c r="M893" s="3">
        <f t="shared" ca="1" si="296"/>
        <v>249.696</v>
      </c>
      <c r="N893" s="3">
        <f t="shared" ca="1" si="296"/>
        <v>1018.7596799999999</v>
      </c>
      <c r="O893" s="3">
        <f t="shared" ca="1" si="296"/>
        <v>1039.1348736</v>
      </c>
      <c r="P893" s="3">
        <f t="shared" ca="1" si="296"/>
        <v>1854.8557493759999</v>
      </c>
      <c r="Q893" s="3">
        <f t="shared" ca="1" si="296"/>
        <v>991.02292895232006</v>
      </c>
      <c r="R893" s="3">
        <f t="shared" ca="1" si="296"/>
        <v>413.52684035374079</v>
      </c>
      <c r="S893" s="3">
        <f t="shared" ca="1" si="296"/>
        <v>234.33187620045314</v>
      </c>
      <c r="T893" s="3">
        <f t="shared" ca="1" si="296"/>
        <v>239.01851372446222</v>
      </c>
      <c r="U893" s="3">
        <f t="shared" ca="1" si="296"/>
        <v>243.79888399895148</v>
      </c>
      <c r="V893" s="3">
        <f t="shared" ca="1" si="296"/>
        <v>248.67486167893048</v>
      </c>
      <c r="W893" s="3">
        <f t="shared" ca="1" si="296"/>
        <v>253.64835891250908</v>
      </c>
      <c r="X893" s="3">
        <f t="shared" ca="1" si="296"/>
        <v>258.72132609075925</v>
      </c>
      <c r="Y893" s="3">
        <f t="shared" ca="1" si="296"/>
        <v>263.89575261257448</v>
      </c>
      <c r="Z893" s="3">
        <f t="shared" ca="1" si="296"/>
        <v>269.17366766482598</v>
      </c>
      <c r="AA893" s="3">
        <f t="shared" ca="1" si="296"/>
        <v>274.55714101812248</v>
      </c>
      <c r="AB893" s="3">
        <f t="shared" ca="1" si="296"/>
        <v>0</v>
      </c>
      <c r="AC893" s="3">
        <f t="shared" ca="1" si="296"/>
        <v>0</v>
      </c>
      <c r="AD893" s="3">
        <f t="shared" ca="1" si="296"/>
        <v>233.08978760444779</v>
      </c>
      <c r="AE893" s="3">
        <f t="shared" ca="1" si="296"/>
        <v>237.75158335653677</v>
      </c>
      <c r="AF893" s="3">
        <f t="shared" ca="1" si="296"/>
        <v>0</v>
      </c>
      <c r="AG893" s="3">
        <f t="shared" ca="1" si="296"/>
        <v>0</v>
      </c>
      <c r="AH893" s="3">
        <f t="shared" ca="1" si="296"/>
        <v>0</v>
      </c>
      <c r="AI893" s="3">
        <f t="shared" ca="1" si="296"/>
        <v>0</v>
      </c>
      <c r="AJ893" s="3">
        <f t="shared" ca="1" si="296"/>
        <v>0</v>
      </c>
      <c r="AK893" s="3">
        <f t="shared" ca="1" si="296"/>
        <v>0</v>
      </c>
      <c r="AL893" s="3">
        <f t="shared" ca="1" si="296"/>
        <v>0</v>
      </c>
      <c r="AM893" s="3">
        <f t="shared" ca="1" si="296"/>
        <v>0</v>
      </c>
      <c r="AN893" s="3">
        <f t="shared" ca="1" si="296"/>
        <v>0</v>
      </c>
      <c r="AO893" s="3">
        <f t="shared" ca="1" si="296"/>
        <v>0</v>
      </c>
      <c r="AP893" s="3">
        <f t="shared" ca="1" si="296"/>
        <v>0</v>
      </c>
      <c r="AQ893" s="3">
        <f t="shared" ca="1" si="296"/>
        <v>0</v>
      </c>
      <c r="AR893" s="3">
        <f t="shared" ca="1" si="296"/>
        <v>0</v>
      </c>
      <c r="AS893" s="3">
        <f t="shared" ca="1" si="296"/>
        <v>0</v>
      </c>
      <c r="AT893" s="3">
        <f t="shared" ca="1" si="296"/>
        <v>0</v>
      </c>
      <c r="AU893" s="3">
        <f t="shared" ca="1" si="296"/>
        <v>0</v>
      </c>
      <c r="AV893" s="3">
        <f t="shared" ca="1" si="296"/>
        <v>0</v>
      </c>
      <c r="AW893" s="3">
        <f t="shared" ca="1" si="296"/>
        <v>0</v>
      </c>
      <c r="AX893" s="3">
        <f t="shared" ca="1" si="296"/>
        <v>0</v>
      </c>
    </row>
    <row r="894" spans="1:50" ht="15" customHeight="1" x14ac:dyDescent="0.25">
      <c r="A894" s="86"/>
      <c r="E894" s="3" t="str">
        <f xml:space="preserve"> E$744</f>
        <v>Replacement capital costs, after ELT: IOC</v>
      </c>
      <c r="F894" s="44">
        <f t="shared" ref="F894:AX894" si="297" xml:space="preserve"> F$744</f>
        <v>0</v>
      </c>
      <c r="G894" s="3" t="str">
        <f t="shared" si="297"/>
        <v>US$ mn</v>
      </c>
      <c r="H894" s="3">
        <f t="shared" si="297"/>
        <v>0</v>
      </c>
      <c r="I894" s="3">
        <f t="shared" ca="1" si="297"/>
        <v>0</v>
      </c>
      <c r="J894" s="3">
        <f t="shared" si="297"/>
        <v>0</v>
      </c>
      <c r="K894" s="3">
        <f t="shared" ca="1" si="297"/>
        <v>0</v>
      </c>
      <c r="L894" s="3">
        <f t="shared" ca="1" si="297"/>
        <v>0</v>
      </c>
      <c r="M894" s="3">
        <f t="shared" ca="1" si="297"/>
        <v>0</v>
      </c>
      <c r="N894" s="3">
        <f t="shared" ca="1" si="297"/>
        <v>0</v>
      </c>
      <c r="O894" s="3">
        <f t="shared" ca="1" si="297"/>
        <v>0</v>
      </c>
      <c r="P894" s="3">
        <f t="shared" ca="1" si="297"/>
        <v>0</v>
      </c>
      <c r="Q894" s="3">
        <f t="shared" ca="1" si="297"/>
        <v>0</v>
      </c>
      <c r="R894" s="3">
        <f t="shared" ca="1" si="297"/>
        <v>0</v>
      </c>
      <c r="S894" s="3">
        <f t="shared" ca="1" si="297"/>
        <v>0</v>
      </c>
      <c r="T894" s="3">
        <f t="shared" ca="1" si="297"/>
        <v>0</v>
      </c>
      <c r="U894" s="3">
        <f t="shared" ca="1" si="297"/>
        <v>0</v>
      </c>
      <c r="V894" s="3">
        <f t="shared" ca="1" si="297"/>
        <v>0</v>
      </c>
      <c r="W894" s="3">
        <f t="shared" ca="1" si="297"/>
        <v>0</v>
      </c>
      <c r="X894" s="3">
        <f t="shared" ca="1" si="297"/>
        <v>0</v>
      </c>
      <c r="Y894" s="3">
        <f t="shared" ca="1" si="297"/>
        <v>0</v>
      </c>
      <c r="Z894" s="3">
        <f t="shared" ca="1" si="297"/>
        <v>0</v>
      </c>
      <c r="AA894" s="3">
        <f t="shared" ca="1" si="297"/>
        <v>0</v>
      </c>
      <c r="AB894" s="3">
        <f t="shared" ca="1" si="297"/>
        <v>0</v>
      </c>
      <c r="AC894" s="3">
        <f t="shared" ca="1" si="297"/>
        <v>0</v>
      </c>
      <c r="AD894" s="3">
        <f t="shared" ca="1" si="297"/>
        <v>0</v>
      </c>
      <c r="AE894" s="3">
        <f t="shared" ca="1" si="297"/>
        <v>0</v>
      </c>
      <c r="AF894" s="3">
        <f t="shared" ca="1" si="297"/>
        <v>0</v>
      </c>
      <c r="AG894" s="3">
        <f t="shared" ca="1" si="297"/>
        <v>0</v>
      </c>
      <c r="AH894" s="3">
        <f t="shared" ca="1" si="297"/>
        <v>0</v>
      </c>
      <c r="AI894" s="3">
        <f t="shared" ca="1" si="297"/>
        <v>0</v>
      </c>
      <c r="AJ894" s="3">
        <f t="shared" ca="1" si="297"/>
        <v>0</v>
      </c>
      <c r="AK894" s="3">
        <f t="shared" ca="1" si="297"/>
        <v>0</v>
      </c>
      <c r="AL894" s="3">
        <f t="shared" ca="1" si="297"/>
        <v>0</v>
      </c>
      <c r="AM894" s="3">
        <f t="shared" ca="1" si="297"/>
        <v>0</v>
      </c>
      <c r="AN894" s="3">
        <f t="shared" ca="1" si="297"/>
        <v>0</v>
      </c>
      <c r="AO894" s="3">
        <f t="shared" ca="1" si="297"/>
        <v>0</v>
      </c>
      <c r="AP894" s="3">
        <f t="shared" ca="1" si="297"/>
        <v>0</v>
      </c>
      <c r="AQ894" s="3">
        <f t="shared" ca="1" si="297"/>
        <v>0</v>
      </c>
      <c r="AR894" s="3">
        <f t="shared" ca="1" si="297"/>
        <v>0</v>
      </c>
      <c r="AS894" s="3">
        <f t="shared" ca="1" si="297"/>
        <v>0</v>
      </c>
      <c r="AT894" s="3">
        <f t="shared" ca="1" si="297"/>
        <v>0</v>
      </c>
      <c r="AU894" s="3">
        <f t="shared" ca="1" si="297"/>
        <v>0</v>
      </c>
      <c r="AV894" s="3">
        <f t="shared" ca="1" si="297"/>
        <v>0</v>
      </c>
      <c r="AW894" s="3">
        <f t="shared" ca="1" si="297"/>
        <v>0</v>
      </c>
      <c r="AX894" s="3">
        <f t="shared" ca="1" si="297"/>
        <v>0</v>
      </c>
    </row>
    <row r="895" spans="1:50" ht="15" customHeight="1" x14ac:dyDescent="0.25">
      <c r="A895" s="86"/>
      <c r="E895" s="3" t="str">
        <f xml:space="preserve"> E$745</f>
        <v>Operating costs, after ELT: IOC</v>
      </c>
      <c r="F895" s="44">
        <f t="shared" ref="F895:AX895" si="298" xml:space="preserve"> F$745</f>
        <v>0</v>
      </c>
      <c r="G895" s="3" t="str">
        <f t="shared" si="298"/>
        <v>US$ mn</v>
      </c>
      <c r="H895" s="3">
        <f t="shared" si="298"/>
        <v>0</v>
      </c>
      <c r="I895" s="3">
        <f t="shared" ca="1" si="298"/>
        <v>4927.2900747120902</v>
      </c>
      <c r="J895" s="3">
        <f t="shared" si="298"/>
        <v>0</v>
      </c>
      <c r="K895" s="3">
        <f t="shared" ca="1" si="298"/>
        <v>0</v>
      </c>
      <c r="L895" s="3">
        <f t="shared" ca="1" si="298"/>
        <v>0</v>
      </c>
      <c r="M895" s="3">
        <f t="shared" ca="1" si="298"/>
        <v>0</v>
      </c>
      <c r="N895" s="3">
        <f t="shared" ca="1" si="298"/>
        <v>0</v>
      </c>
      <c r="O895" s="3">
        <f t="shared" ca="1" si="298"/>
        <v>43.297286400000004</v>
      </c>
      <c r="P895" s="3">
        <f t="shared" ca="1" si="298"/>
        <v>158.98763566079998</v>
      </c>
      <c r="Q895" s="3">
        <f t="shared" ca="1" si="298"/>
        <v>234.24178320691203</v>
      </c>
      <c r="R895" s="3">
        <f t="shared" ca="1" si="298"/>
        <v>238.92661887105024</v>
      </c>
      <c r="S895" s="3">
        <f t="shared" ca="1" si="298"/>
        <v>243.70515124847128</v>
      </c>
      <c r="T895" s="3">
        <f t="shared" ca="1" si="298"/>
        <v>248.57925427344071</v>
      </c>
      <c r="U895" s="3">
        <f t="shared" ca="1" si="298"/>
        <v>253.55083935890951</v>
      </c>
      <c r="V895" s="3">
        <f t="shared" ca="1" si="298"/>
        <v>258.62185614608768</v>
      </c>
      <c r="W895" s="3">
        <f t="shared" ca="1" si="298"/>
        <v>263.79429326900947</v>
      </c>
      <c r="X895" s="3">
        <f t="shared" ca="1" si="298"/>
        <v>269.0701791343896</v>
      </c>
      <c r="Y895" s="3">
        <f t="shared" ca="1" si="298"/>
        <v>274.45158271707749</v>
      </c>
      <c r="Z895" s="3">
        <f t="shared" ca="1" si="298"/>
        <v>279.94061437141897</v>
      </c>
      <c r="AA895" s="3">
        <f t="shared" ca="1" si="298"/>
        <v>285.53942665884739</v>
      </c>
      <c r="AB895" s="3">
        <f t="shared" ca="1" si="298"/>
        <v>291.25021519202437</v>
      </c>
      <c r="AC895" s="3">
        <f t="shared" ca="1" si="298"/>
        <v>171.38954970915282</v>
      </c>
      <c r="AD895" s="3">
        <f t="shared" ca="1" si="298"/>
        <v>163.16285132311344</v>
      </c>
      <c r="AE895" s="3">
        <f t="shared" ca="1" si="298"/>
        <v>142.65095001392208</v>
      </c>
      <c r="AF895" s="3">
        <f t="shared" ca="1" si="298"/>
        <v>134.59117133813547</v>
      </c>
      <c r="AG895" s="3">
        <f t="shared" ca="1" si="298"/>
        <v>123.67837366207046</v>
      </c>
      <c r="AH895" s="3">
        <f t="shared" ca="1" si="298"/>
        <v>119.84434407854626</v>
      </c>
      <c r="AI895" s="3">
        <f t="shared" ca="1" si="298"/>
        <v>115.80748196221627</v>
      </c>
      <c r="AJ895" s="3">
        <f t="shared" ca="1" si="298"/>
        <v>111.56120762360169</v>
      </c>
      <c r="AK895" s="3">
        <f t="shared" ca="1" si="298"/>
        <v>107.09875931865761</v>
      </c>
      <c r="AL895" s="3">
        <f t="shared" ca="1" si="298"/>
        <v>102.41318859846635</v>
      </c>
      <c r="AM895" s="3">
        <f t="shared" ca="1" si="298"/>
        <v>97.497355545739964</v>
      </c>
      <c r="AN895" s="3">
        <f t="shared" ca="1" si="298"/>
        <v>99.44730265665477</v>
      </c>
      <c r="AO895" s="3">
        <f t="shared" ca="1" si="298"/>
        <v>94.190802373374453</v>
      </c>
      <c r="AP895" s="3">
        <f t="shared" ca="1" si="298"/>
        <v>0</v>
      </c>
      <c r="AQ895" s="3">
        <f t="shared" ca="1" si="298"/>
        <v>0</v>
      </c>
      <c r="AR895" s="3">
        <f t="shared" ca="1" si="298"/>
        <v>0</v>
      </c>
      <c r="AS895" s="3">
        <f t="shared" ca="1" si="298"/>
        <v>0</v>
      </c>
      <c r="AT895" s="3">
        <f t="shared" ca="1" si="298"/>
        <v>0</v>
      </c>
      <c r="AU895" s="3">
        <f t="shared" ca="1" si="298"/>
        <v>0</v>
      </c>
      <c r="AV895" s="3">
        <f t="shared" ca="1" si="298"/>
        <v>0</v>
      </c>
      <c r="AW895" s="3">
        <f t="shared" ca="1" si="298"/>
        <v>0</v>
      </c>
      <c r="AX895" s="3">
        <f t="shared" ca="1" si="298"/>
        <v>0</v>
      </c>
    </row>
    <row r="896" spans="1:50" ht="15" customHeight="1" x14ac:dyDescent="0.25">
      <c r="A896" s="86"/>
      <c r="E896" s="3" t="str">
        <f xml:space="preserve"> E$746</f>
        <v>Net decommissioning cashflows including fund: IOC</v>
      </c>
      <c r="F896" s="44">
        <f t="shared" ref="F896:AX896" si="299" xml:space="preserve"> F$746</f>
        <v>0</v>
      </c>
      <c r="G896" s="3" t="str">
        <f t="shared" si="299"/>
        <v>US$ mn</v>
      </c>
      <c r="H896" s="3">
        <f t="shared" si="299"/>
        <v>0</v>
      </c>
      <c r="I896" s="3">
        <f t="shared" ca="1" si="299"/>
        <v>913.95598448508929</v>
      </c>
      <c r="J896" s="3">
        <f t="shared" si="299"/>
        <v>0</v>
      </c>
      <c r="K896" s="3">
        <f t="shared" ca="1" si="299"/>
        <v>0</v>
      </c>
      <c r="L896" s="3">
        <f t="shared" ca="1" si="299"/>
        <v>0</v>
      </c>
      <c r="M896" s="3">
        <f t="shared" ca="1" si="299"/>
        <v>0</v>
      </c>
      <c r="N896" s="3">
        <f t="shared" ca="1" si="299"/>
        <v>0</v>
      </c>
      <c r="O896" s="3">
        <f t="shared" ca="1" si="299"/>
        <v>0</v>
      </c>
      <c r="P896" s="3">
        <f t="shared" ca="1" si="299"/>
        <v>0</v>
      </c>
      <c r="Q896" s="3">
        <f t="shared" ca="1" si="299"/>
        <v>0</v>
      </c>
      <c r="R896" s="3">
        <f t="shared" ca="1" si="299"/>
        <v>0</v>
      </c>
      <c r="S896" s="3">
        <f t="shared" ca="1" si="299"/>
        <v>0</v>
      </c>
      <c r="T896" s="3">
        <f t="shared" ca="1" si="299"/>
        <v>0</v>
      </c>
      <c r="U896" s="3">
        <f t="shared" ca="1" si="299"/>
        <v>0</v>
      </c>
      <c r="V896" s="3">
        <f t="shared" ca="1" si="299"/>
        <v>0</v>
      </c>
      <c r="W896" s="3">
        <f t="shared" ca="1" si="299"/>
        <v>50.994778372308772</v>
      </c>
      <c r="X896" s="3">
        <f t="shared" ca="1" si="299"/>
        <v>50.994778372308772</v>
      </c>
      <c r="Y896" s="3">
        <f t="shared" ca="1" si="299"/>
        <v>50.994778372308772</v>
      </c>
      <c r="Z896" s="3">
        <f t="shared" ca="1" si="299"/>
        <v>50.994778372308772</v>
      </c>
      <c r="AA896" s="3">
        <f t="shared" ca="1" si="299"/>
        <v>50.994778372308772</v>
      </c>
      <c r="AB896" s="3">
        <f t="shared" ca="1" si="299"/>
        <v>50.994778372308772</v>
      </c>
      <c r="AC896" s="3">
        <f t="shared" ca="1" si="299"/>
        <v>50.994778372308772</v>
      </c>
      <c r="AD896" s="3">
        <f t="shared" ca="1" si="299"/>
        <v>50.994778372308772</v>
      </c>
      <c r="AE896" s="3">
        <f t="shared" ca="1" si="299"/>
        <v>50.994778372308772</v>
      </c>
      <c r="AF896" s="3">
        <f t="shared" ca="1" si="299"/>
        <v>50.994778372308772</v>
      </c>
      <c r="AG896" s="3">
        <f t="shared" ca="1" si="299"/>
        <v>50.994778372308772</v>
      </c>
      <c r="AH896" s="3">
        <f t="shared" ca="1" si="299"/>
        <v>50.994778372308772</v>
      </c>
      <c r="AI896" s="3">
        <f t="shared" ca="1" si="299"/>
        <v>50.994778372308772</v>
      </c>
      <c r="AJ896" s="3">
        <f t="shared" ca="1" si="299"/>
        <v>50.994778372308772</v>
      </c>
      <c r="AK896" s="3">
        <f t="shared" ca="1" si="299"/>
        <v>50.994778372308772</v>
      </c>
      <c r="AL896" s="3">
        <f t="shared" ca="1" si="299"/>
        <v>50.994778372308744</v>
      </c>
      <c r="AM896" s="3">
        <f t="shared" ca="1" si="299"/>
        <v>32.679843509382998</v>
      </c>
      <c r="AN896" s="3">
        <f t="shared" ca="1" si="299"/>
        <v>32.679843509382998</v>
      </c>
      <c r="AO896" s="3">
        <f t="shared" ca="1" si="299"/>
        <v>32.679843509382998</v>
      </c>
      <c r="AP896" s="3">
        <f t="shared" ca="1" si="299"/>
        <v>0</v>
      </c>
      <c r="AQ896" s="3">
        <f t="shared" ca="1" si="299"/>
        <v>0</v>
      </c>
      <c r="AR896" s="3">
        <f t="shared" ca="1" si="299"/>
        <v>0</v>
      </c>
      <c r="AS896" s="3">
        <f t="shared" ca="1" si="299"/>
        <v>0</v>
      </c>
      <c r="AT896" s="3">
        <f t="shared" ca="1" si="299"/>
        <v>0</v>
      </c>
      <c r="AU896" s="3">
        <f t="shared" ca="1" si="299"/>
        <v>0</v>
      </c>
      <c r="AV896" s="3">
        <f t="shared" ca="1" si="299"/>
        <v>0</v>
      </c>
      <c r="AW896" s="3">
        <f t="shared" ca="1" si="299"/>
        <v>0</v>
      </c>
      <c r="AX896" s="3">
        <f t="shared" ca="1" si="299"/>
        <v>0</v>
      </c>
    </row>
    <row r="897" spans="1:50" ht="15" customHeight="1" x14ac:dyDescent="0.25">
      <c r="A897" s="86"/>
      <c r="E897" s="3" t="str">
        <f t="shared" ref="E897:AX897" si="300" xml:space="preserve"> E$772</f>
        <v>Bonuses: IOC deductible</v>
      </c>
      <c r="F897" s="44">
        <f t="shared" si="300"/>
        <v>0</v>
      </c>
      <c r="G897" s="3" t="str">
        <f t="shared" si="300"/>
        <v>US$ mn</v>
      </c>
      <c r="H897" s="3" t="str">
        <f t="shared" si="300"/>
        <v>assumed via depreciation</v>
      </c>
      <c r="I897" s="3">
        <f t="shared" ca="1" si="300"/>
        <v>0</v>
      </c>
      <c r="J897" s="3">
        <f t="shared" si="300"/>
        <v>0</v>
      </c>
      <c r="K897" s="3">
        <f t="shared" ca="1" si="300"/>
        <v>0</v>
      </c>
      <c r="L897" s="3">
        <f t="shared" ca="1" si="300"/>
        <v>0</v>
      </c>
      <c r="M897" s="3">
        <f t="shared" ca="1" si="300"/>
        <v>0</v>
      </c>
      <c r="N897" s="3">
        <f t="shared" ca="1" si="300"/>
        <v>0</v>
      </c>
      <c r="O897" s="3">
        <f t="shared" ca="1" si="300"/>
        <v>0</v>
      </c>
      <c r="P897" s="3">
        <f t="shared" ca="1" si="300"/>
        <v>0</v>
      </c>
      <c r="Q897" s="3">
        <f t="shared" ca="1" si="300"/>
        <v>0</v>
      </c>
      <c r="R897" s="3">
        <f t="shared" ca="1" si="300"/>
        <v>0</v>
      </c>
      <c r="S897" s="3">
        <f t="shared" ca="1" si="300"/>
        <v>0</v>
      </c>
      <c r="T897" s="3">
        <f t="shared" ca="1" si="300"/>
        <v>0</v>
      </c>
      <c r="U897" s="3">
        <f t="shared" ca="1" si="300"/>
        <v>0</v>
      </c>
      <c r="V897" s="3">
        <f t="shared" ca="1" si="300"/>
        <v>0</v>
      </c>
      <c r="W897" s="3">
        <f t="shared" ca="1" si="300"/>
        <v>0</v>
      </c>
      <c r="X897" s="3">
        <f t="shared" ca="1" si="300"/>
        <v>0</v>
      </c>
      <c r="Y897" s="3">
        <f t="shared" ca="1" si="300"/>
        <v>0</v>
      </c>
      <c r="Z897" s="3">
        <f t="shared" ca="1" si="300"/>
        <v>0</v>
      </c>
      <c r="AA897" s="3">
        <f t="shared" ca="1" si="300"/>
        <v>0</v>
      </c>
      <c r="AB897" s="3">
        <f t="shared" ca="1" si="300"/>
        <v>0</v>
      </c>
      <c r="AC897" s="3">
        <f t="shared" ca="1" si="300"/>
        <v>0</v>
      </c>
      <c r="AD897" s="3">
        <f t="shared" ca="1" si="300"/>
        <v>0</v>
      </c>
      <c r="AE897" s="3">
        <f t="shared" ca="1" si="300"/>
        <v>0</v>
      </c>
      <c r="AF897" s="3">
        <f t="shared" ca="1" si="300"/>
        <v>0</v>
      </c>
      <c r="AG897" s="3">
        <f t="shared" ca="1" si="300"/>
        <v>0</v>
      </c>
      <c r="AH897" s="3">
        <f t="shared" ca="1" si="300"/>
        <v>0</v>
      </c>
      <c r="AI897" s="3">
        <f t="shared" ca="1" si="300"/>
        <v>0</v>
      </c>
      <c r="AJ897" s="3">
        <f t="shared" ca="1" si="300"/>
        <v>0</v>
      </c>
      <c r="AK897" s="3">
        <f t="shared" ca="1" si="300"/>
        <v>0</v>
      </c>
      <c r="AL897" s="3">
        <f t="shared" ca="1" si="300"/>
        <v>0</v>
      </c>
      <c r="AM897" s="3">
        <f t="shared" ca="1" si="300"/>
        <v>0</v>
      </c>
      <c r="AN897" s="3">
        <f t="shared" ca="1" si="300"/>
        <v>0</v>
      </c>
      <c r="AO897" s="3">
        <f t="shared" ca="1" si="300"/>
        <v>0</v>
      </c>
      <c r="AP897" s="3">
        <f t="shared" ca="1" si="300"/>
        <v>0</v>
      </c>
      <c r="AQ897" s="3">
        <f t="shared" ca="1" si="300"/>
        <v>0</v>
      </c>
      <c r="AR897" s="3">
        <f t="shared" ca="1" si="300"/>
        <v>0</v>
      </c>
      <c r="AS897" s="3">
        <f t="shared" ca="1" si="300"/>
        <v>0</v>
      </c>
      <c r="AT897" s="3">
        <f t="shared" ca="1" si="300"/>
        <v>0</v>
      </c>
      <c r="AU897" s="3">
        <f t="shared" ca="1" si="300"/>
        <v>0</v>
      </c>
      <c r="AV897" s="3">
        <f t="shared" ca="1" si="300"/>
        <v>0</v>
      </c>
      <c r="AW897" s="3">
        <f t="shared" ca="1" si="300"/>
        <v>0</v>
      </c>
      <c r="AX897" s="3">
        <f t="shared" ca="1" si="300"/>
        <v>0</v>
      </c>
    </row>
    <row r="898" spans="1:50" ht="15" customHeight="1" x14ac:dyDescent="0.25">
      <c r="A898" s="86"/>
      <c r="E898" s="3" t="str">
        <f>E$864</f>
        <v>Carbon tax: IOC deductible</v>
      </c>
      <c r="F898" s="44">
        <f>F$864</f>
        <v>0</v>
      </c>
      <c r="G898" s="3" t="str">
        <f t="shared" ref="G898:AX898" si="301">G$864</f>
        <v>US$ mn</v>
      </c>
      <c r="H898" s="3">
        <f t="shared" si="301"/>
        <v>0</v>
      </c>
      <c r="I898" s="3">
        <f t="shared" ca="1" si="301"/>
        <v>808.75002537955561</v>
      </c>
      <c r="J898" s="3">
        <f t="shared" si="301"/>
        <v>0</v>
      </c>
      <c r="K898" s="3">
        <f t="shared" ca="1" si="301"/>
        <v>0</v>
      </c>
      <c r="L898" s="3">
        <f t="shared" ca="1" si="301"/>
        <v>0</v>
      </c>
      <c r="M898" s="3">
        <f t="shared" ca="1" si="301"/>
        <v>0</v>
      </c>
      <c r="N898" s="3">
        <f t="shared" ca="1" si="301"/>
        <v>0</v>
      </c>
      <c r="O898" s="3">
        <f t="shared" ca="1" si="301"/>
        <v>3.5145821862532287</v>
      </c>
      <c r="P898" s="3">
        <f t="shared" ca="1" si="301"/>
        <v>27.609768000000003</v>
      </c>
      <c r="Q898" s="3">
        <f t="shared" ca="1" si="301"/>
        <v>55.219536000000005</v>
      </c>
      <c r="R898" s="3">
        <f t="shared" ca="1" si="301"/>
        <v>55.219536000000005</v>
      </c>
      <c r="S898" s="3">
        <f t="shared" ca="1" si="301"/>
        <v>55.219536000000005</v>
      </c>
      <c r="T898" s="3">
        <f t="shared" ca="1" si="301"/>
        <v>55.219536000000005</v>
      </c>
      <c r="U898" s="3">
        <f t="shared" ca="1" si="301"/>
        <v>55.219536000000005</v>
      </c>
      <c r="V898" s="3">
        <f t="shared" ca="1" si="301"/>
        <v>55.219536000000005</v>
      </c>
      <c r="W898" s="3">
        <f t="shared" ca="1" si="301"/>
        <v>55.219536000000005</v>
      </c>
      <c r="X898" s="3">
        <f t="shared" ca="1" si="301"/>
        <v>55.219536000000005</v>
      </c>
      <c r="Y898" s="3">
        <f t="shared" ca="1" si="301"/>
        <v>55.219536000000005</v>
      </c>
      <c r="Z898" s="3">
        <f t="shared" ca="1" si="301"/>
        <v>55.219536000000005</v>
      </c>
      <c r="AA898" s="3">
        <f t="shared" ca="1" si="301"/>
        <v>44.727824160000011</v>
      </c>
      <c r="AB898" s="3">
        <f t="shared" ca="1" si="301"/>
        <v>36.229537569600005</v>
      </c>
      <c r="AC898" s="3">
        <f t="shared" ca="1" si="301"/>
        <v>29.34592543137601</v>
      </c>
      <c r="AD898" s="3">
        <f t="shared" ca="1" si="301"/>
        <v>23.770199599414575</v>
      </c>
      <c r="AE898" s="3">
        <f t="shared" ca="1" si="301"/>
        <v>19.253861675525808</v>
      </c>
      <c r="AF898" s="3">
        <f t="shared" ca="1" si="301"/>
        <v>15.595627957175903</v>
      </c>
      <c r="AG898" s="3">
        <f t="shared" ca="1" si="301"/>
        <v>12.632458645312484</v>
      </c>
      <c r="AH898" s="3">
        <f t="shared" ca="1" si="301"/>
        <v>10.232291502703113</v>
      </c>
      <c r="AI898" s="3">
        <f t="shared" ca="1" si="301"/>
        <v>8.2881561171895211</v>
      </c>
      <c r="AJ898" s="3">
        <f t="shared" ca="1" si="301"/>
        <v>6.7134064549235122</v>
      </c>
      <c r="AK898" s="3">
        <f t="shared" ca="1" si="301"/>
        <v>5.4378592284880458</v>
      </c>
      <c r="AL898" s="3">
        <f t="shared" ca="1" si="301"/>
        <v>4.4046659750753161</v>
      </c>
      <c r="AM898" s="3">
        <f t="shared" ca="1" si="301"/>
        <v>3.5677794398110061</v>
      </c>
      <c r="AN898" s="3">
        <f t="shared" ca="1" si="301"/>
        <v>2.8899013462469147</v>
      </c>
      <c r="AO898" s="3">
        <f t="shared" ca="1" si="301"/>
        <v>2.3408200904600021</v>
      </c>
      <c r="AP898" s="3">
        <f t="shared" ca="1" si="301"/>
        <v>0</v>
      </c>
      <c r="AQ898" s="3">
        <f t="shared" ca="1" si="301"/>
        <v>0</v>
      </c>
      <c r="AR898" s="3">
        <f t="shared" ca="1" si="301"/>
        <v>0</v>
      </c>
      <c r="AS898" s="3">
        <f t="shared" ca="1" si="301"/>
        <v>0</v>
      </c>
      <c r="AT898" s="3">
        <f t="shared" ca="1" si="301"/>
        <v>0</v>
      </c>
      <c r="AU898" s="3">
        <f t="shared" ca="1" si="301"/>
        <v>0</v>
      </c>
      <c r="AV898" s="3">
        <f t="shared" ca="1" si="301"/>
        <v>0</v>
      </c>
      <c r="AW898" s="3">
        <f t="shared" ca="1" si="301"/>
        <v>0</v>
      </c>
      <c r="AX898" s="3">
        <f t="shared" ca="1" si="301"/>
        <v>0</v>
      </c>
    </row>
    <row r="899" spans="1:50" ht="15" customHeight="1" x14ac:dyDescent="0.25">
      <c r="A899" s="86"/>
      <c r="E899" s="507" t="str">
        <f>E$939</f>
        <v>Resource rent tax: IOC deductible for CIT prior period</v>
      </c>
      <c r="F899" s="587">
        <f t="shared" ref="F899:AX899" si="302">F$939</f>
        <v>0</v>
      </c>
      <c r="G899" s="507" t="str">
        <f t="shared" si="302"/>
        <v>US$ mn</v>
      </c>
      <c r="H899" s="507" t="str">
        <f t="shared" si="302"/>
        <v>prior period to avoid circular calculations</v>
      </c>
      <c r="I899" s="507">
        <f t="shared" ca="1" si="302"/>
        <v>0</v>
      </c>
      <c r="J899" s="507">
        <f t="shared" si="302"/>
        <v>0</v>
      </c>
      <c r="K899" s="507">
        <f t="shared" si="302"/>
        <v>0</v>
      </c>
      <c r="L899" s="507">
        <f t="shared" ca="1" si="302"/>
        <v>0</v>
      </c>
      <c r="M899" s="507">
        <f t="shared" ca="1" si="302"/>
        <v>0</v>
      </c>
      <c r="N899" s="507">
        <f t="shared" ca="1" si="302"/>
        <v>0</v>
      </c>
      <c r="O899" s="507">
        <f t="shared" ca="1" si="302"/>
        <v>0</v>
      </c>
      <c r="P899" s="507">
        <f t="shared" ca="1" si="302"/>
        <v>0</v>
      </c>
      <c r="Q899" s="507">
        <f t="shared" ca="1" si="302"/>
        <v>0</v>
      </c>
      <c r="R899" s="507">
        <f t="shared" ca="1" si="302"/>
        <v>0</v>
      </c>
      <c r="S899" s="507">
        <f t="shared" ca="1" si="302"/>
        <v>0</v>
      </c>
      <c r="T899" s="507">
        <f t="shared" ca="1" si="302"/>
        <v>0</v>
      </c>
      <c r="U899" s="507">
        <f t="shared" ca="1" si="302"/>
        <v>0</v>
      </c>
      <c r="V899" s="507">
        <f t="shared" ca="1" si="302"/>
        <v>0</v>
      </c>
      <c r="W899" s="507">
        <f t="shared" ca="1" si="302"/>
        <v>0</v>
      </c>
      <c r="X899" s="507">
        <f t="shared" ca="1" si="302"/>
        <v>0</v>
      </c>
      <c r="Y899" s="507">
        <f t="shared" ca="1" si="302"/>
        <v>0</v>
      </c>
      <c r="Z899" s="507">
        <f t="shared" ca="1" si="302"/>
        <v>0</v>
      </c>
      <c r="AA899" s="507">
        <f t="shared" ca="1" si="302"/>
        <v>0</v>
      </c>
      <c r="AB899" s="507">
        <f t="shared" ca="1" si="302"/>
        <v>0</v>
      </c>
      <c r="AC899" s="507">
        <f t="shared" ca="1" si="302"/>
        <v>0</v>
      </c>
      <c r="AD899" s="507">
        <f t="shared" ca="1" si="302"/>
        <v>0</v>
      </c>
      <c r="AE899" s="507">
        <f t="shared" ca="1" si="302"/>
        <v>0</v>
      </c>
      <c r="AF899" s="507">
        <f t="shared" ca="1" si="302"/>
        <v>0</v>
      </c>
      <c r="AG899" s="507">
        <f t="shared" ca="1" si="302"/>
        <v>0</v>
      </c>
      <c r="AH899" s="507">
        <f t="shared" ca="1" si="302"/>
        <v>0</v>
      </c>
      <c r="AI899" s="507">
        <f t="shared" ca="1" si="302"/>
        <v>0</v>
      </c>
      <c r="AJ899" s="507">
        <f t="shared" ca="1" si="302"/>
        <v>0</v>
      </c>
      <c r="AK899" s="507">
        <f t="shared" ca="1" si="302"/>
        <v>0</v>
      </c>
      <c r="AL899" s="507">
        <f t="shared" ca="1" si="302"/>
        <v>0</v>
      </c>
      <c r="AM899" s="507">
        <f t="shared" ca="1" si="302"/>
        <v>0</v>
      </c>
      <c r="AN899" s="507">
        <f t="shared" ca="1" si="302"/>
        <v>0</v>
      </c>
      <c r="AO899" s="507">
        <f t="shared" ca="1" si="302"/>
        <v>0</v>
      </c>
      <c r="AP899" s="507">
        <f t="shared" ca="1" si="302"/>
        <v>0</v>
      </c>
      <c r="AQ899" s="507">
        <f t="shared" ca="1" si="302"/>
        <v>0</v>
      </c>
      <c r="AR899" s="507">
        <f t="shared" ca="1" si="302"/>
        <v>0</v>
      </c>
      <c r="AS899" s="507">
        <f t="shared" ca="1" si="302"/>
        <v>0</v>
      </c>
      <c r="AT899" s="507">
        <f t="shared" ca="1" si="302"/>
        <v>0</v>
      </c>
      <c r="AU899" s="507">
        <f t="shared" ca="1" si="302"/>
        <v>0</v>
      </c>
      <c r="AV899" s="507">
        <f t="shared" ca="1" si="302"/>
        <v>0</v>
      </c>
      <c r="AW899" s="507">
        <f t="shared" ca="1" si="302"/>
        <v>0</v>
      </c>
      <c r="AX899" s="507">
        <f t="shared" ca="1" si="302"/>
        <v>0</v>
      </c>
    </row>
    <row r="900" spans="1:50" s="485" customFormat="1" ht="15" customHeight="1" x14ac:dyDescent="0.25">
      <c r="A900" s="479"/>
      <c r="B900" s="679"/>
      <c r="C900" s="640"/>
      <c r="D900" s="505"/>
      <c r="E900" s="485" t="str">
        <f xml:space="preserve"> Translate!E$352</f>
        <v>Cost deductions for RRT</v>
      </c>
      <c r="F900" s="505"/>
      <c r="G900" s="485" t="str">
        <f xml:space="preserve"> Translate!E$603</f>
        <v>US$ mn</v>
      </c>
      <c r="I900" s="485">
        <f ca="1" xml:space="preserve"> SUM(K900:AX900)</f>
        <v>24581.420872667371</v>
      </c>
      <c r="K900" s="485">
        <f t="shared" ref="K900:AX900" ca="1" si="303">SUM(K891:K899)</f>
        <v>420</v>
      </c>
      <c r="L900" s="485">
        <f t="shared" ca="1" si="303"/>
        <v>40.799999999999997</v>
      </c>
      <c r="M900" s="485">
        <f t="shared" ca="1" si="303"/>
        <v>249.696</v>
      </c>
      <c r="N900" s="485">
        <f t="shared" ca="1" si="303"/>
        <v>1018.7596799999999</v>
      </c>
      <c r="O900" s="485">
        <f t="shared" ca="1" si="303"/>
        <v>1119.1398894838289</v>
      </c>
      <c r="P900" s="485">
        <f t="shared" ca="1" si="303"/>
        <v>2307.4262185276798</v>
      </c>
      <c r="Q900" s="485">
        <f t="shared" ca="1" si="303"/>
        <v>1823.0693017606275</v>
      </c>
      <c r="R900" s="485">
        <f t="shared" ca="1" si="303"/>
        <v>1261.1097498982142</v>
      </c>
      <c r="S900" s="485">
        <f t="shared" ca="1" si="303"/>
        <v>1097.7620532158162</v>
      </c>
      <c r="T900" s="485">
        <f t="shared" ca="1" si="303"/>
        <v>1118.6129035601325</v>
      </c>
      <c r="U900" s="485">
        <f t="shared" ca="1" si="303"/>
        <v>1139.880770911335</v>
      </c>
      <c r="V900" s="485">
        <f t="shared" ca="1" si="303"/>
        <v>1161.5739956095617</v>
      </c>
      <c r="W900" s="485">
        <f t="shared" ca="1" si="303"/>
        <v>1234.6958631740617</v>
      </c>
      <c r="X900" s="485">
        <f t="shared" ca="1" si="303"/>
        <v>1257.2654941500969</v>
      </c>
      <c r="Y900" s="485">
        <f t="shared" ca="1" si="303"/>
        <v>1280.2865177456526</v>
      </c>
      <c r="Z900" s="485">
        <f t="shared" ca="1" si="303"/>
        <v>1303.7679618131197</v>
      </c>
      <c r="AA900" s="485">
        <f t="shared" ca="1" si="303"/>
        <v>1191.5597739065308</v>
      </c>
      <c r="AB900" s="485">
        <f t="shared" ca="1" si="303"/>
        <v>821.10341790860321</v>
      </c>
      <c r="AC900" s="485">
        <f t="shared" ca="1" si="303"/>
        <v>617.43023976607003</v>
      </c>
      <c r="AD900" s="485">
        <f t="shared" ca="1" si="303"/>
        <v>773.15894554170529</v>
      </c>
      <c r="AE900" s="485">
        <f t="shared" ca="1" si="303"/>
        <v>700.28033914266143</v>
      </c>
      <c r="AF900" s="485">
        <f t="shared" ca="1" si="303"/>
        <v>407.42519438909295</v>
      </c>
      <c r="AG900" s="485">
        <f t="shared" ca="1" si="303"/>
        <v>357.70408681497258</v>
      </c>
      <c r="AH900" s="485">
        <f t="shared" ca="1" si="303"/>
        <v>321.85463493652719</v>
      </c>
      <c r="AI900" s="485">
        <f t="shared" ca="1" si="303"/>
        <v>291.40551362784362</v>
      </c>
      <c r="AJ900" s="485">
        <f t="shared" ca="1" si="303"/>
        <v>265.36892573775179</v>
      </c>
      <c r="AK900" s="485">
        <f t="shared" ca="1" si="303"/>
        <v>242.92883132110592</v>
      </c>
      <c r="AL900" s="485">
        <f t="shared" ca="1" si="303"/>
        <v>223.41079324849488</v>
      </c>
      <c r="AM900" s="485">
        <f t="shared" ca="1" si="303"/>
        <v>187.94217853697884</v>
      </c>
      <c r="AN900" s="485">
        <f t="shared" ca="1" si="303"/>
        <v>179.79477418702217</v>
      </c>
      <c r="AO900" s="485">
        <f t="shared" ca="1" si="303"/>
        <v>166.20682375188557</v>
      </c>
      <c r="AP900" s="485">
        <f t="shared" ca="1" si="303"/>
        <v>0</v>
      </c>
      <c r="AQ900" s="485">
        <f t="shared" ca="1" si="303"/>
        <v>0</v>
      </c>
      <c r="AR900" s="485">
        <f t="shared" ca="1" si="303"/>
        <v>0</v>
      </c>
      <c r="AS900" s="485">
        <f t="shared" ca="1" si="303"/>
        <v>0</v>
      </c>
      <c r="AT900" s="485">
        <f t="shared" ca="1" si="303"/>
        <v>0</v>
      </c>
      <c r="AU900" s="485">
        <f t="shared" ca="1" si="303"/>
        <v>0</v>
      </c>
      <c r="AV900" s="485">
        <f t="shared" ca="1" si="303"/>
        <v>0</v>
      </c>
      <c r="AW900" s="485">
        <f t="shared" ca="1" si="303"/>
        <v>0</v>
      </c>
      <c r="AX900" s="485">
        <f t="shared" ca="1" si="303"/>
        <v>0</v>
      </c>
    </row>
    <row r="901" spans="1:50" ht="15" customHeight="1" x14ac:dyDescent="0.25">
      <c r="A901" s="86"/>
    </row>
    <row r="902" spans="1:50" ht="15" customHeight="1" x14ac:dyDescent="0.25">
      <c r="A902" s="86"/>
      <c r="E902" s="3" t="str">
        <f xml:space="preserve"> Translate!E$353</f>
        <v>IOC net cashflow before tax for RRT (via cashflows)</v>
      </c>
      <c r="G902" s="3" t="str">
        <f xml:space="preserve"> Translate!E$603</f>
        <v>US$ mn</v>
      </c>
      <c r="I902" s="3">
        <f ca="1" xml:space="preserve"> SUM(K902:AX902)</f>
        <v>21153.413942062652</v>
      </c>
      <c r="K902" s="3">
        <f t="shared" ref="K902:AX902" ca="1" si="304" xml:space="preserve"> K889 - K900</f>
        <v>-420</v>
      </c>
      <c r="L902" s="3">
        <f t="shared" ca="1" si="304"/>
        <v>-40.799999999999997</v>
      </c>
      <c r="M902" s="3">
        <f t="shared" ca="1" si="304"/>
        <v>-249.696</v>
      </c>
      <c r="N902" s="3">
        <f t="shared" ca="1" si="304"/>
        <v>-1018.7596799999999</v>
      </c>
      <c r="O902" s="3">
        <f t="shared" ca="1" si="304"/>
        <v>-953.17415299595041</v>
      </c>
      <c r="P902" s="3">
        <f t="shared" ca="1" si="304"/>
        <v>-977.56089107327966</v>
      </c>
      <c r="Q902" s="3">
        <f t="shared" ca="1" si="304"/>
        <v>889.85596624634923</v>
      </c>
      <c r="R902" s="3">
        <f t="shared" ca="1" si="304"/>
        <v>1506.0740234689017</v>
      </c>
      <c r="S902" s="3">
        <f t="shared" ca="1" si="304"/>
        <v>1724.7653956186423</v>
      </c>
      <c r="T902" s="3">
        <f t="shared" ca="1" si="304"/>
        <v>1760.3650942510149</v>
      </c>
      <c r="U902" s="3">
        <f t="shared" ca="1" si="304"/>
        <v>1796.6767868560353</v>
      </c>
      <c r="V902" s="3">
        <f t="shared" ca="1" si="304"/>
        <v>1833.7147133131562</v>
      </c>
      <c r="W902" s="3">
        <f t="shared" ca="1" si="304"/>
        <v>1820.4986199271107</v>
      </c>
      <c r="X902" s="3">
        <f t="shared" ca="1" si="304"/>
        <v>1859.0328786130985</v>
      </c>
      <c r="Y902" s="3">
        <f t="shared" ca="1" si="304"/>
        <v>1898.3378224728069</v>
      </c>
      <c r="Z902" s="3">
        <f t="shared" ca="1" si="304"/>
        <v>1938.4288652097093</v>
      </c>
      <c r="AA902" s="3">
        <f t="shared" ca="1" si="304"/>
        <v>1487.1432445797311</v>
      </c>
      <c r="AB902" s="3">
        <f t="shared" ca="1" si="304"/>
        <v>1392.0410159647467</v>
      </c>
      <c r="AC902" s="3">
        <f t="shared" ca="1" si="304"/>
        <v>1211.0696915000917</v>
      </c>
      <c r="AD902" s="3">
        <f t="shared" ca="1" si="304"/>
        <v>737.54769767039795</v>
      </c>
      <c r="AE902" s="3">
        <f t="shared" ca="1" si="304"/>
        <v>547.86548947917822</v>
      </c>
      <c r="AF902" s="3">
        <f t="shared" ca="1" si="304"/>
        <v>623.79288921827128</v>
      </c>
      <c r="AG902" s="3">
        <f t="shared" ca="1" si="304"/>
        <v>494.28829386143184</v>
      </c>
      <c r="AH902" s="3">
        <f t="shared" ca="1" si="304"/>
        <v>382.06146997831809</v>
      </c>
      <c r="AI902" s="3">
        <f t="shared" ca="1" si="304"/>
        <v>290.16997225280164</v>
      </c>
      <c r="AJ902" s="3">
        <f t="shared" ca="1" si="304"/>
        <v>215.12874069683727</v>
      </c>
      <c r="AK902" s="3">
        <f t="shared" ca="1" si="304"/>
        <v>154.05834068715166</v>
      </c>
      <c r="AL902" s="3">
        <f t="shared" ca="1" si="304"/>
        <v>104.58000826472744</v>
      </c>
      <c r="AM902" s="3">
        <f t="shared" ca="1" si="304"/>
        <v>83.043821673245503</v>
      </c>
      <c r="AN902" s="3">
        <f t="shared" ca="1" si="304"/>
        <v>44.093859186665185</v>
      </c>
      <c r="AO902" s="3">
        <f t="shared" ca="1" si="304"/>
        <v>18.769965141454975</v>
      </c>
      <c r="AP902" s="3">
        <f t="shared" ca="1" si="304"/>
        <v>0</v>
      </c>
      <c r="AQ902" s="3">
        <f t="shared" ca="1" si="304"/>
        <v>0</v>
      </c>
      <c r="AR902" s="3">
        <f t="shared" ca="1" si="304"/>
        <v>0</v>
      </c>
      <c r="AS902" s="3">
        <f t="shared" ca="1" si="304"/>
        <v>0</v>
      </c>
      <c r="AT902" s="3">
        <f t="shared" ca="1" si="304"/>
        <v>0</v>
      </c>
      <c r="AU902" s="3">
        <f t="shared" ca="1" si="304"/>
        <v>0</v>
      </c>
      <c r="AV902" s="3">
        <f t="shared" ca="1" si="304"/>
        <v>0</v>
      </c>
      <c r="AW902" s="3">
        <f t="shared" ca="1" si="304"/>
        <v>0</v>
      </c>
      <c r="AX902" s="3">
        <f t="shared" ca="1" si="304"/>
        <v>0</v>
      </c>
    </row>
    <row r="903" spans="1:50" ht="15" customHeight="1" x14ac:dyDescent="0.25">
      <c r="A903" s="86"/>
    </row>
    <row r="904" spans="1:50" ht="15" customHeight="1" x14ac:dyDescent="0.25">
      <c r="A904" s="86"/>
      <c r="B904" s="683" t="str">
        <f>Translate!$E$455</f>
        <v>Alternative basis for determining IOC net cashflows via taxable income</v>
      </c>
    </row>
    <row r="905" spans="1:50" ht="15" customHeight="1" x14ac:dyDescent="0.25">
      <c r="A905" s="86"/>
      <c r="D905" s="44" t="str">
        <f>Translate!E529</f>
        <v>add</v>
      </c>
      <c r="E905" s="3" t="str">
        <f t="shared" ref="E905:AX905" si="305" xml:space="preserve"> E$877</f>
        <v>Taxable income before prior period losses</v>
      </c>
      <c r="F905" s="44">
        <f t="shared" si="305"/>
        <v>0</v>
      </c>
      <c r="G905" s="3" t="str">
        <f t="shared" si="305"/>
        <v>US$ mn</v>
      </c>
      <c r="H905" s="3">
        <f t="shared" si="305"/>
        <v>0</v>
      </c>
      <c r="I905" s="3">
        <f t="shared" ca="1" si="305"/>
        <v>20072.601985548892</v>
      </c>
      <c r="J905" s="3">
        <f t="shared" si="305"/>
        <v>0</v>
      </c>
      <c r="K905" s="3">
        <f t="shared" ca="1" si="305"/>
        <v>-420</v>
      </c>
      <c r="L905" s="3">
        <f t="shared" ca="1" si="305"/>
        <v>7.6500000000000054E-2</v>
      </c>
      <c r="M905" s="3">
        <f t="shared" ca="1" si="305"/>
        <v>0.62500500000000059</v>
      </c>
      <c r="N905" s="3">
        <f t="shared" ca="1" si="305"/>
        <v>3.0346096500000019</v>
      </c>
      <c r="O905" s="3">
        <f t="shared" ca="1" si="305"/>
        <v>-450.83116278582946</v>
      </c>
      <c r="P905" s="3">
        <f t="shared" ca="1" si="305"/>
        <v>-83.352319004491392</v>
      </c>
      <c r="Q905" s="3">
        <f t="shared" ca="1" si="305"/>
        <v>679.44748702576817</v>
      </c>
      <c r="R905" s="3">
        <f t="shared" ca="1" si="305"/>
        <v>646.83469185275817</v>
      </c>
      <c r="S905" s="3">
        <f t="shared" ca="1" si="305"/>
        <v>655.48120257088613</v>
      </c>
      <c r="T905" s="3">
        <f t="shared" ca="1" si="305"/>
        <v>1140.7170805217213</v>
      </c>
      <c r="U905" s="3">
        <f t="shared" ca="1" si="305"/>
        <v>1520.0369944384065</v>
      </c>
      <c r="V905" s="3">
        <f t="shared" ca="1" si="305"/>
        <v>1726.4369899919498</v>
      </c>
      <c r="W905" s="3">
        <f t="shared" ca="1" si="305"/>
        <v>1766.1865680894953</v>
      </c>
      <c r="X905" s="3">
        <f t="shared" ca="1" si="305"/>
        <v>1820.9323819374379</v>
      </c>
      <c r="Y905" s="3">
        <f t="shared" ca="1" si="305"/>
        <v>1876.4527825031046</v>
      </c>
      <c r="Z905" s="3">
        <f t="shared" ca="1" si="305"/>
        <v>1932.7632615208495</v>
      </c>
      <c r="AA905" s="3">
        <f t="shared" ca="1" si="305"/>
        <v>1497.701136338095</v>
      </c>
      <c r="AB905" s="3">
        <f t="shared" ca="1" si="305"/>
        <v>1178.7714384874901</v>
      </c>
      <c r="AC905" s="3">
        <f t="shared" ca="1" si="305"/>
        <v>1049.5443792409869</v>
      </c>
      <c r="AD905" s="3">
        <f t="shared" ca="1" si="305"/>
        <v>815.27336601736636</v>
      </c>
      <c r="AE905" s="3">
        <f t="shared" ca="1" si="305"/>
        <v>636.53737043989338</v>
      </c>
      <c r="AF905" s="3">
        <f t="shared" ca="1" si="305"/>
        <v>529.62461502607403</v>
      </c>
      <c r="AG905" s="3">
        <f t="shared" ca="1" si="305"/>
        <v>400.12001966923475</v>
      </c>
      <c r="AH905" s="3">
        <f t="shared" ca="1" si="305"/>
        <v>287.893195786121</v>
      </c>
      <c r="AI905" s="3">
        <f t="shared" ca="1" si="305"/>
        <v>242.61965558149404</v>
      </c>
      <c r="AJ905" s="3">
        <f t="shared" ca="1" si="305"/>
        <v>215.12874069683704</v>
      </c>
      <c r="AK905" s="3">
        <f t="shared" ca="1" si="305"/>
        <v>154.05834068715143</v>
      </c>
      <c r="AL905" s="3">
        <f t="shared" ca="1" si="305"/>
        <v>104.58000826472721</v>
      </c>
      <c r="AM905" s="3">
        <f t="shared" ca="1" si="305"/>
        <v>83.043821673245304</v>
      </c>
      <c r="AN905" s="3">
        <f t="shared" ca="1" si="305"/>
        <v>44.093859186664986</v>
      </c>
      <c r="AO905" s="3">
        <f t="shared" ca="1" si="305"/>
        <v>18.769965141459153</v>
      </c>
      <c r="AP905" s="3">
        <f t="shared" ca="1" si="305"/>
        <v>0</v>
      </c>
      <c r="AQ905" s="3">
        <f t="shared" ca="1" si="305"/>
        <v>0</v>
      </c>
      <c r="AR905" s="3">
        <f t="shared" ca="1" si="305"/>
        <v>0</v>
      </c>
      <c r="AS905" s="3">
        <f t="shared" ca="1" si="305"/>
        <v>0</v>
      </c>
      <c r="AT905" s="3">
        <f t="shared" ca="1" si="305"/>
        <v>0</v>
      </c>
      <c r="AU905" s="3">
        <f t="shared" ca="1" si="305"/>
        <v>0</v>
      </c>
      <c r="AV905" s="3">
        <f t="shared" ca="1" si="305"/>
        <v>0</v>
      </c>
      <c r="AW905" s="3">
        <f t="shared" ca="1" si="305"/>
        <v>0</v>
      </c>
      <c r="AX905" s="3">
        <f t="shared" ca="1" si="305"/>
        <v>0</v>
      </c>
    </row>
    <row r="906" spans="1:50" s="542" customFormat="1" ht="15" customHeight="1" x14ac:dyDescent="0.25">
      <c r="A906" s="1055"/>
      <c r="B906" s="1056"/>
      <c r="C906" s="1057"/>
      <c r="D906" s="1058" t="s">
        <v>50</v>
      </c>
      <c r="E906" s="542" t="str">
        <f t="shared" ref="E906:AX906" si="306" xml:space="preserve"> E$1074</f>
        <v>Carried interest loan: interest charge</v>
      </c>
      <c r="F906" s="542">
        <f t="shared" si="306"/>
        <v>0</v>
      </c>
      <c r="G906" s="542" t="str">
        <f t="shared" si="306"/>
        <v>US$ mn</v>
      </c>
      <c r="H906" s="542">
        <f t="shared" si="306"/>
        <v>0</v>
      </c>
      <c r="I906" s="542">
        <f t="shared" ca="1" si="306"/>
        <v>23.133769451511213</v>
      </c>
      <c r="J906" s="542">
        <f t="shared" si="306"/>
        <v>0</v>
      </c>
      <c r="K906" s="542">
        <f t="shared" ca="1" si="306"/>
        <v>0</v>
      </c>
      <c r="L906" s="542">
        <f t="shared" ca="1" si="306"/>
        <v>7.6500000000000054E-2</v>
      </c>
      <c r="M906" s="542">
        <f t="shared" ca="1" si="306"/>
        <v>0.62500500000000059</v>
      </c>
      <c r="N906" s="542">
        <f t="shared" ca="1" si="306"/>
        <v>3.0346096500000019</v>
      </c>
      <c r="O906" s="542">
        <f t="shared" ca="1" si="306"/>
        <v>6.5076379167246952</v>
      </c>
      <c r="P906" s="542">
        <f t="shared" ca="1" si="306"/>
        <v>8.2441431967856182</v>
      </c>
      <c r="Q906" s="542">
        <f t="shared" ca="1" si="306"/>
        <v>4.6458736880008962</v>
      </c>
      <c r="R906" s="542">
        <f t="shared" ca="1" si="306"/>
        <v>0</v>
      </c>
      <c r="S906" s="542">
        <f t="shared" ca="1" si="306"/>
        <v>0</v>
      </c>
      <c r="T906" s="542">
        <f t="shared" ca="1" si="306"/>
        <v>0</v>
      </c>
      <c r="U906" s="542">
        <f t="shared" ca="1" si="306"/>
        <v>0</v>
      </c>
      <c r="V906" s="542">
        <f t="shared" ca="1" si="306"/>
        <v>0</v>
      </c>
      <c r="W906" s="542">
        <f t="shared" ca="1" si="306"/>
        <v>0</v>
      </c>
      <c r="X906" s="542">
        <f t="shared" ca="1" si="306"/>
        <v>0</v>
      </c>
      <c r="Y906" s="542">
        <f t="shared" ca="1" si="306"/>
        <v>0</v>
      </c>
      <c r="Z906" s="542">
        <f t="shared" ca="1" si="306"/>
        <v>0</v>
      </c>
      <c r="AA906" s="542">
        <f t="shared" ca="1" si="306"/>
        <v>0</v>
      </c>
      <c r="AB906" s="542">
        <f t="shared" ca="1" si="306"/>
        <v>0</v>
      </c>
      <c r="AC906" s="542">
        <f t="shared" ca="1" si="306"/>
        <v>0</v>
      </c>
      <c r="AD906" s="542">
        <f t="shared" ca="1" si="306"/>
        <v>0</v>
      </c>
      <c r="AE906" s="542">
        <f t="shared" ca="1" si="306"/>
        <v>0</v>
      </c>
      <c r="AF906" s="542">
        <f t="shared" ca="1" si="306"/>
        <v>0</v>
      </c>
      <c r="AG906" s="542">
        <f t="shared" ca="1" si="306"/>
        <v>0</v>
      </c>
      <c r="AH906" s="542">
        <f t="shared" ca="1" si="306"/>
        <v>0</v>
      </c>
      <c r="AI906" s="542">
        <f t="shared" ca="1" si="306"/>
        <v>0</v>
      </c>
      <c r="AJ906" s="542">
        <f t="shared" ca="1" si="306"/>
        <v>0</v>
      </c>
      <c r="AK906" s="542">
        <f t="shared" ca="1" si="306"/>
        <v>0</v>
      </c>
      <c r="AL906" s="542">
        <f t="shared" ca="1" si="306"/>
        <v>0</v>
      </c>
      <c r="AM906" s="542">
        <f t="shared" ca="1" si="306"/>
        <v>0</v>
      </c>
      <c r="AN906" s="542">
        <f t="shared" ca="1" si="306"/>
        <v>0</v>
      </c>
      <c r="AO906" s="542">
        <f t="shared" ca="1" si="306"/>
        <v>0</v>
      </c>
      <c r="AP906" s="542">
        <f t="shared" ca="1" si="306"/>
        <v>0</v>
      </c>
      <c r="AQ906" s="542">
        <f t="shared" ca="1" si="306"/>
        <v>0</v>
      </c>
      <c r="AR906" s="542">
        <f t="shared" ca="1" si="306"/>
        <v>0</v>
      </c>
      <c r="AS906" s="542">
        <f t="shared" ca="1" si="306"/>
        <v>0</v>
      </c>
      <c r="AT906" s="542">
        <f t="shared" ca="1" si="306"/>
        <v>0</v>
      </c>
      <c r="AU906" s="542">
        <f t="shared" ca="1" si="306"/>
        <v>0</v>
      </c>
      <c r="AV906" s="542">
        <f t="shared" ca="1" si="306"/>
        <v>0</v>
      </c>
      <c r="AW906" s="542">
        <f t="shared" ca="1" si="306"/>
        <v>0</v>
      </c>
      <c r="AX906" s="542">
        <f t="shared" ca="1" si="306"/>
        <v>0</v>
      </c>
    </row>
    <row r="907" spans="1:50" ht="15" customHeight="1" x14ac:dyDescent="0.25">
      <c r="A907" s="86"/>
      <c r="D907" s="44" t="str">
        <f>Translate!E529</f>
        <v>add</v>
      </c>
      <c r="E907" s="3" t="str">
        <f t="shared" ref="E907:AX907" si="307" xml:space="preserve"> E$872</f>
        <v>Interest expensed: IOC</v>
      </c>
      <c r="F907" s="44">
        <f t="shared" si="307"/>
        <v>0</v>
      </c>
      <c r="G907" s="3" t="str">
        <f t="shared" si="307"/>
        <v>US$ mn</v>
      </c>
      <c r="H907" s="3">
        <f t="shared" si="307"/>
        <v>0</v>
      </c>
      <c r="I907" s="3">
        <f t="shared" ca="1" si="307"/>
        <v>1068.6524466773587</v>
      </c>
      <c r="J907" s="3">
        <f t="shared" si="307"/>
        <v>0</v>
      </c>
      <c r="K907" s="3">
        <f t="shared" ca="1" si="307"/>
        <v>0</v>
      </c>
      <c r="L907" s="3">
        <f t="shared" ca="1" si="307"/>
        <v>0</v>
      </c>
      <c r="M907" s="3">
        <f t="shared" ca="1" si="307"/>
        <v>0</v>
      </c>
      <c r="N907" s="3">
        <f t="shared" ca="1" si="307"/>
        <v>0</v>
      </c>
      <c r="O907" s="3">
        <f t="shared" ca="1" si="307"/>
        <v>66.562754729023737</v>
      </c>
      <c r="P907" s="3">
        <f t="shared" ca="1" si="307"/>
        <v>121.18340405121727</v>
      </c>
      <c r="Q907" s="3">
        <f t="shared" ca="1" si="307"/>
        <v>160.16477961765781</v>
      </c>
      <c r="R907" s="3">
        <f t="shared" ca="1" si="307"/>
        <v>144.14830165589203</v>
      </c>
      <c r="S907" s="3">
        <f t="shared" ca="1" si="307"/>
        <v>128.13182369412624</v>
      </c>
      <c r="T907" s="3">
        <f t="shared" ca="1" si="307"/>
        <v>112.11534573236045</v>
      </c>
      <c r="U907" s="3">
        <f t="shared" ca="1" si="307"/>
        <v>96.098867770594666</v>
      </c>
      <c r="V907" s="3">
        <f t="shared" ca="1" si="307"/>
        <v>80.082389808828893</v>
      </c>
      <c r="W907" s="3">
        <f t="shared" ca="1" si="307"/>
        <v>64.06591184706312</v>
      </c>
      <c r="X907" s="3">
        <f t="shared" ca="1" si="307"/>
        <v>48.049433885297333</v>
      </c>
      <c r="Y907" s="3">
        <f t="shared" ca="1" si="307"/>
        <v>32.03295592353156</v>
      </c>
      <c r="Z907" s="3">
        <f t="shared" ca="1" si="307"/>
        <v>16.01647796176578</v>
      </c>
      <c r="AA907" s="3">
        <f t="shared" ca="1" si="307"/>
        <v>0</v>
      </c>
      <c r="AB907" s="3">
        <f t="shared" ca="1" si="307"/>
        <v>0</v>
      </c>
      <c r="AC907" s="3">
        <f t="shared" ca="1" si="307"/>
        <v>0</v>
      </c>
      <c r="AD907" s="3">
        <f t="shared" ca="1" si="307"/>
        <v>0</v>
      </c>
      <c r="AE907" s="3">
        <f t="shared" ca="1" si="307"/>
        <v>0</v>
      </c>
      <c r="AF907" s="3">
        <f t="shared" ca="1" si="307"/>
        <v>0</v>
      </c>
      <c r="AG907" s="3">
        <f t="shared" ca="1" si="307"/>
        <v>0</v>
      </c>
      <c r="AH907" s="3">
        <f t="shared" ca="1" si="307"/>
        <v>0</v>
      </c>
      <c r="AI907" s="3">
        <f t="shared" ca="1" si="307"/>
        <v>0</v>
      </c>
      <c r="AJ907" s="3">
        <f t="shared" ca="1" si="307"/>
        <v>0</v>
      </c>
      <c r="AK907" s="3">
        <f t="shared" ca="1" si="307"/>
        <v>0</v>
      </c>
      <c r="AL907" s="3">
        <f t="shared" ca="1" si="307"/>
        <v>0</v>
      </c>
      <c r="AM907" s="3">
        <f t="shared" ca="1" si="307"/>
        <v>0</v>
      </c>
      <c r="AN907" s="3">
        <f t="shared" ca="1" si="307"/>
        <v>0</v>
      </c>
      <c r="AO907" s="3">
        <f t="shared" ca="1" si="307"/>
        <v>0</v>
      </c>
      <c r="AP907" s="3">
        <f t="shared" ca="1" si="307"/>
        <v>0</v>
      </c>
      <c r="AQ907" s="3">
        <f t="shared" ca="1" si="307"/>
        <v>0</v>
      </c>
      <c r="AR907" s="3">
        <f t="shared" ca="1" si="307"/>
        <v>0</v>
      </c>
      <c r="AS907" s="3">
        <f t="shared" ca="1" si="307"/>
        <v>0</v>
      </c>
      <c r="AT907" s="3">
        <f t="shared" ca="1" si="307"/>
        <v>0</v>
      </c>
      <c r="AU907" s="3">
        <f t="shared" ca="1" si="307"/>
        <v>0</v>
      </c>
      <c r="AV907" s="3">
        <f t="shared" ca="1" si="307"/>
        <v>0</v>
      </c>
      <c r="AW907" s="3">
        <f t="shared" ca="1" si="307"/>
        <v>0</v>
      </c>
      <c r="AX907" s="3">
        <f t="shared" ca="1" si="307"/>
        <v>0</v>
      </c>
    </row>
    <row r="908" spans="1:50" ht="15" customHeight="1" x14ac:dyDescent="0.25">
      <c r="A908" s="86"/>
      <c r="D908" s="44" t="str">
        <f>Translate!E529</f>
        <v>add</v>
      </c>
      <c r="E908" s="3" t="str">
        <f t="shared" ref="E908:AX908" si="308" xml:space="preserve"> E$869</f>
        <v xml:space="preserve">Tax depreciation charge IOC </v>
      </c>
      <c r="F908" s="44">
        <f t="shared" si="308"/>
        <v>0</v>
      </c>
      <c r="G908" s="3" t="str">
        <f t="shared" si="308"/>
        <v>US$ mn</v>
      </c>
      <c r="H908" s="3">
        <f t="shared" si="308"/>
        <v>0</v>
      </c>
      <c r="I908" s="3">
        <f t="shared" ca="1" si="308"/>
        <v>8399.7511044325329</v>
      </c>
      <c r="J908" s="3">
        <f t="shared" si="308"/>
        <v>0</v>
      </c>
      <c r="K908" s="3">
        <f t="shared" ca="1" si="308"/>
        <v>0</v>
      </c>
      <c r="L908" s="3">
        <f t="shared" ca="1" si="308"/>
        <v>0</v>
      </c>
      <c r="M908" s="3">
        <f t="shared" ca="1" si="308"/>
        <v>0</v>
      </c>
      <c r="N908" s="3">
        <f t="shared" ca="1" si="308"/>
        <v>0</v>
      </c>
      <c r="O908" s="3">
        <f t="shared" ca="1" si="308"/>
        <v>476.73676657758006</v>
      </c>
      <c r="P908" s="3">
        <f t="shared" ca="1" si="308"/>
        <v>847.70791645278007</v>
      </c>
      <c r="Q908" s="3">
        <f t="shared" ca="1" si="308"/>
        <v>1045.912502243244</v>
      </c>
      <c r="R908" s="3">
        <f t="shared" ca="1" si="308"/>
        <v>1128.6178703139924</v>
      </c>
      <c r="S908" s="3">
        <f t="shared" ca="1" si="308"/>
        <v>1175.4842455540829</v>
      </c>
      <c r="T908" s="3">
        <f t="shared" ca="1" si="308"/>
        <v>746.55118172139532</v>
      </c>
      <c r="U908" s="3">
        <f t="shared" ca="1" si="308"/>
        <v>424.33980864598573</v>
      </c>
      <c r="V908" s="3">
        <f t="shared" ca="1" si="308"/>
        <v>275.8701951913078</v>
      </c>
      <c r="W908" s="3">
        <f t="shared" ca="1" si="308"/>
        <v>243.8944989030615</v>
      </c>
      <c r="X908" s="3">
        <f t="shared" ca="1" si="308"/>
        <v>248.77238888112274</v>
      </c>
      <c r="Y908" s="3">
        <f t="shared" ca="1" si="308"/>
        <v>253.74783665874514</v>
      </c>
      <c r="Z908" s="3">
        <f t="shared" ca="1" si="308"/>
        <v>258.82279339192007</v>
      </c>
      <c r="AA908" s="3">
        <f t="shared" ca="1" si="308"/>
        <v>263.99924925975847</v>
      </c>
      <c r="AB908" s="3">
        <f t="shared" ca="1" si="308"/>
        <v>213.26957747725663</v>
      </c>
      <c r="AC908" s="3">
        <f t="shared" ca="1" si="308"/>
        <v>161.52531225910479</v>
      </c>
      <c r="AD908" s="3">
        <f t="shared" ca="1" si="308"/>
        <v>155.36411925747944</v>
      </c>
      <c r="AE908" s="3">
        <f t="shared" ca="1" si="308"/>
        <v>149.07970239582161</v>
      </c>
      <c r="AF908" s="3">
        <f t="shared" ca="1" si="308"/>
        <v>94.168274192197117</v>
      </c>
      <c r="AG908" s="3">
        <f t="shared" ca="1" si="308"/>
        <v>94.168274192197117</v>
      </c>
      <c r="AH908" s="3">
        <f t="shared" ca="1" si="308"/>
        <v>94.168274192197117</v>
      </c>
      <c r="AI908" s="3">
        <f t="shared" ca="1" si="308"/>
        <v>47.550316671307563</v>
      </c>
      <c r="AJ908" s="3">
        <f t="shared" ca="1" si="308"/>
        <v>2.1032064978498967E-13</v>
      </c>
      <c r="AK908" s="3">
        <f t="shared" ca="1" si="308"/>
        <v>2.1032064978498967E-13</v>
      </c>
      <c r="AL908" s="3">
        <f t="shared" ca="1" si="308"/>
        <v>2.1032064978498967E-13</v>
      </c>
      <c r="AM908" s="3">
        <f t="shared" ca="1" si="308"/>
        <v>2.1032064978498967E-13</v>
      </c>
      <c r="AN908" s="3">
        <f t="shared" ca="1" si="308"/>
        <v>2.1032064978498967E-13</v>
      </c>
      <c r="AO908" s="3">
        <f t="shared" ca="1" si="308"/>
        <v>-4.1708858589117889E-12</v>
      </c>
      <c r="AP908" s="3">
        <f t="shared" ca="1" si="308"/>
        <v>0</v>
      </c>
      <c r="AQ908" s="3">
        <f t="shared" ca="1" si="308"/>
        <v>0</v>
      </c>
      <c r="AR908" s="3">
        <f t="shared" ca="1" si="308"/>
        <v>0</v>
      </c>
      <c r="AS908" s="3">
        <f t="shared" ca="1" si="308"/>
        <v>0</v>
      </c>
      <c r="AT908" s="3">
        <f t="shared" ca="1" si="308"/>
        <v>0</v>
      </c>
      <c r="AU908" s="3">
        <f t="shared" ca="1" si="308"/>
        <v>0</v>
      </c>
      <c r="AV908" s="3">
        <f t="shared" ca="1" si="308"/>
        <v>0</v>
      </c>
      <c r="AW908" s="3">
        <f t="shared" ca="1" si="308"/>
        <v>0</v>
      </c>
      <c r="AX908" s="3">
        <f t="shared" ca="1" si="308"/>
        <v>0</v>
      </c>
    </row>
    <row r="909" spans="1:50" ht="15" customHeight="1" x14ac:dyDescent="0.25">
      <c r="A909" s="86"/>
      <c r="D909" s="44" t="str">
        <f>Translate!E530</f>
        <v>less</v>
      </c>
      <c r="E909" s="257" t="str">
        <f t="shared" ref="E909:AX909" si="309" xml:space="preserve"> E$787</f>
        <v>Capitalized costs excluding interest</v>
      </c>
      <c r="F909" s="576">
        <f t="shared" si="309"/>
        <v>0</v>
      </c>
      <c r="G909" s="257" t="str">
        <f t="shared" si="309"/>
        <v>US$ mn</v>
      </c>
      <c r="H909" s="257">
        <f t="shared" si="309"/>
        <v>0</v>
      </c>
      <c r="I909" s="257">
        <f t="shared" ca="1" si="309"/>
        <v>8364.4578251446346</v>
      </c>
      <c r="J909" s="257">
        <f t="shared" si="309"/>
        <v>0</v>
      </c>
      <c r="K909" s="257">
        <f t="shared" ca="1" si="309"/>
        <v>0</v>
      </c>
      <c r="L909" s="257">
        <f t="shared" ca="1" si="309"/>
        <v>40.799999999999997</v>
      </c>
      <c r="M909" s="257">
        <f t="shared" ca="1" si="309"/>
        <v>249.696</v>
      </c>
      <c r="N909" s="257">
        <f t="shared" ca="1" si="309"/>
        <v>1018.7596799999998</v>
      </c>
      <c r="O909" s="257">
        <f t="shared" ca="1" si="309"/>
        <v>1039.1348736</v>
      </c>
      <c r="P909" s="257">
        <f t="shared" ca="1" si="309"/>
        <v>1854.8557493759999</v>
      </c>
      <c r="Q909" s="257">
        <f t="shared" ca="1" si="309"/>
        <v>991.02292895232006</v>
      </c>
      <c r="R909" s="257">
        <f t="shared" ca="1" si="309"/>
        <v>413.52684035374079</v>
      </c>
      <c r="S909" s="257">
        <f t="shared" ca="1" si="309"/>
        <v>234.33187620045314</v>
      </c>
      <c r="T909" s="257">
        <f t="shared" ca="1" si="309"/>
        <v>239.01851372446222</v>
      </c>
      <c r="U909" s="257">
        <f t="shared" ca="1" si="309"/>
        <v>243.79888399895148</v>
      </c>
      <c r="V909" s="257">
        <f t="shared" ca="1" si="309"/>
        <v>248.67486167893048</v>
      </c>
      <c r="W909" s="257">
        <f t="shared" ca="1" si="309"/>
        <v>253.64835891250908</v>
      </c>
      <c r="X909" s="257">
        <f t="shared" ca="1" si="309"/>
        <v>258.72132609075925</v>
      </c>
      <c r="Y909" s="257">
        <f t="shared" ca="1" si="309"/>
        <v>263.89575261257448</v>
      </c>
      <c r="Z909" s="257">
        <f t="shared" ca="1" si="309"/>
        <v>269.17366766482598</v>
      </c>
      <c r="AA909" s="257">
        <f t="shared" ca="1" si="309"/>
        <v>274.55714101812248</v>
      </c>
      <c r="AB909" s="257">
        <f t="shared" ca="1" si="309"/>
        <v>0</v>
      </c>
      <c r="AC909" s="257">
        <f t="shared" ca="1" si="309"/>
        <v>0</v>
      </c>
      <c r="AD909" s="257">
        <f t="shared" ca="1" si="309"/>
        <v>233.08978760444779</v>
      </c>
      <c r="AE909" s="257">
        <f t="shared" ca="1" si="309"/>
        <v>237.75158335653677</v>
      </c>
      <c r="AF909" s="257">
        <f t="shared" ca="1" si="309"/>
        <v>0</v>
      </c>
      <c r="AG909" s="257">
        <f t="shared" ca="1" si="309"/>
        <v>0</v>
      </c>
      <c r="AH909" s="257">
        <f t="shared" ca="1" si="309"/>
        <v>0</v>
      </c>
      <c r="AI909" s="257">
        <f t="shared" ca="1" si="309"/>
        <v>0</v>
      </c>
      <c r="AJ909" s="257">
        <f t="shared" ca="1" si="309"/>
        <v>0</v>
      </c>
      <c r="AK909" s="257">
        <f t="shared" ca="1" si="309"/>
        <v>0</v>
      </c>
      <c r="AL909" s="257">
        <f t="shared" ca="1" si="309"/>
        <v>0</v>
      </c>
      <c r="AM909" s="257">
        <f t="shared" ca="1" si="309"/>
        <v>0</v>
      </c>
      <c r="AN909" s="257">
        <f t="shared" ca="1" si="309"/>
        <v>0</v>
      </c>
      <c r="AO909" s="257">
        <f t="shared" ca="1" si="309"/>
        <v>0</v>
      </c>
      <c r="AP909" s="257">
        <f t="shared" ca="1" si="309"/>
        <v>0</v>
      </c>
      <c r="AQ909" s="257">
        <f t="shared" ca="1" si="309"/>
        <v>0</v>
      </c>
      <c r="AR909" s="257">
        <f t="shared" ca="1" si="309"/>
        <v>0</v>
      </c>
      <c r="AS909" s="257">
        <f t="shared" ca="1" si="309"/>
        <v>0</v>
      </c>
      <c r="AT909" s="257">
        <f t="shared" ca="1" si="309"/>
        <v>0</v>
      </c>
      <c r="AU909" s="257">
        <f t="shared" ca="1" si="309"/>
        <v>0</v>
      </c>
      <c r="AV909" s="257">
        <f t="shared" ca="1" si="309"/>
        <v>0</v>
      </c>
      <c r="AW909" s="257">
        <f t="shared" ca="1" si="309"/>
        <v>0</v>
      </c>
      <c r="AX909" s="257">
        <f t="shared" ca="1" si="309"/>
        <v>0</v>
      </c>
    </row>
    <row r="910" spans="1:50" ht="15" customHeight="1" x14ac:dyDescent="0.25">
      <c r="A910" s="479"/>
      <c r="B910" s="679"/>
      <c r="C910" s="640"/>
      <c r="D910" s="505"/>
      <c r="E910" s="485" t="str">
        <f xml:space="preserve"> Translate!E$354</f>
        <v>IOC net cashflow before tax for RRT (via tax return)</v>
      </c>
      <c r="F910" s="505"/>
      <c r="G910" s="485" t="str">
        <f xml:space="preserve"> Translate!E$603</f>
        <v>US$ mn</v>
      </c>
      <c r="H910" s="485"/>
      <c r="I910" s="485">
        <f ca="1" xml:space="preserve"> SUM(K910:AX910)</f>
        <v>21153.413942062645</v>
      </c>
      <c r="J910" s="485"/>
      <c r="K910" s="485">
        <f ca="1" xml:space="preserve"> K905 - K906 + K907 + K908 - K909</f>
        <v>-420</v>
      </c>
      <c r="L910" s="485">
        <f t="shared" ref="L910:AX910" ca="1" si="310" xml:space="preserve"> L905 - L906 + L907 + L908 - L909</f>
        <v>-40.799999999999997</v>
      </c>
      <c r="M910" s="485">
        <f t="shared" ca="1" si="310"/>
        <v>-249.696</v>
      </c>
      <c r="N910" s="485">
        <f t="shared" ca="1" si="310"/>
        <v>-1018.7596799999998</v>
      </c>
      <c r="O910" s="485">
        <f t="shared" ca="1" si="310"/>
        <v>-953.17415299595041</v>
      </c>
      <c r="P910" s="485">
        <f t="shared" ca="1" si="310"/>
        <v>-977.56089107327966</v>
      </c>
      <c r="Q910" s="485">
        <f t="shared" ca="1" si="310"/>
        <v>889.85596624634911</v>
      </c>
      <c r="R910" s="485">
        <f t="shared" ca="1" si="310"/>
        <v>1506.0740234689019</v>
      </c>
      <c r="S910" s="485">
        <f t="shared" ca="1" si="310"/>
        <v>1724.7653956186423</v>
      </c>
      <c r="T910" s="485">
        <f t="shared" ca="1" si="310"/>
        <v>1760.3650942510149</v>
      </c>
      <c r="U910" s="485">
        <f t="shared" ca="1" si="310"/>
        <v>1796.6767868560353</v>
      </c>
      <c r="V910" s="485">
        <f t="shared" ca="1" si="310"/>
        <v>1833.7147133131557</v>
      </c>
      <c r="W910" s="485">
        <f t="shared" ca="1" si="310"/>
        <v>1820.4986199271107</v>
      </c>
      <c r="X910" s="485">
        <f t="shared" ca="1" si="310"/>
        <v>1859.0328786130985</v>
      </c>
      <c r="Y910" s="485">
        <f t="shared" ca="1" si="310"/>
        <v>1898.3378224728067</v>
      </c>
      <c r="Z910" s="485">
        <f t="shared" ca="1" si="310"/>
        <v>1938.4288652097093</v>
      </c>
      <c r="AA910" s="485">
        <f t="shared" ca="1" si="310"/>
        <v>1487.1432445797309</v>
      </c>
      <c r="AB910" s="485">
        <f t="shared" ca="1" si="310"/>
        <v>1392.0410159647467</v>
      </c>
      <c r="AC910" s="485">
        <f t="shared" ca="1" si="310"/>
        <v>1211.0696915000917</v>
      </c>
      <c r="AD910" s="485">
        <f t="shared" ca="1" si="310"/>
        <v>737.54769767039807</v>
      </c>
      <c r="AE910" s="485">
        <f t="shared" ca="1" si="310"/>
        <v>547.86548947917822</v>
      </c>
      <c r="AF910" s="485">
        <f t="shared" ca="1" si="310"/>
        <v>623.79288921827117</v>
      </c>
      <c r="AG910" s="485">
        <f t="shared" ca="1" si="310"/>
        <v>494.28829386143184</v>
      </c>
      <c r="AH910" s="485">
        <f t="shared" ca="1" si="310"/>
        <v>382.06146997831809</v>
      </c>
      <c r="AI910" s="485">
        <f t="shared" ca="1" si="310"/>
        <v>290.16997225280159</v>
      </c>
      <c r="AJ910" s="485">
        <f t="shared" ca="1" si="310"/>
        <v>215.12874069683724</v>
      </c>
      <c r="AK910" s="485">
        <f t="shared" ca="1" si="310"/>
        <v>154.05834068715163</v>
      </c>
      <c r="AL910" s="485">
        <f t="shared" ca="1" si="310"/>
        <v>104.58000826472743</v>
      </c>
      <c r="AM910" s="485">
        <f t="shared" ca="1" si="310"/>
        <v>83.043821673245517</v>
      </c>
      <c r="AN910" s="485">
        <f t="shared" ca="1" si="310"/>
        <v>44.093859186665199</v>
      </c>
      <c r="AO910" s="485">
        <f t="shared" ca="1" si="310"/>
        <v>18.769965141454982</v>
      </c>
      <c r="AP910" s="485">
        <f t="shared" ca="1" si="310"/>
        <v>0</v>
      </c>
      <c r="AQ910" s="485">
        <f t="shared" ca="1" si="310"/>
        <v>0</v>
      </c>
      <c r="AR910" s="485">
        <f t="shared" ca="1" si="310"/>
        <v>0</v>
      </c>
      <c r="AS910" s="485">
        <f t="shared" ca="1" si="310"/>
        <v>0</v>
      </c>
      <c r="AT910" s="485">
        <f t="shared" ca="1" si="310"/>
        <v>0</v>
      </c>
      <c r="AU910" s="485">
        <f t="shared" ca="1" si="310"/>
        <v>0</v>
      </c>
      <c r="AV910" s="485">
        <f t="shared" ca="1" si="310"/>
        <v>0</v>
      </c>
      <c r="AW910" s="485">
        <f t="shared" ca="1" si="310"/>
        <v>0</v>
      </c>
      <c r="AX910" s="485">
        <f t="shared" ca="1" si="310"/>
        <v>0</v>
      </c>
    </row>
    <row r="911" spans="1:50" ht="15" customHeight="1" x14ac:dyDescent="0.25">
      <c r="A911" s="86"/>
    </row>
    <row r="912" spans="1:50" ht="15" customHeight="1" x14ac:dyDescent="0.25">
      <c r="A912" s="86"/>
      <c r="E912" s="3" t="str">
        <f xml:space="preserve"> Translate!E$755 &amp; " " &amp; Translate!E$355</f>
        <v>Check:  IOC cashflows for RRT: cashflow versus tax return</v>
      </c>
      <c r="F912" s="157">
        <f ca="1" xml:space="preserve"> MIN( 1, SUM(K912:AX912))</f>
        <v>0</v>
      </c>
      <c r="G912" s="3" t="str">
        <f xml:space="preserve"> Translate!E$604</f>
        <v>Check</v>
      </c>
      <c r="I912" s="3">
        <f ca="1" xml:space="preserve"> SUM(K912:AX912)</f>
        <v>0</v>
      </c>
      <c r="K912" s="71">
        <f t="shared" ref="K912:AX912" ca="1" si="311" xml:space="preserve"> IF( ABS(K902 - K910) &gt; CHK_TOL, 1, 0)</f>
        <v>0</v>
      </c>
      <c r="L912" s="71">
        <f t="shared" ca="1" si="311"/>
        <v>0</v>
      </c>
      <c r="M912" s="71">
        <f t="shared" ca="1" si="311"/>
        <v>0</v>
      </c>
      <c r="N912" s="71">
        <f t="shared" ca="1" si="311"/>
        <v>0</v>
      </c>
      <c r="O912" s="71">
        <f t="shared" ca="1" si="311"/>
        <v>0</v>
      </c>
      <c r="P912" s="71">
        <f t="shared" ca="1" si="311"/>
        <v>0</v>
      </c>
      <c r="Q912" s="71">
        <f t="shared" ca="1" si="311"/>
        <v>0</v>
      </c>
      <c r="R912" s="71">
        <f t="shared" ca="1" si="311"/>
        <v>0</v>
      </c>
      <c r="S912" s="71">
        <f t="shared" ca="1" si="311"/>
        <v>0</v>
      </c>
      <c r="T912" s="71">
        <f t="shared" ca="1" si="311"/>
        <v>0</v>
      </c>
      <c r="U912" s="71">
        <f t="shared" ca="1" si="311"/>
        <v>0</v>
      </c>
      <c r="V912" s="71">
        <f t="shared" ca="1" si="311"/>
        <v>0</v>
      </c>
      <c r="W912" s="71">
        <f t="shared" ca="1" si="311"/>
        <v>0</v>
      </c>
      <c r="X912" s="71">
        <f t="shared" ca="1" si="311"/>
        <v>0</v>
      </c>
      <c r="Y912" s="71">
        <f t="shared" ca="1" si="311"/>
        <v>0</v>
      </c>
      <c r="Z912" s="71">
        <f t="shared" ca="1" si="311"/>
        <v>0</v>
      </c>
      <c r="AA912" s="71">
        <f t="shared" ca="1" si="311"/>
        <v>0</v>
      </c>
      <c r="AB912" s="71">
        <f t="shared" ca="1" si="311"/>
        <v>0</v>
      </c>
      <c r="AC912" s="71">
        <f t="shared" ca="1" si="311"/>
        <v>0</v>
      </c>
      <c r="AD912" s="71">
        <f t="shared" ca="1" si="311"/>
        <v>0</v>
      </c>
      <c r="AE912" s="71">
        <f t="shared" ca="1" si="311"/>
        <v>0</v>
      </c>
      <c r="AF912" s="71">
        <f t="shared" ca="1" si="311"/>
        <v>0</v>
      </c>
      <c r="AG912" s="71">
        <f t="shared" ca="1" si="311"/>
        <v>0</v>
      </c>
      <c r="AH912" s="71">
        <f t="shared" ca="1" si="311"/>
        <v>0</v>
      </c>
      <c r="AI912" s="71">
        <f t="shared" ca="1" si="311"/>
        <v>0</v>
      </c>
      <c r="AJ912" s="71">
        <f t="shared" ca="1" si="311"/>
        <v>0</v>
      </c>
      <c r="AK912" s="71">
        <f t="shared" ca="1" si="311"/>
        <v>0</v>
      </c>
      <c r="AL912" s="71">
        <f t="shared" ca="1" si="311"/>
        <v>0</v>
      </c>
      <c r="AM912" s="71">
        <f t="shared" ca="1" si="311"/>
        <v>0</v>
      </c>
      <c r="AN912" s="71">
        <f t="shared" ca="1" si="311"/>
        <v>0</v>
      </c>
      <c r="AO912" s="71">
        <f t="shared" ca="1" si="311"/>
        <v>0</v>
      </c>
      <c r="AP912" s="71">
        <f t="shared" ca="1" si="311"/>
        <v>0</v>
      </c>
      <c r="AQ912" s="71">
        <f t="shared" ca="1" si="311"/>
        <v>0</v>
      </c>
      <c r="AR912" s="71">
        <f t="shared" ca="1" si="311"/>
        <v>0</v>
      </c>
      <c r="AS912" s="71">
        <f t="shared" ca="1" si="311"/>
        <v>0</v>
      </c>
      <c r="AT912" s="71">
        <f t="shared" ca="1" si="311"/>
        <v>0</v>
      </c>
      <c r="AU912" s="71">
        <f t="shared" ca="1" si="311"/>
        <v>0</v>
      </c>
      <c r="AV912" s="71">
        <f t="shared" ca="1" si="311"/>
        <v>0</v>
      </c>
      <c r="AW912" s="71">
        <f t="shared" ca="1" si="311"/>
        <v>0</v>
      </c>
      <c r="AX912" s="71">
        <f t="shared" ca="1" si="311"/>
        <v>0</v>
      </c>
    </row>
    <row r="913" spans="1:50" ht="15" customHeight="1" x14ac:dyDescent="0.25">
      <c r="A913" s="86"/>
    </row>
    <row r="914" spans="1:50" ht="15" customHeight="1" x14ac:dyDescent="0.25">
      <c r="A914" s="86"/>
      <c r="B914" s="683" t="str">
        <f>Translate!$E$456</f>
        <v>Deduction of CIT for RRT</v>
      </c>
    </row>
    <row r="915" spans="1:50" ht="15" customHeight="1" x14ac:dyDescent="0.25">
      <c r="A915" s="86"/>
      <c r="E915" s="3" t="str">
        <f t="shared" ref="E915:AX915" si="312" xml:space="preserve"> E$884</f>
        <v>CIT paid: IOC</v>
      </c>
      <c r="F915" s="44">
        <f t="shared" si="312"/>
        <v>0</v>
      </c>
      <c r="G915" s="3" t="str">
        <f t="shared" si="312"/>
        <v>US$ mn</v>
      </c>
      <c r="H915" s="3">
        <f t="shared" si="312"/>
        <v>0</v>
      </c>
      <c r="I915" s="3">
        <f t="shared" ca="1" si="312"/>
        <v>7025.4106949421139</v>
      </c>
      <c r="J915" s="3">
        <f t="shared" si="312"/>
        <v>0</v>
      </c>
      <c r="K915" s="3">
        <f t="shared" ca="1" si="312"/>
        <v>0</v>
      </c>
      <c r="L915" s="3">
        <f t="shared" ca="1" si="312"/>
        <v>0</v>
      </c>
      <c r="M915" s="3">
        <f t="shared" ca="1" si="312"/>
        <v>0</v>
      </c>
      <c r="N915" s="3">
        <f t="shared" ca="1" si="312"/>
        <v>0</v>
      </c>
      <c r="O915" s="3">
        <f t="shared" ca="1" si="312"/>
        <v>0</v>
      </c>
      <c r="P915" s="3">
        <f t="shared" ca="1" si="312"/>
        <v>0</v>
      </c>
      <c r="Q915" s="3">
        <f t="shared" ca="1" si="312"/>
        <v>0</v>
      </c>
      <c r="R915" s="3">
        <f t="shared" ca="1" si="312"/>
        <v>131.54218410837188</v>
      </c>
      <c r="S915" s="3">
        <f t="shared" ca="1" si="312"/>
        <v>229.41842089981012</v>
      </c>
      <c r="T915" s="3">
        <f t="shared" ca="1" si="312"/>
        <v>399.25097818260241</v>
      </c>
      <c r="U915" s="3">
        <f t="shared" ca="1" si="312"/>
        <v>532.0129480534423</v>
      </c>
      <c r="V915" s="3">
        <f t="shared" ca="1" si="312"/>
        <v>604.25294649718239</v>
      </c>
      <c r="W915" s="3">
        <f t="shared" ca="1" si="312"/>
        <v>618.1652988313233</v>
      </c>
      <c r="X915" s="3">
        <f t="shared" ca="1" si="312"/>
        <v>637.3263336781032</v>
      </c>
      <c r="Y915" s="3">
        <f t="shared" ca="1" si="312"/>
        <v>656.75847387608655</v>
      </c>
      <c r="Z915" s="3">
        <f t="shared" ca="1" si="312"/>
        <v>676.46714153229732</v>
      </c>
      <c r="AA915" s="3">
        <f t="shared" ca="1" si="312"/>
        <v>524.1953977183332</v>
      </c>
      <c r="AB915" s="3">
        <f t="shared" ca="1" si="312"/>
        <v>412.57000347062149</v>
      </c>
      <c r="AC915" s="3">
        <f t="shared" ca="1" si="312"/>
        <v>367.3405327343454</v>
      </c>
      <c r="AD915" s="3">
        <f t="shared" ca="1" si="312"/>
        <v>285.3456781060782</v>
      </c>
      <c r="AE915" s="3">
        <f t="shared" ca="1" si="312"/>
        <v>222.78807965396268</v>
      </c>
      <c r="AF915" s="3">
        <f t="shared" ca="1" si="312"/>
        <v>185.3686152591259</v>
      </c>
      <c r="AG915" s="3">
        <f t="shared" ca="1" si="312"/>
        <v>140.04200688423217</v>
      </c>
      <c r="AH915" s="3">
        <f t="shared" ca="1" si="312"/>
        <v>100.76261852514234</v>
      </c>
      <c r="AI915" s="3">
        <f t="shared" ca="1" si="312"/>
        <v>84.91687945352291</v>
      </c>
      <c r="AJ915" s="3">
        <f t="shared" ca="1" si="312"/>
        <v>75.295059243892965</v>
      </c>
      <c r="AK915" s="3">
        <f t="shared" ca="1" si="312"/>
        <v>53.920419240502994</v>
      </c>
      <c r="AL915" s="3">
        <f t="shared" ca="1" si="312"/>
        <v>36.603002892654523</v>
      </c>
      <c r="AM915" s="3">
        <f t="shared" ca="1" si="312"/>
        <v>29.065337585635856</v>
      </c>
      <c r="AN915" s="3">
        <f t="shared" ca="1" si="312"/>
        <v>15.432850715332744</v>
      </c>
      <c r="AO915" s="3">
        <f t="shared" ca="1" si="312"/>
        <v>6.5694877995107035</v>
      </c>
      <c r="AP915" s="3">
        <f t="shared" ca="1" si="312"/>
        <v>0</v>
      </c>
      <c r="AQ915" s="3">
        <f t="shared" ca="1" si="312"/>
        <v>0</v>
      </c>
      <c r="AR915" s="3">
        <f t="shared" ca="1" si="312"/>
        <v>0</v>
      </c>
      <c r="AS915" s="3">
        <f t="shared" ca="1" si="312"/>
        <v>0</v>
      </c>
      <c r="AT915" s="3">
        <f t="shared" ca="1" si="312"/>
        <v>0</v>
      </c>
      <c r="AU915" s="3">
        <f t="shared" ca="1" si="312"/>
        <v>0</v>
      </c>
      <c r="AV915" s="3">
        <f t="shared" ca="1" si="312"/>
        <v>0</v>
      </c>
      <c r="AW915" s="3">
        <f t="shared" ca="1" si="312"/>
        <v>0</v>
      </c>
      <c r="AX915" s="3">
        <f t="shared" ca="1" si="312"/>
        <v>0</v>
      </c>
    </row>
    <row r="916" spans="1:50" ht="15" customHeight="1" x14ac:dyDescent="0.25">
      <c r="A916" s="86"/>
      <c r="E916" s="532" t="str">
        <f xml:space="preserve"> FiscalModel!E$71</f>
        <v>CIT deductible for RRT</v>
      </c>
      <c r="F916" s="404">
        <f xml:space="preserve"> FiscalModel!F$71</f>
        <v>0</v>
      </c>
      <c r="G916" s="532" t="str">
        <f xml:space="preserve"> FiscalModel!G$71</f>
        <v>Option</v>
      </c>
    </row>
    <row r="917" spans="1:50" ht="15" customHeight="1" x14ac:dyDescent="0.25">
      <c r="B917" s="675"/>
      <c r="C917" s="615"/>
      <c r="D917" s="48"/>
      <c r="E917" s="222" t="str">
        <f>Inputs!E$87</f>
        <v>Label: yes</v>
      </c>
      <c r="F917" s="533" t="str">
        <f>Inputs!F$87</f>
        <v>yes</v>
      </c>
      <c r="G917" s="222" t="str">
        <f>Inputs!G$87</f>
        <v>Label</v>
      </c>
      <c r="H917" s="48"/>
      <c r="I917" s="48"/>
    </row>
    <row r="918" spans="1:50" ht="15" customHeight="1" x14ac:dyDescent="0.25">
      <c r="A918" s="86"/>
      <c r="E918" s="40" t="str">
        <f xml:space="preserve"> Inputs!E$88</f>
        <v>Label: no</v>
      </c>
      <c r="F918" s="283" t="str">
        <f xml:space="preserve"> Inputs!F$88</f>
        <v>no</v>
      </c>
      <c r="G918" s="40" t="str">
        <f xml:space="preserve"> Inputs!G$88</f>
        <v>Label</v>
      </c>
    </row>
    <row r="919" spans="1:50" ht="15" customHeight="1" x14ac:dyDescent="0.25">
      <c r="A919" s="86"/>
      <c r="F919" s="588"/>
    </row>
    <row r="920" spans="1:50" s="48" customFormat="1" ht="15" customHeight="1" x14ac:dyDescent="0.25">
      <c r="A920" s="86"/>
      <c r="B920" s="675"/>
      <c r="C920" s="615"/>
      <c r="D920" s="147"/>
      <c r="E920" s="48" t="str">
        <f xml:space="preserve"> E915 &amp; ": " &amp; Translate!E544</f>
        <v>CIT paid: IOC: deducted for RRT</v>
      </c>
      <c r="F920" s="147"/>
      <c r="G920" s="48" t="str">
        <f xml:space="preserve"> G915</f>
        <v>US$ mn</v>
      </c>
      <c r="I920" s="48">
        <f ca="1" xml:space="preserve"> SUM(K920:AX920)</f>
        <v>7025.4106949421139</v>
      </c>
      <c r="K920" s="48">
        <f t="shared" ref="K920:AX920" ca="1" si="313" xml:space="preserve"> K915 * ($F916 &lt;&gt; $F918)</f>
        <v>0</v>
      </c>
      <c r="L920" s="48">
        <f t="shared" ca="1" si="313"/>
        <v>0</v>
      </c>
      <c r="M920" s="48">
        <f t="shared" ca="1" si="313"/>
        <v>0</v>
      </c>
      <c r="N920" s="48">
        <f t="shared" ca="1" si="313"/>
        <v>0</v>
      </c>
      <c r="O920" s="48">
        <f t="shared" ca="1" si="313"/>
        <v>0</v>
      </c>
      <c r="P920" s="48">
        <f t="shared" ca="1" si="313"/>
        <v>0</v>
      </c>
      <c r="Q920" s="48">
        <f t="shared" ca="1" si="313"/>
        <v>0</v>
      </c>
      <c r="R920" s="48">
        <f t="shared" ca="1" si="313"/>
        <v>131.54218410837188</v>
      </c>
      <c r="S920" s="48">
        <f t="shared" ca="1" si="313"/>
        <v>229.41842089981012</v>
      </c>
      <c r="T920" s="48">
        <f t="shared" ca="1" si="313"/>
        <v>399.25097818260241</v>
      </c>
      <c r="U920" s="48">
        <f t="shared" ca="1" si="313"/>
        <v>532.0129480534423</v>
      </c>
      <c r="V920" s="48">
        <f t="shared" ca="1" si="313"/>
        <v>604.25294649718239</v>
      </c>
      <c r="W920" s="48">
        <f t="shared" ca="1" si="313"/>
        <v>618.1652988313233</v>
      </c>
      <c r="X920" s="48">
        <f t="shared" ca="1" si="313"/>
        <v>637.3263336781032</v>
      </c>
      <c r="Y920" s="48">
        <f t="shared" ca="1" si="313"/>
        <v>656.75847387608655</v>
      </c>
      <c r="Z920" s="48">
        <f t="shared" ca="1" si="313"/>
        <v>676.46714153229732</v>
      </c>
      <c r="AA920" s="48">
        <f t="shared" ca="1" si="313"/>
        <v>524.1953977183332</v>
      </c>
      <c r="AB920" s="48">
        <f t="shared" ca="1" si="313"/>
        <v>412.57000347062149</v>
      </c>
      <c r="AC920" s="48">
        <f t="shared" ca="1" si="313"/>
        <v>367.3405327343454</v>
      </c>
      <c r="AD920" s="48">
        <f t="shared" ca="1" si="313"/>
        <v>285.3456781060782</v>
      </c>
      <c r="AE920" s="48">
        <f t="shared" ca="1" si="313"/>
        <v>222.78807965396268</v>
      </c>
      <c r="AF920" s="48">
        <f t="shared" ca="1" si="313"/>
        <v>185.3686152591259</v>
      </c>
      <c r="AG920" s="48">
        <f t="shared" ca="1" si="313"/>
        <v>140.04200688423217</v>
      </c>
      <c r="AH920" s="48">
        <f t="shared" ca="1" si="313"/>
        <v>100.76261852514234</v>
      </c>
      <c r="AI920" s="48">
        <f t="shared" ca="1" si="313"/>
        <v>84.91687945352291</v>
      </c>
      <c r="AJ920" s="48">
        <f t="shared" ca="1" si="313"/>
        <v>75.295059243892965</v>
      </c>
      <c r="AK920" s="48">
        <f t="shared" ca="1" si="313"/>
        <v>53.920419240502994</v>
      </c>
      <c r="AL920" s="48">
        <f t="shared" ca="1" si="313"/>
        <v>36.603002892654523</v>
      </c>
      <c r="AM920" s="48">
        <f t="shared" ca="1" si="313"/>
        <v>29.065337585635856</v>
      </c>
      <c r="AN920" s="48">
        <f t="shared" ca="1" si="313"/>
        <v>15.432850715332744</v>
      </c>
      <c r="AO920" s="48">
        <f t="shared" ca="1" si="313"/>
        <v>6.5694877995107035</v>
      </c>
      <c r="AP920" s="48">
        <f t="shared" ca="1" si="313"/>
        <v>0</v>
      </c>
      <c r="AQ920" s="48">
        <f t="shared" ca="1" si="313"/>
        <v>0</v>
      </c>
      <c r="AR920" s="48">
        <f t="shared" ca="1" si="313"/>
        <v>0</v>
      </c>
      <c r="AS920" s="48">
        <f t="shared" ca="1" si="313"/>
        <v>0</v>
      </c>
      <c r="AT920" s="48">
        <f t="shared" ca="1" si="313"/>
        <v>0</v>
      </c>
      <c r="AU920" s="48">
        <f t="shared" ca="1" si="313"/>
        <v>0</v>
      </c>
      <c r="AV920" s="48">
        <f t="shared" ca="1" si="313"/>
        <v>0</v>
      </c>
      <c r="AW920" s="48">
        <f t="shared" ca="1" si="313"/>
        <v>0</v>
      </c>
      <c r="AX920" s="48">
        <f t="shared" ca="1" si="313"/>
        <v>0</v>
      </c>
    </row>
    <row r="921" spans="1:50" s="48" customFormat="1" ht="15" customHeight="1" x14ac:dyDescent="0.25">
      <c r="A921" s="86"/>
      <c r="B921" s="675"/>
      <c r="C921" s="615"/>
      <c r="D921" s="147"/>
      <c r="F921" s="147"/>
    </row>
    <row r="922" spans="1:50" s="48" customFormat="1" ht="15" customHeight="1" x14ac:dyDescent="0.25">
      <c r="A922" s="86"/>
      <c r="B922" s="675" t="str">
        <f>Translate!$E$457</f>
        <v>IOC cumulative cashflow for RRT</v>
      </c>
      <c r="C922" s="615"/>
      <c r="D922" s="147"/>
      <c r="F922" s="147"/>
    </row>
    <row r="923" spans="1:50" s="48" customFormat="1" ht="15" customHeight="1" x14ac:dyDescent="0.25">
      <c r="A923" s="86"/>
      <c r="B923" s="675"/>
      <c r="C923" s="615"/>
      <c r="D923" s="147"/>
      <c r="E923" s="401" t="str">
        <f xml:space="preserve"> FiscalModel!E$70</f>
        <v>Uplift on negative cashflows</v>
      </c>
      <c r="F923" s="564">
        <f xml:space="preserve"> FiscalModel!F$70</f>
        <v>0</v>
      </c>
      <c r="G923" s="401" t="str">
        <f xml:space="preserve"> FiscalModel!G$70</f>
        <v>%</v>
      </c>
    </row>
    <row r="924" spans="1:50" s="48" customFormat="1" ht="15" customHeight="1" x14ac:dyDescent="0.25">
      <c r="A924" s="86"/>
      <c r="B924" s="675"/>
      <c r="C924" s="615"/>
      <c r="D924" s="147"/>
      <c r="F924" s="147"/>
    </row>
    <row r="925" spans="1:50" s="223" customFormat="1" ht="15" customHeight="1" x14ac:dyDescent="0.25">
      <c r="A925" s="277"/>
      <c r="B925" s="671"/>
      <c r="C925" s="616"/>
      <c r="D925" s="224" t="str">
        <f>Translate!E529</f>
        <v>add</v>
      </c>
      <c r="E925" s="223" t="str">
        <f xml:space="preserve"> Translate!E$356 &amp; ": " &amp; Translate!E$334</f>
        <v>IOC RRT cumulative cashflow: BEG</v>
      </c>
      <c r="F925" s="224"/>
      <c r="G925" s="223" t="str">
        <f xml:space="preserve"> Translate!E$603</f>
        <v>US$ mn</v>
      </c>
      <c r="K925" s="223">
        <f t="shared" ref="K925:AX925" si="314" xml:space="preserve"> J929 * (J929 &lt; 0)</f>
        <v>0</v>
      </c>
      <c r="L925" s="223">
        <f t="shared" ca="1" si="314"/>
        <v>-420</v>
      </c>
      <c r="M925" s="223">
        <f t="shared" ca="1" si="314"/>
        <v>-460.8</v>
      </c>
      <c r="N925" s="223">
        <f t="shared" ca="1" si="314"/>
        <v>-710.49599999999998</v>
      </c>
      <c r="O925" s="223">
        <f t="shared" ca="1" si="314"/>
        <v>-1729.2556799999998</v>
      </c>
      <c r="P925" s="223">
        <f t="shared" ca="1" si="314"/>
        <v>-2682.4298329959502</v>
      </c>
      <c r="Q925" s="223">
        <f t="shared" ca="1" si="314"/>
        <v>-3659.9907240692301</v>
      </c>
      <c r="R925" s="223">
        <f t="shared" ca="1" si="314"/>
        <v>-2770.1347578228806</v>
      </c>
      <c r="S925" s="223">
        <f t="shared" ca="1" si="314"/>
        <v>-1395.6029184623508</v>
      </c>
      <c r="T925" s="223">
        <f t="shared" ca="1" si="314"/>
        <v>0</v>
      </c>
      <c r="U925" s="223">
        <f t="shared" ca="1" si="314"/>
        <v>0</v>
      </c>
      <c r="V925" s="223">
        <f t="shared" ca="1" si="314"/>
        <v>0</v>
      </c>
      <c r="W925" s="223">
        <f t="shared" ca="1" si="314"/>
        <v>0</v>
      </c>
      <c r="X925" s="223">
        <f t="shared" ca="1" si="314"/>
        <v>0</v>
      </c>
      <c r="Y925" s="223">
        <f t="shared" ca="1" si="314"/>
        <v>0</v>
      </c>
      <c r="Z925" s="223">
        <f t="shared" ca="1" si="314"/>
        <v>0</v>
      </c>
      <c r="AA925" s="223">
        <f t="shared" ca="1" si="314"/>
        <v>0</v>
      </c>
      <c r="AB925" s="223">
        <f t="shared" ca="1" si="314"/>
        <v>0</v>
      </c>
      <c r="AC925" s="223">
        <f t="shared" ca="1" si="314"/>
        <v>0</v>
      </c>
      <c r="AD925" s="223">
        <f t="shared" ca="1" si="314"/>
        <v>0</v>
      </c>
      <c r="AE925" s="223">
        <f t="shared" ca="1" si="314"/>
        <v>0</v>
      </c>
      <c r="AF925" s="223">
        <f t="shared" ca="1" si="314"/>
        <v>0</v>
      </c>
      <c r="AG925" s="223">
        <f t="shared" ca="1" si="314"/>
        <v>0</v>
      </c>
      <c r="AH925" s="223">
        <f t="shared" ca="1" si="314"/>
        <v>0</v>
      </c>
      <c r="AI925" s="223">
        <f t="shared" ca="1" si="314"/>
        <v>0</v>
      </c>
      <c r="AJ925" s="223">
        <f t="shared" ca="1" si="314"/>
        <v>0</v>
      </c>
      <c r="AK925" s="223">
        <f t="shared" ca="1" si="314"/>
        <v>0</v>
      </c>
      <c r="AL925" s="223">
        <f t="shared" ca="1" si="314"/>
        <v>0</v>
      </c>
      <c r="AM925" s="223">
        <f t="shared" ca="1" si="314"/>
        <v>0</v>
      </c>
      <c r="AN925" s="223">
        <f t="shared" ca="1" si="314"/>
        <v>0</v>
      </c>
      <c r="AO925" s="223">
        <f t="shared" ca="1" si="314"/>
        <v>0</v>
      </c>
      <c r="AP925" s="223">
        <f t="shared" ca="1" si="314"/>
        <v>0</v>
      </c>
      <c r="AQ925" s="223">
        <f t="shared" ca="1" si="314"/>
        <v>0</v>
      </c>
      <c r="AR925" s="223">
        <f t="shared" ca="1" si="314"/>
        <v>0</v>
      </c>
      <c r="AS925" s="223">
        <f t="shared" ca="1" si="314"/>
        <v>0</v>
      </c>
      <c r="AT925" s="223">
        <f t="shared" ca="1" si="314"/>
        <v>0</v>
      </c>
      <c r="AU925" s="223">
        <f t="shared" ca="1" si="314"/>
        <v>0</v>
      </c>
      <c r="AV925" s="223">
        <f t="shared" ca="1" si="314"/>
        <v>0</v>
      </c>
      <c r="AW925" s="223">
        <f t="shared" ca="1" si="314"/>
        <v>0</v>
      </c>
      <c r="AX925" s="223">
        <f t="shared" ca="1" si="314"/>
        <v>0</v>
      </c>
    </row>
    <row r="926" spans="1:50" s="55" customFormat="1" ht="15" customHeight="1" x14ac:dyDescent="0.25">
      <c r="A926" s="178"/>
      <c r="B926" s="672"/>
      <c r="C926" s="618"/>
      <c r="D926" s="64" t="str">
        <f>Translate!E529</f>
        <v>add</v>
      </c>
      <c r="E926" s="55" t="str">
        <f xml:space="preserve"> Translate!E$357</f>
        <v>Uplift on negative cumulative cashflows</v>
      </c>
      <c r="F926" s="64"/>
      <c r="G926" s="55" t="str">
        <f xml:space="preserve"> Translate!E$603</f>
        <v>US$ mn</v>
      </c>
      <c r="I926" s="55">
        <f ca="1" xml:space="preserve"> SUM(K926:AX926)</f>
        <v>0</v>
      </c>
      <c r="K926" s="55">
        <f t="shared" ref="K926:AX926" si="315" xml:space="preserve"> K925 * $F923 * (K925 &lt; 0)</f>
        <v>0</v>
      </c>
      <c r="L926" s="55">
        <f t="shared" ca="1" si="315"/>
        <v>0</v>
      </c>
      <c r="M926" s="55">
        <f t="shared" ca="1" si="315"/>
        <v>0</v>
      </c>
      <c r="N926" s="55">
        <f t="shared" ca="1" si="315"/>
        <v>0</v>
      </c>
      <c r="O926" s="55">
        <f t="shared" ca="1" si="315"/>
        <v>0</v>
      </c>
      <c r="P926" s="55">
        <f t="shared" ca="1" si="315"/>
        <v>0</v>
      </c>
      <c r="Q926" s="55">
        <f t="shared" ca="1" si="315"/>
        <v>0</v>
      </c>
      <c r="R926" s="55">
        <f t="shared" ca="1" si="315"/>
        <v>0</v>
      </c>
      <c r="S926" s="55">
        <f t="shared" ca="1" si="315"/>
        <v>0</v>
      </c>
      <c r="T926" s="55">
        <f t="shared" ca="1" si="315"/>
        <v>0</v>
      </c>
      <c r="U926" s="55">
        <f t="shared" ca="1" si="315"/>
        <v>0</v>
      </c>
      <c r="V926" s="55">
        <f t="shared" ca="1" si="315"/>
        <v>0</v>
      </c>
      <c r="W926" s="55">
        <f t="shared" ca="1" si="315"/>
        <v>0</v>
      </c>
      <c r="X926" s="55">
        <f t="shared" ca="1" si="315"/>
        <v>0</v>
      </c>
      <c r="Y926" s="55">
        <f t="shared" ca="1" si="315"/>
        <v>0</v>
      </c>
      <c r="Z926" s="55">
        <f t="shared" ca="1" si="315"/>
        <v>0</v>
      </c>
      <c r="AA926" s="55">
        <f t="shared" ca="1" si="315"/>
        <v>0</v>
      </c>
      <c r="AB926" s="55">
        <f t="shared" ca="1" si="315"/>
        <v>0</v>
      </c>
      <c r="AC926" s="55">
        <f t="shared" ca="1" si="315"/>
        <v>0</v>
      </c>
      <c r="AD926" s="55">
        <f t="shared" ca="1" si="315"/>
        <v>0</v>
      </c>
      <c r="AE926" s="55">
        <f t="shared" ca="1" si="315"/>
        <v>0</v>
      </c>
      <c r="AF926" s="55">
        <f t="shared" ca="1" si="315"/>
        <v>0</v>
      </c>
      <c r="AG926" s="55">
        <f t="shared" ca="1" si="315"/>
        <v>0</v>
      </c>
      <c r="AH926" s="55">
        <f t="shared" ca="1" si="315"/>
        <v>0</v>
      </c>
      <c r="AI926" s="55">
        <f t="shared" ca="1" si="315"/>
        <v>0</v>
      </c>
      <c r="AJ926" s="55">
        <f t="shared" ca="1" si="315"/>
        <v>0</v>
      </c>
      <c r="AK926" s="55">
        <f t="shared" ca="1" si="315"/>
        <v>0</v>
      </c>
      <c r="AL926" s="55">
        <f t="shared" ca="1" si="315"/>
        <v>0</v>
      </c>
      <c r="AM926" s="55">
        <f t="shared" ca="1" si="315"/>
        <v>0</v>
      </c>
      <c r="AN926" s="55">
        <f t="shared" ca="1" si="315"/>
        <v>0</v>
      </c>
      <c r="AO926" s="55">
        <f t="shared" ca="1" si="315"/>
        <v>0</v>
      </c>
      <c r="AP926" s="55">
        <f t="shared" ca="1" si="315"/>
        <v>0</v>
      </c>
      <c r="AQ926" s="55">
        <f t="shared" ca="1" si="315"/>
        <v>0</v>
      </c>
      <c r="AR926" s="55">
        <f t="shared" ca="1" si="315"/>
        <v>0</v>
      </c>
      <c r="AS926" s="55">
        <f t="shared" ca="1" si="315"/>
        <v>0</v>
      </c>
      <c r="AT926" s="55">
        <f t="shared" ca="1" si="315"/>
        <v>0</v>
      </c>
      <c r="AU926" s="55">
        <f t="shared" ca="1" si="315"/>
        <v>0</v>
      </c>
      <c r="AV926" s="55">
        <f t="shared" ca="1" si="315"/>
        <v>0</v>
      </c>
      <c r="AW926" s="55">
        <f t="shared" ca="1" si="315"/>
        <v>0</v>
      </c>
      <c r="AX926" s="55">
        <f t="shared" ca="1" si="315"/>
        <v>0</v>
      </c>
    </row>
    <row r="927" spans="1:50" s="55" customFormat="1" ht="15" customHeight="1" x14ac:dyDescent="0.25">
      <c r="A927" s="178"/>
      <c r="B927" s="672"/>
      <c r="C927" s="618"/>
      <c r="D927" s="64" t="str">
        <f>Translate!E529</f>
        <v>add</v>
      </c>
      <c r="E927" s="55" t="str">
        <f t="shared" ref="E927:AX927" si="316" xml:space="preserve"> E$902</f>
        <v>IOC net cashflow before tax for RRT (via cashflows)</v>
      </c>
      <c r="F927" s="64">
        <f t="shared" si="316"/>
        <v>0</v>
      </c>
      <c r="G927" s="55" t="str">
        <f t="shared" si="316"/>
        <v>US$ mn</v>
      </c>
      <c r="H927" s="55">
        <f t="shared" si="316"/>
        <v>0</v>
      </c>
      <c r="I927" s="55">
        <f t="shared" ca="1" si="316"/>
        <v>21153.413942062652</v>
      </c>
      <c r="J927" s="55">
        <f t="shared" si="316"/>
        <v>0</v>
      </c>
      <c r="K927" s="55">
        <f t="shared" ca="1" si="316"/>
        <v>-420</v>
      </c>
      <c r="L927" s="55">
        <f t="shared" ca="1" si="316"/>
        <v>-40.799999999999997</v>
      </c>
      <c r="M927" s="55">
        <f t="shared" ca="1" si="316"/>
        <v>-249.696</v>
      </c>
      <c r="N927" s="55">
        <f t="shared" ca="1" si="316"/>
        <v>-1018.7596799999999</v>
      </c>
      <c r="O927" s="55">
        <f t="shared" ca="1" si="316"/>
        <v>-953.17415299595041</v>
      </c>
      <c r="P927" s="55">
        <f t="shared" ca="1" si="316"/>
        <v>-977.56089107327966</v>
      </c>
      <c r="Q927" s="55">
        <f t="shared" ca="1" si="316"/>
        <v>889.85596624634923</v>
      </c>
      <c r="R927" s="55">
        <f t="shared" ca="1" si="316"/>
        <v>1506.0740234689017</v>
      </c>
      <c r="S927" s="55">
        <f t="shared" ca="1" si="316"/>
        <v>1724.7653956186423</v>
      </c>
      <c r="T927" s="55">
        <f t="shared" ca="1" si="316"/>
        <v>1760.3650942510149</v>
      </c>
      <c r="U927" s="55">
        <f t="shared" ca="1" si="316"/>
        <v>1796.6767868560353</v>
      </c>
      <c r="V927" s="55">
        <f t="shared" ca="1" si="316"/>
        <v>1833.7147133131562</v>
      </c>
      <c r="W927" s="55">
        <f t="shared" ca="1" si="316"/>
        <v>1820.4986199271107</v>
      </c>
      <c r="X927" s="55">
        <f t="shared" ca="1" si="316"/>
        <v>1859.0328786130985</v>
      </c>
      <c r="Y927" s="55">
        <f t="shared" ca="1" si="316"/>
        <v>1898.3378224728069</v>
      </c>
      <c r="Z927" s="55">
        <f t="shared" ca="1" si="316"/>
        <v>1938.4288652097093</v>
      </c>
      <c r="AA927" s="55">
        <f t="shared" ca="1" si="316"/>
        <v>1487.1432445797311</v>
      </c>
      <c r="AB927" s="55">
        <f t="shared" ca="1" si="316"/>
        <v>1392.0410159647467</v>
      </c>
      <c r="AC927" s="55">
        <f t="shared" ca="1" si="316"/>
        <v>1211.0696915000917</v>
      </c>
      <c r="AD927" s="55">
        <f t="shared" ca="1" si="316"/>
        <v>737.54769767039795</v>
      </c>
      <c r="AE927" s="55">
        <f t="shared" ca="1" si="316"/>
        <v>547.86548947917822</v>
      </c>
      <c r="AF927" s="55">
        <f t="shared" ca="1" si="316"/>
        <v>623.79288921827128</v>
      </c>
      <c r="AG927" s="55">
        <f t="shared" ca="1" si="316"/>
        <v>494.28829386143184</v>
      </c>
      <c r="AH927" s="55">
        <f t="shared" ca="1" si="316"/>
        <v>382.06146997831809</v>
      </c>
      <c r="AI927" s="55">
        <f t="shared" ca="1" si="316"/>
        <v>290.16997225280164</v>
      </c>
      <c r="AJ927" s="55">
        <f t="shared" ca="1" si="316"/>
        <v>215.12874069683727</v>
      </c>
      <c r="AK927" s="55">
        <f t="shared" ca="1" si="316"/>
        <v>154.05834068715166</v>
      </c>
      <c r="AL927" s="55">
        <f t="shared" ca="1" si="316"/>
        <v>104.58000826472744</v>
      </c>
      <c r="AM927" s="55">
        <f t="shared" ca="1" si="316"/>
        <v>83.043821673245503</v>
      </c>
      <c r="AN927" s="55">
        <f t="shared" ca="1" si="316"/>
        <v>44.093859186665185</v>
      </c>
      <c r="AO927" s="55">
        <f t="shared" ca="1" si="316"/>
        <v>18.769965141454975</v>
      </c>
      <c r="AP927" s="55">
        <f t="shared" ca="1" si="316"/>
        <v>0</v>
      </c>
      <c r="AQ927" s="55">
        <f t="shared" ca="1" si="316"/>
        <v>0</v>
      </c>
      <c r="AR927" s="55">
        <f t="shared" ca="1" si="316"/>
        <v>0</v>
      </c>
      <c r="AS927" s="55">
        <f t="shared" ca="1" si="316"/>
        <v>0</v>
      </c>
      <c r="AT927" s="55">
        <f t="shared" ca="1" si="316"/>
        <v>0</v>
      </c>
      <c r="AU927" s="55">
        <f t="shared" ca="1" si="316"/>
        <v>0</v>
      </c>
      <c r="AV927" s="55">
        <f t="shared" ca="1" si="316"/>
        <v>0</v>
      </c>
      <c r="AW927" s="55">
        <f t="shared" ca="1" si="316"/>
        <v>0</v>
      </c>
      <c r="AX927" s="55">
        <f t="shared" ca="1" si="316"/>
        <v>0</v>
      </c>
    </row>
    <row r="928" spans="1:50" s="55" customFormat="1" ht="15" customHeight="1" x14ac:dyDescent="0.25">
      <c r="A928" s="178"/>
      <c r="B928" s="672"/>
      <c r="C928" s="618"/>
      <c r="D928" s="64" t="str">
        <f>Translate!E530</f>
        <v>less</v>
      </c>
      <c r="E928" s="55" t="str">
        <f t="shared" ref="E928:AX928" si="317" xml:space="preserve"> E$920</f>
        <v>CIT paid: IOC: deducted for RRT</v>
      </c>
      <c r="F928" s="64">
        <f t="shared" si="317"/>
        <v>0</v>
      </c>
      <c r="G928" s="55" t="str">
        <f t="shared" si="317"/>
        <v>US$ mn</v>
      </c>
      <c r="H928" s="55">
        <f t="shared" si="317"/>
        <v>0</v>
      </c>
      <c r="I928" s="55">
        <f t="shared" ca="1" si="317"/>
        <v>7025.4106949421139</v>
      </c>
      <c r="J928" s="55">
        <f t="shared" si="317"/>
        <v>0</v>
      </c>
      <c r="K928" s="55">
        <f t="shared" ca="1" si="317"/>
        <v>0</v>
      </c>
      <c r="L928" s="55">
        <f t="shared" ca="1" si="317"/>
        <v>0</v>
      </c>
      <c r="M928" s="55">
        <f t="shared" ca="1" si="317"/>
        <v>0</v>
      </c>
      <c r="N928" s="55">
        <f t="shared" ca="1" si="317"/>
        <v>0</v>
      </c>
      <c r="O928" s="55">
        <f t="shared" ca="1" si="317"/>
        <v>0</v>
      </c>
      <c r="P928" s="55">
        <f t="shared" ca="1" si="317"/>
        <v>0</v>
      </c>
      <c r="Q928" s="55">
        <f t="shared" ca="1" si="317"/>
        <v>0</v>
      </c>
      <c r="R928" s="55">
        <f t="shared" ca="1" si="317"/>
        <v>131.54218410837188</v>
      </c>
      <c r="S928" s="55">
        <f t="shared" ca="1" si="317"/>
        <v>229.41842089981012</v>
      </c>
      <c r="T928" s="55">
        <f t="shared" ca="1" si="317"/>
        <v>399.25097818260241</v>
      </c>
      <c r="U928" s="55">
        <f t="shared" ca="1" si="317"/>
        <v>532.0129480534423</v>
      </c>
      <c r="V928" s="55">
        <f t="shared" ca="1" si="317"/>
        <v>604.25294649718239</v>
      </c>
      <c r="W928" s="55">
        <f t="shared" ca="1" si="317"/>
        <v>618.1652988313233</v>
      </c>
      <c r="X928" s="55">
        <f t="shared" ca="1" si="317"/>
        <v>637.3263336781032</v>
      </c>
      <c r="Y928" s="55">
        <f t="shared" ca="1" si="317"/>
        <v>656.75847387608655</v>
      </c>
      <c r="Z928" s="55">
        <f t="shared" ca="1" si="317"/>
        <v>676.46714153229732</v>
      </c>
      <c r="AA928" s="55">
        <f t="shared" ca="1" si="317"/>
        <v>524.1953977183332</v>
      </c>
      <c r="AB928" s="55">
        <f t="shared" ca="1" si="317"/>
        <v>412.57000347062149</v>
      </c>
      <c r="AC928" s="55">
        <f t="shared" ca="1" si="317"/>
        <v>367.3405327343454</v>
      </c>
      <c r="AD928" s="55">
        <f t="shared" ca="1" si="317"/>
        <v>285.3456781060782</v>
      </c>
      <c r="AE928" s="55">
        <f t="shared" ca="1" si="317"/>
        <v>222.78807965396268</v>
      </c>
      <c r="AF928" s="55">
        <f t="shared" ca="1" si="317"/>
        <v>185.3686152591259</v>
      </c>
      <c r="AG928" s="55">
        <f t="shared" ca="1" si="317"/>
        <v>140.04200688423217</v>
      </c>
      <c r="AH928" s="55">
        <f t="shared" ca="1" si="317"/>
        <v>100.76261852514234</v>
      </c>
      <c r="AI928" s="55">
        <f t="shared" ca="1" si="317"/>
        <v>84.91687945352291</v>
      </c>
      <c r="AJ928" s="55">
        <f t="shared" ca="1" si="317"/>
        <v>75.295059243892965</v>
      </c>
      <c r="AK928" s="55">
        <f t="shared" ca="1" si="317"/>
        <v>53.920419240502994</v>
      </c>
      <c r="AL928" s="55">
        <f t="shared" ca="1" si="317"/>
        <v>36.603002892654523</v>
      </c>
      <c r="AM928" s="55">
        <f t="shared" ca="1" si="317"/>
        <v>29.065337585635856</v>
      </c>
      <c r="AN928" s="55">
        <f t="shared" ca="1" si="317"/>
        <v>15.432850715332744</v>
      </c>
      <c r="AO928" s="55">
        <f t="shared" ca="1" si="317"/>
        <v>6.5694877995107035</v>
      </c>
      <c r="AP928" s="55">
        <f t="shared" ca="1" si="317"/>
        <v>0</v>
      </c>
      <c r="AQ928" s="55">
        <f t="shared" ca="1" si="317"/>
        <v>0</v>
      </c>
      <c r="AR928" s="55">
        <f t="shared" ca="1" si="317"/>
        <v>0</v>
      </c>
      <c r="AS928" s="55">
        <f t="shared" ca="1" si="317"/>
        <v>0</v>
      </c>
      <c r="AT928" s="55">
        <f t="shared" ca="1" si="317"/>
        <v>0</v>
      </c>
      <c r="AU928" s="55">
        <f t="shared" ca="1" si="317"/>
        <v>0</v>
      </c>
      <c r="AV928" s="55">
        <f t="shared" ca="1" si="317"/>
        <v>0</v>
      </c>
      <c r="AW928" s="55">
        <f t="shared" ca="1" si="317"/>
        <v>0</v>
      </c>
      <c r="AX928" s="55">
        <f t="shared" ca="1" si="317"/>
        <v>0</v>
      </c>
    </row>
    <row r="929" spans="1:50" s="228" customFormat="1" ht="15" customHeight="1" x14ac:dyDescent="0.25">
      <c r="A929" s="279"/>
      <c r="B929" s="673"/>
      <c r="C929" s="619"/>
      <c r="D929" s="229"/>
      <c r="E929" s="228" t="str">
        <f xml:space="preserve"> Translate!E$356 &amp; ": " &amp; Translate!E$343</f>
        <v>IOC RRT cumulative cashflow: END</v>
      </c>
      <c r="F929" s="229"/>
      <c r="G929" s="228" t="str">
        <f xml:space="preserve"> Translate!E$603</f>
        <v>US$ mn</v>
      </c>
      <c r="J929" s="230"/>
      <c r="K929" s="228">
        <f t="shared" ref="K929:AX929" ca="1" si="318" xml:space="preserve"> K925 + K926 + K927 - K928</f>
        <v>-420</v>
      </c>
      <c r="L929" s="228">
        <f t="shared" ca="1" si="318"/>
        <v>-460.8</v>
      </c>
      <c r="M929" s="228">
        <f t="shared" ca="1" si="318"/>
        <v>-710.49599999999998</v>
      </c>
      <c r="N929" s="228">
        <f t="shared" ca="1" si="318"/>
        <v>-1729.2556799999998</v>
      </c>
      <c r="O929" s="228">
        <f t="shared" ca="1" si="318"/>
        <v>-2682.4298329959502</v>
      </c>
      <c r="P929" s="228">
        <f t="shared" ca="1" si="318"/>
        <v>-3659.9907240692301</v>
      </c>
      <c r="Q929" s="228">
        <f t="shared" ca="1" si="318"/>
        <v>-2770.1347578228806</v>
      </c>
      <c r="R929" s="228">
        <f t="shared" ca="1" si="318"/>
        <v>-1395.6029184623508</v>
      </c>
      <c r="S929" s="228">
        <f t="shared" ca="1" si="318"/>
        <v>99.7440562564814</v>
      </c>
      <c r="T929" s="228">
        <f t="shared" ca="1" si="318"/>
        <v>1361.1141160684124</v>
      </c>
      <c r="U929" s="228">
        <f t="shared" ca="1" si="318"/>
        <v>1264.6638388025931</v>
      </c>
      <c r="V929" s="228">
        <f t="shared" ca="1" si="318"/>
        <v>1229.4617668159738</v>
      </c>
      <c r="W929" s="228">
        <f t="shared" ca="1" si="318"/>
        <v>1202.3333210957874</v>
      </c>
      <c r="X929" s="228">
        <f t="shared" ca="1" si="318"/>
        <v>1221.7065449349952</v>
      </c>
      <c r="Y929" s="228">
        <f t="shared" ca="1" si="318"/>
        <v>1241.5793485967204</v>
      </c>
      <c r="Z929" s="228">
        <f t="shared" ca="1" si="318"/>
        <v>1261.961723677412</v>
      </c>
      <c r="AA929" s="228">
        <f t="shared" ca="1" si="318"/>
        <v>962.94784686139792</v>
      </c>
      <c r="AB929" s="228">
        <f t="shared" ca="1" si="318"/>
        <v>979.47101249412526</v>
      </c>
      <c r="AC929" s="228">
        <f t="shared" ca="1" si="318"/>
        <v>843.72915876574632</v>
      </c>
      <c r="AD929" s="228">
        <f t="shared" ca="1" si="318"/>
        <v>452.20201956431976</v>
      </c>
      <c r="AE929" s="228">
        <f t="shared" ca="1" si="318"/>
        <v>325.07740982521557</v>
      </c>
      <c r="AF929" s="228">
        <f t="shared" ca="1" si="318"/>
        <v>438.42427395914535</v>
      </c>
      <c r="AG929" s="228">
        <f t="shared" ca="1" si="318"/>
        <v>354.2462869771997</v>
      </c>
      <c r="AH929" s="228">
        <f t="shared" ca="1" si="318"/>
        <v>281.29885145317576</v>
      </c>
      <c r="AI929" s="228">
        <f t="shared" ca="1" si="318"/>
        <v>205.25309279927873</v>
      </c>
      <c r="AJ929" s="228">
        <f t="shared" ca="1" si="318"/>
        <v>139.83368145294429</v>
      </c>
      <c r="AK929" s="228">
        <f t="shared" ca="1" si="318"/>
        <v>100.13792144664866</v>
      </c>
      <c r="AL929" s="228">
        <f t="shared" ca="1" si="318"/>
        <v>67.977005372072909</v>
      </c>
      <c r="AM929" s="228">
        <f t="shared" ca="1" si="318"/>
        <v>53.978484087609644</v>
      </c>
      <c r="AN929" s="228">
        <f t="shared" ca="1" si="318"/>
        <v>28.66100847133244</v>
      </c>
      <c r="AO929" s="228">
        <f t="shared" ca="1" si="318"/>
        <v>12.200477341944271</v>
      </c>
      <c r="AP929" s="228">
        <f t="shared" ca="1" si="318"/>
        <v>0</v>
      </c>
      <c r="AQ929" s="228">
        <f t="shared" ca="1" si="318"/>
        <v>0</v>
      </c>
      <c r="AR929" s="228">
        <f t="shared" ca="1" si="318"/>
        <v>0</v>
      </c>
      <c r="AS929" s="228">
        <f t="shared" ca="1" si="318"/>
        <v>0</v>
      </c>
      <c r="AT929" s="228">
        <f t="shared" ca="1" si="318"/>
        <v>0</v>
      </c>
      <c r="AU929" s="228">
        <f t="shared" ca="1" si="318"/>
        <v>0</v>
      </c>
      <c r="AV929" s="228">
        <f t="shared" ca="1" si="318"/>
        <v>0</v>
      </c>
      <c r="AW929" s="228">
        <f t="shared" ca="1" si="318"/>
        <v>0</v>
      </c>
      <c r="AX929" s="228">
        <f t="shared" ca="1" si="318"/>
        <v>0</v>
      </c>
    </row>
    <row r="930" spans="1:50" s="48" customFormat="1" ht="15" customHeight="1" x14ac:dyDescent="0.25">
      <c r="A930" s="86"/>
      <c r="B930" s="675"/>
      <c r="C930" s="615"/>
      <c r="D930" s="147"/>
      <c r="F930" s="147"/>
    </row>
    <row r="931" spans="1:50" s="48" customFormat="1" ht="15" customHeight="1" x14ac:dyDescent="0.25">
      <c r="A931" s="86"/>
      <c r="B931" s="675"/>
      <c r="C931" s="615"/>
      <c r="D931" s="147"/>
      <c r="E931" s="401" t="str">
        <f xml:space="preserve"> FiscalModel!E$72</f>
        <v>RRT tax rate</v>
      </c>
      <c r="F931" s="564">
        <f xml:space="preserve"> FiscalModel!F$72</f>
        <v>0</v>
      </c>
      <c r="G931" s="401" t="str">
        <f xml:space="preserve"> FiscalModel!G$72</f>
        <v>%</v>
      </c>
    </row>
    <row r="932" spans="1:50" s="48" customFormat="1" ht="15" customHeight="1" x14ac:dyDescent="0.25">
      <c r="A932" s="86"/>
      <c r="B932" s="675"/>
      <c r="C932" s="615"/>
      <c r="D932" s="147"/>
      <c r="E932" s="48" t="str">
        <f xml:space="preserve"> Translate!E$358</f>
        <v>Resource rent tax: IOC</v>
      </c>
      <c r="F932" s="147"/>
      <c r="G932" s="48" t="str">
        <f xml:space="preserve"> Translate!E$603</f>
        <v>US$ mn</v>
      </c>
      <c r="I932" s="48">
        <f ca="1" xml:space="preserve"> SUM(K932:AX932)</f>
        <v>0</v>
      </c>
      <c r="K932" s="48">
        <f t="shared" ref="K932:AX932" ca="1" si="319" xml:space="preserve"> K929 * $F931 * (K929 &gt; 0)</f>
        <v>0</v>
      </c>
      <c r="L932" s="48">
        <f t="shared" ca="1" si="319"/>
        <v>0</v>
      </c>
      <c r="M932" s="48">
        <f t="shared" ca="1" si="319"/>
        <v>0</v>
      </c>
      <c r="N932" s="48">
        <f t="shared" ca="1" si="319"/>
        <v>0</v>
      </c>
      <c r="O932" s="48">
        <f t="shared" ca="1" si="319"/>
        <v>0</v>
      </c>
      <c r="P932" s="48">
        <f t="shared" ca="1" si="319"/>
        <v>0</v>
      </c>
      <c r="Q932" s="48">
        <f t="shared" ca="1" si="319"/>
        <v>0</v>
      </c>
      <c r="R932" s="48">
        <f t="shared" ca="1" si="319"/>
        <v>0</v>
      </c>
      <c r="S932" s="48">
        <f t="shared" ca="1" si="319"/>
        <v>0</v>
      </c>
      <c r="T932" s="48">
        <f t="shared" ca="1" si="319"/>
        <v>0</v>
      </c>
      <c r="U932" s="48">
        <f t="shared" ca="1" si="319"/>
        <v>0</v>
      </c>
      <c r="V932" s="48">
        <f t="shared" ca="1" si="319"/>
        <v>0</v>
      </c>
      <c r="W932" s="48">
        <f t="shared" ca="1" si="319"/>
        <v>0</v>
      </c>
      <c r="X932" s="48">
        <f t="shared" ca="1" si="319"/>
        <v>0</v>
      </c>
      <c r="Y932" s="48">
        <f t="shared" ca="1" si="319"/>
        <v>0</v>
      </c>
      <c r="Z932" s="48">
        <f t="shared" ca="1" si="319"/>
        <v>0</v>
      </c>
      <c r="AA932" s="48">
        <f t="shared" ca="1" si="319"/>
        <v>0</v>
      </c>
      <c r="AB932" s="48">
        <f t="shared" ca="1" si="319"/>
        <v>0</v>
      </c>
      <c r="AC932" s="48">
        <f t="shared" ca="1" si="319"/>
        <v>0</v>
      </c>
      <c r="AD932" s="48">
        <f t="shared" ca="1" si="319"/>
        <v>0</v>
      </c>
      <c r="AE932" s="48">
        <f t="shared" ca="1" si="319"/>
        <v>0</v>
      </c>
      <c r="AF932" s="48">
        <f t="shared" ca="1" si="319"/>
        <v>0</v>
      </c>
      <c r="AG932" s="48">
        <f t="shared" ca="1" si="319"/>
        <v>0</v>
      </c>
      <c r="AH932" s="48">
        <f t="shared" ca="1" si="319"/>
        <v>0</v>
      </c>
      <c r="AI932" s="48">
        <f t="shared" ca="1" si="319"/>
        <v>0</v>
      </c>
      <c r="AJ932" s="48">
        <f t="shared" ca="1" si="319"/>
        <v>0</v>
      </c>
      <c r="AK932" s="48">
        <f t="shared" ca="1" si="319"/>
        <v>0</v>
      </c>
      <c r="AL932" s="48">
        <f t="shared" ca="1" si="319"/>
        <v>0</v>
      </c>
      <c r="AM932" s="48">
        <f t="shared" ca="1" si="319"/>
        <v>0</v>
      </c>
      <c r="AN932" s="48">
        <f t="shared" ca="1" si="319"/>
        <v>0</v>
      </c>
      <c r="AO932" s="48">
        <f t="shared" ca="1" si="319"/>
        <v>0</v>
      </c>
      <c r="AP932" s="48">
        <f t="shared" ca="1" si="319"/>
        <v>0</v>
      </c>
      <c r="AQ932" s="48">
        <f t="shared" ca="1" si="319"/>
        <v>0</v>
      </c>
      <c r="AR932" s="48">
        <f t="shared" ca="1" si="319"/>
        <v>0</v>
      </c>
      <c r="AS932" s="48">
        <f t="shared" ca="1" si="319"/>
        <v>0</v>
      </c>
      <c r="AT932" s="48">
        <f t="shared" ca="1" si="319"/>
        <v>0</v>
      </c>
      <c r="AU932" s="48">
        <f t="shared" ca="1" si="319"/>
        <v>0</v>
      </c>
      <c r="AV932" s="48">
        <f t="shared" ca="1" si="319"/>
        <v>0</v>
      </c>
      <c r="AW932" s="48">
        <f t="shared" ca="1" si="319"/>
        <v>0</v>
      </c>
      <c r="AX932" s="48">
        <f t="shared" ca="1" si="319"/>
        <v>0</v>
      </c>
    </row>
    <row r="933" spans="1:50" s="48" customFormat="1" ht="15" customHeight="1" x14ac:dyDescent="0.25">
      <c r="A933" s="86"/>
      <c r="B933" s="675"/>
      <c r="C933" s="615"/>
      <c r="D933" s="147"/>
      <c r="F933" s="147"/>
    </row>
    <row r="934" spans="1:50" s="48" customFormat="1" ht="15" customHeight="1" x14ac:dyDescent="0.25">
      <c r="A934" s="86"/>
      <c r="B934" s="675" t="str">
        <f>Translate!$E$458</f>
        <v>RRT deductible for CIT</v>
      </c>
      <c r="C934" s="615"/>
      <c r="D934" s="147"/>
      <c r="F934" s="147"/>
    </row>
    <row r="935" spans="1:50" ht="15" customHeight="1" x14ac:dyDescent="0.25">
      <c r="A935" s="86"/>
      <c r="E935" s="532" t="str">
        <f xml:space="preserve"> FiscalModel!E$71</f>
        <v>CIT deductible for RRT</v>
      </c>
      <c r="F935" s="404">
        <f xml:space="preserve"> FiscalModel!F$71</f>
        <v>0</v>
      </c>
      <c r="G935" s="532" t="str">
        <f xml:space="preserve"> FiscalModel!G$71</f>
        <v>Option</v>
      </c>
    </row>
    <row r="936" spans="1:50" ht="15" customHeight="1" x14ac:dyDescent="0.25">
      <c r="B936" s="675"/>
      <c r="C936" s="615"/>
      <c r="D936" s="48"/>
      <c r="E936" s="222" t="str">
        <f>Inputs!E$87</f>
        <v>Label: yes</v>
      </c>
      <c r="F936" s="533" t="str">
        <f>Inputs!F$87</f>
        <v>yes</v>
      </c>
      <c r="G936" s="222" t="str">
        <f>Inputs!G$87</f>
        <v>Label</v>
      </c>
      <c r="H936" s="48"/>
      <c r="I936" s="48"/>
    </row>
    <row r="937" spans="1:50" s="48" customFormat="1" ht="15" customHeight="1" x14ac:dyDescent="0.25">
      <c r="A937" s="86"/>
      <c r="B937" s="675"/>
      <c r="C937" s="615"/>
      <c r="D937" s="147"/>
      <c r="E937" s="40" t="str">
        <f xml:space="preserve"> Inputs!E$88</f>
        <v>Label: no</v>
      </c>
      <c r="F937" s="283" t="str">
        <f xml:space="preserve"> Inputs!F$88</f>
        <v>no</v>
      </c>
      <c r="G937" s="40" t="str">
        <f xml:space="preserve"> Inputs!G$88</f>
        <v>Label</v>
      </c>
    </row>
    <row r="938" spans="1:50" ht="15" customHeight="1" x14ac:dyDescent="0.25">
      <c r="A938" s="86"/>
      <c r="E938" s="3" t="str">
        <f xml:space="preserve"> E932 &amp; " " &amp; Translate!E543</f>
        <v>Resource rent tax: IOC deductible for CIT</v>
      </c>
      <c r="G938" s="3" t="str">
        <f>G932</f>
        <v>US$ mn</v>
      </c>
      <c r="I938" s="3">
        <f ca="1" xml:space="preserve"> SUM(K938:AX938)</f>
        <v>0</v>
      </c>
      <c r="J938" s="507"/>
      <c r="K938" s="3">
        <f t="shared" ref="K938:AX938" ca="1" si="320" xml:space="preserve"> ($F935 = $F937) * K932</f>
        <v>0</v>
      </c>
      <c r="L938" s="3">
        <f t="shared" ca="1" si="320"/>
        <v>0</v>
      </c>
      <c r="M938" s="3">
        <f t="shared" ca="1" si="320"/>
        <v>0</v>
      </c>
      <c r="N938" s="3">
        <f t="shared" ca="1" si="320"/>
        <v>0</v>
      </c>
      <c r="O938" s="3">
        <f t="shared" ca="1" si="320"/>
        <v>0</v>
      </c>
      <c r="P938" s="3">
        <f t="shared" ca="1" si="320"/>
        <v>0</v>
      </c>
      <c r="Q938" s="3">
        <f t="shared" ca="1" si="320"/>
        <v>0</v>
      </c>
      <c r="R938" s="3">
        <f t="shared" ca="1" si="320"/>
        <v>0</v>
      </c>
      <c r="S938" s="3">
        <f t="shared" ca="1" si="320"/>
        <v>0</v>
      </c>
      <c r="T938" s="3">
        <f t="shared" ca="1" si="320"/>
        <v>0</v>
      </c>
      <c r="U938" s="3">
        <f t="shared" ca="1" si="320"/>
        <v>0</v>
      </c>
      <c r="V938" s="3">
        <f t="shared" ca="1" si="320"/>
        <v>0</v>
      </c>
      <c r="W938" s="3">
        <f t="shared" ca="1" si="320"/>
        <v>0</v>
      </c>
      <c r="X938" s="3">
        <f t="shared" ca="1" si="320"/>
        <v>0</v>
      </c>
      <c r="Y938" s="3">
        <f t="shared" ca="1" si="320"/>
        <v>0</v>
      </c>
      <c r="Z938" s="3">
        <f t="shared" ca="1" si="320"/>
        <v>0</v>
      </c>
      <c r="AA938" s="3">
        <f t="shared" ca="1" si="320"/>
        <v>0</v>
      </c>
      <c r="AB938" s="3">
        <f t="shared" ca="1" si="320"/>
        <v>0</v>
      </c>
      <c r="AC938" s="3">
        <f t="shared" ca="1" si="320"/>
        <v>0</v>
      </c>
      <c r="AD938" s="3">
        <f t="shared" ca="1" si="320"/>
        <v>0</v>
      </c>
      <c r="AE938" s="3">
        <f t="shared" ca="1" si="320"/>
        <v>0</v>
      </c>
      <c r="AF938" s="3">
        <f t="shared" ca="1" si="320"/>
        <v>0</v>
      </c>
      <c r="AG938" s="3">
        <f t="shared" ca="1" si="320"/>
        <v>0</v>
      </c>
      <c r="AH938" s="3">
        <f t="shared" ca="1" si="320"/>
        <v>0</v>
      </c>
      <c r="AI938" s="3">
        <f t="shared" ca="1" si="320"/>
        <v>0</v>
      </c>
      <c r="AJ938" s="3">
        <f t="shared" ca="1" si="320"/>
        <v>0</v>
      </c>
      <c r="AK938" s="3">
        <f t="shared" ca="1" si="320"/>
        <v>0</v>
      </c>
      <c r="AL938" s="3">
        <f t="shared" ca="1" si="320"/>
        <v>0</v>
      </c>
      <c r="AM938" s="3">
        <f t="shared" ca="1" si="320"/>
        <v>0</v>
      </c>
      <c r="AN938" s="3">
        <f t="shared" ca="1" si="320"/>
        <v>0</v>
      </c>
      <c r="AO938" s="3">
        <f t="shared" ca="1" si="320"/>
        <v>0</v>
      </c>
      <c r="AP938" s="3">
        <f t="shared" ca="1" si="320"/>
        <v>0</v>
      </c>
      <c r="AQ938" s="3">
        <f t="shared" ca="1" si="320"/>
        <v>0</v>
      </c>
      <c r="AR938" s="3">
        <f t="shared" ca="1" si="320"/>
        <v>0</v>
      </c>
      <c r="AS938" s="3">
        <f t="shared" ca="1" si="320"/>
        <v>0</v>
      </c>
      <c r="AT938" s="3">
        <f t="shared" ca="1" si="320"/>
        <v>0</v>
      </c>
      <c r="AU938" s="3">
        <f t="shared" ca="1" si="320"/>
        <v>0</v>
      </c>
      <c r="AV938" s="3">
        <f t="shared" ca="1" si="320"/>
        <v>0</v>
      </c>
      <c r="AW938" s="3">
        <f t="shared" ca="1" si="320"/>
        <v>0</v>
      </c>
      <c r="AX938" s="3">
        <f t="shared" ca="1" si="320"/>
        <v>0</v>
      </c>
    </row>
    <row r="939" spans="1:50" ht="15" customHeight="1" x14ac:dyDescent="0.25">
      <c r="A939" s="86"/>
      <c r="E939" s="3" t="str">
        <f xml:space="preserve"> E938 &amp; " " &amp; Translate!E768</f>
        <v>Resource rent tax: IOC deductible for CIT prior period</v>
      </c>
      <c r="G939" s="3" t="str">
        <f>G938</f>
        <v>US$ mn</v>
      </c>
      <c r="H939" s="3" t="str">
        <f>Translate!E519</f>
        <v>prior period to avoid circular calculations</v>
      </c>
      <c r="I939" s="3">
        <f ca="1" xml:space="preserve"> SUM(K939:AX939)</f>
        <v>0</v>
      </c>
      <c r="K939" s="3">
        <f xml:space="preserve"> J938</f>
        <v>0</v>
      </c>
      <c r="L939" s="3">
        <f t="shared" ref="L939:AX939" ca="1" si="321" xml:space="preserve"> K938</f>
        <v>0</v>
      </c>
      <c r="M939" s="3">
        <f t="shared" ca="1" si="321"/>
        <v>0</v>
      </c>
      <c r="N939" s="3">
        <f t="shared" ca="1" si="321"/>
        <v>0</v>
      </c>
      <c r="O939" s="3">
        <f t="shared" ca="1" si="321"/>
        <v>0</v>
      </c>
      <c r="P939" s="3">
        <f t="shared" ca="1" si="321"/>
        <v>0</v>
      </c>
      <c r="Q939" s="3">
        <f t="shared" ca="1" si="321"/>
        <v>0</v>
      </c>
      <c r="R939" s="3">
        <f t="shared" ca="1" si="321"/>
        <v>0</v>
      </c>
      <c r="S939" s="3">
        <f t="shared" ca="1" si="321"/>
        <v>0</v>
      </c>
      <c r="T939" s="3">
        <f t="shared" ca="1" si="321"/>
        <v>0</v>
      </c>
      <c r="U939" s="3">
        <f t="shared" ca="1" si="321"/>
        <v>0</v>
      </c>
      <c r="V939" s="3">
        <f t="shared" ca="1" si="321"/>
        <v>0</v>
      </c>
      <c r="W939" s="3">
        <f t="shared" ca="1" si="321"/>
        <v>0</v>
      </c>
      <c r="X939" s="3">
        <f t="shared" ca="1" si="321"/>
        <v>0</v>
      </c>
      <c r="Y939" s="3">
        <f t="shared" ca="1" si="321"/>
        <v>0</v>
      </c>
      <c r="Z939" s="3">
        <f t="shared" ca="1" si="321"/>
        <v>0</v>
      </c>
      <c r="AA939" s="3">
        <f t="shared" ca="1" si="321"/>
        <v>0</v>
      </c>
      <c r="AB939" s="3">
        <f t="shared" ca="1" si="321"/>
        <v>0</v>
      </c>
      <c r="AC939" s="3">
        <f t="shared" ca="1" si="321"/>
        <v>0</v>
      </c>
      <c r="AD939" s="3">
        <f t="shared" ca="1" si="321"/>
        <v>0</v>
      </c>
      <c r="AE939" s="3">
        <f t="shared" ca="1" si="321"/>
        <v>0</v>
      </c>
      <c r="AF939" s="3">
        <f t="shared" ca="1" si="321"/>
        <v>0</v>
      </c>
      <c r="AG939" s="3">
        <f t="shared" ca="1" si="321"/>
        <v>0</v>
      </c>
      <c r="AH939" s="3">
        <f t="shared" ca="1" si="321"/>
        <v>0</v>
      </c>
      <c r="AI939" s="3">
        <f t="shared" ca="1" si="321"/>
        <v>0</v>
      </c>
      <c r="AJ939" s="3">
        <f t="shared" ca="1" si="321"/>
        <v>0</v>
      </c>
      <c r="AK939" s="3">
        <f t="shared" ca="1" si="321"/>
        <v>0</v>
      </c>
      <c r="AL939" s="3">
        <f t="shared" ca="1" si="321"/>
        <v>0</v>
      </c>
      <c r="AM939" s="3">
        <f t="shared" ca="1" si="321"/>
        <v>0</v>
      </c>
      <c r="AN939" s="3">
        <f t="shared" ca="1" si="321"/>
        <v>0</v>
      </c>
      <c r="AO939" s="3">
        <f t="shared" ca="1" si="321"/>
        <v>0</v>
      </c>
      <c r="AP939" s="3">
        <f t="shared" ca="1" si="321"/>
        <v>0</v>
      </c>
      <c r="AQ939" s="3">
        <f t="shared" ca="1" si="321"/>
        <v>0</v>
      </c>
      <c r="AR939" s="3">
        <f t="shared" ca="1" si="321"/>
        <v>0</v>
      </c>
      <c r="AS939" s="3">
        <f t="shared" ca="1" si="321"/>
        <v>0</v>
      </c>
      <c r="AT939" s="3">
        <f t="shared" ca="1" si="321"/>
        <v>0</v>
      </c>
      <c r="AU939" s="3">
        <f t="shared" ca="1" si="321"/>
        <v>0</v>
      </c>
      <c r="AV939" s="3">
        <f t="shared" ca="1" si="321"/>
        <v>0</v>
      </c>
      <c r="AW939" s="3">
        <f t="shared" ca="1" si="321"/>
        <v>0</v>
      </c>
      <c r="AX939" s="3">
        <f t="shared" ca="1" si="321"/>
        <v>0</v>
      </c>
    </row>
    <row r="940" spans="1:50" ht="15" customHeight="1" x14ac:dyDescent="0.25">
      <c r="A940" s="86"/>
    </row>
    <row r="941" spans="1:50" ht="15" customHeight="1" x14ac:dyDescent="0.25">
      <c r="A941" s="86"/>
    </row>
    <row r="942" spans="1:50" ht="15" customHeight="1" x14ac:dyDescent="0.25">
      <c r="A942" s="202" t="str">
        <f>Translate!$E$478</f>
        <v>VAT cashflow: simplified approach assuming VAT is creditable</v>
      </c>
      <c r="B942" s="781"/>
      <c r="C942" s="610"/>
      <c r="D942" s="204"/>
      <c r="E942" s="202"/>
      <c r="F942" s="204"/>
      <c r="G942" s="202"/>
      <c r="H942" s="202"/>
      <c r="I942" s="202"/>
      <c r="J942" s="202"/>
      <c r="K942" s="202"/>
      <c r="L942" s="202"/>
      <c r="M942" s="202"/>
      <c r="N942" s="202"/>
      <c r="O942" s="202"/>
      <c r="P942" s="202"/>
      <c r="Q942" s="202"/>
      <c r="R942" s="202"/>
      <c r="S942" s="202"/>
      <c r="T942" s="202"/>
      <c r="U942" s="202"/>
      <c r="V942" s="202"/>
      <c r="W942" s="202"/>
      <c r="X942" s="202"/>
      <c r="Y942" s="202"/>
      <c r="Z942" s="202"/>
      <c r="AA942" s="202"/>
      <c r="AB942" s="202"/>
      <c r="AC942" s="202"/>
      <c r="AD942" s="202"/>
      <c r="AE942" s="202"/>
      <c r="AF942" s="202"/>
      <c r="AG942" s="202"/>
      <c r="AH942" s="202"/>
      <c r="AI942" s="202"/>
      <c r="AJ942" s="202"/>
      <c r="AK942" s="202"/>
      <c r="AL942" s="202"/>
      <c r="AM942" s="202"/>
      <c r="AN942" s="202"/>
      <c r="AO942" s="202"/>
      <c r="AP942" s="202"/>
      <c r="AQ942" s="202"/>
      <c r="AR942" s="202"/>
      <c r="AS942" s="202"/>
      <c r="AT942" s="202"/>
      <c r="AU942" s="202"/>
      <c r="AV942" s="202"/>
      <c r="AW942" s="202"/>
      <c r="AX942" s="202"/>
    </row>
    <row r="943" spans="1:50" ht="15" customHeight="1" x14ac:dyDescent="0.25">
      <c r="A943" s="86"/>
    </row>
    <row r="944" spans="1:50" ht="15" customHeight="1" x14ac:dyDescent="0.25">
      <c r="A944" s="86"/>
      <c r="B944" s="683" t="str">
        <f>Translate!$E$459</f>
        <v>VAT applicable periods</v>
      </c>
    </row>
    <row r="945" spans="1:50" ht="15" customHeight="1" x14ac:dyDescent="0.25">
      <c r="A945" s="86"/>
      <c r="C945" s="620" t="str">
        <f>Translate!$E$508</f>
        <v>Flags from project cashflows</v>
      </c>
    </row>
    <row r="946" spans="1:50" s="741" customFormat="1" ht="15" customHeight="1" x14ac:dyDescent="0.25">
      <c r="A946" s="738"/>
      <c r="B946" s="739"/>
      <c r="C946" s="740"/>
      <c r="E946" s="742" t="str">
        <f xml:space="preserve"> ProjectCashflows!E$34</f>
        <v>Model calendar years</v>
      </c>
      <c r="F946" s="742">
        <f xml:space="preserve"> ProjectCashflows!F$34</f>
        <v>0</v>
      </c>
      <c r="G946" s="742" t="str">
        <f xml:space="preserve"> ProjectCashflows!G$34</f>
        <v>Year</v>
      </c>
      <c r="H946" s="742">
        <f xml:space="preserve"> ProjectCashflows!H$34</f>
        <v>0</v>
      </c>
      <c r="I946" s="742">
        <f xml:space="preserve"> ProjectCashflows!I$34</f>
        <v>0</v>
      </c>
      <c r="J946" s="742">
        <f xml:space="preserve"> ProjectCashflows!J$34</f>
        <v>0</v>
      </c>
      <c r="K946" s="742">
        <f xml:space="preserve"> ProjectCashflows!K$34</f>
        <v>2021</v>
      </c>
      <c r="L946" s="742">
        <f xml:space="preserve"> ProjectCashflows!L$34</f>
        <v>2022</v>
      </c>
      <c r="M946" s="742">
        <f xml:space="preserve"> ProjectCashflows!M$34</f>
        <v>2023</v>
      </c>
      <c r="N946" s="742">
        <f xml:space="preserve"> ProjectCashflows!N$34</f>
        <v>2024</v>
      </c>
      <c r="O946" s="742">
        <f xml:space="preserve"> ProjectCashflows!O$34</f>
        <v>2025</v>
      </c>
      <c r="P946" s="742">
        <f xml:space="preserve"> ProjectCashflows!P$34</f>
        <v>2026</v>
      </c>
      <c r="Q946" s="742">
        <f xml:space="preserve"> ProjectCashflows!Q$34</f>
        <v>2027</v>
      </c>
      <c r="R946" s="742">
        <f xml:space="preserve"> ProjectCashflows!R$34</f>
        <v>2028</v>
      </c>
      <c r="S946" s="742">
        <f xml:space="preserve"> ProjectCashflows!S$34</f>
        <v>2029</v>
      </c>
      <c r="T946" s="742">
        <f xml:space="preserve"> ProjectCashflows!T$34</f>
        <v>2030</v>
      </c>
      <c r="U946" s="742">
        <f xml:space="preserve"> ProjectCashflows!U$34</f>
        <v>2031</v>
      </c>
      <c r="V946" s="742">
        <f xml:space="preserve"> ProjectCashflows!V$34</f>
        <v>2032</v>
      </c>
      <c r="W946" s="742">
        <f xml:space="preserve"> ProjectCashflows!W$34</f>
        <v>2033</v>
      </c>
      <c r="X946" s="742">
        <f xml:space="preserve"> ProjectCashflows!X$34</f>
        <v>2034</v>
      </c>
      <c r="Y946" s="742">
        <f xml:space="preserve"> ProjectCashflows!Y$34</f>
        <v>2035</v>
      </c>
      <c r="Z946" s="742">
        <f xml:space="preserve"> ProjectCashflows!Z$34</f>
        <v>2036</v>
      </c>
      <c r="AA946" s="742">
        <f xml:space="preserve"> ProjectCashflows!AA$34</f>
        <v>2037</v>
      </c>
      <c r="AB946" s="742">
        <f xml:space="preserve"> ProjectCashflows!AB$34</f>
        <v>2038</v>
      </c>
      <c r="AC946" s="742">
        <f xml:space="preserve"> ProjectCashflows!AC$34</f>
        <v>2039</v>
      </c>
      <c r="AD946" s="742">
        <f xml:space="preserve"> ProjectCashflows!AD$34</f>
        <v>2040</v>
      </c>
      <c r="AE946" s="742">
        <f xml:space="preserve"> ProjectCashflows!AE$34</f>
        <v>2041</v>
      </c>
      <c r="AF946" s="742">
        <f xml:space="preserve"> ProjectCashflows!AF$34</f>
        <v>2042</v>
      </c>
      <c r="AG946" s="742">
        <f xml:space="preserve"> ProjectCashflows!AG$34</f>
        <v>2043</v>
      </c>
      <c r="AH946" s="742">
        <f xml:space="preserve"> ProjectCashflows!AH$34</f>
        <v>2044</v>
      </c>
      <c r="AI946" s="742">
        <f xml:space="preserve"> ProjectCashflows!AI$34</f>
        <v>2045</v>
      </c>
      <c r="AJ946" s="742">
        <f xml:space="preserve"> ProjectCashflows!AJ$34</f>
        <v>2046</v>
      </c>
      <c r="AK946" s="742">
        <f xml:space="preserve"> ProjectCashflows!AK$34</f>
        <v>2047</v>
      </c>
      <c r="AL946" s="742">
        <f xml:space="preserve"> ProjectCashflows!AL$34</f>
        <v>2048</v>
      </c>
      <c r="AM946" s="742">
        <f xml:space="preserve"> ProjectCashflows!AM$34</f>
        <v>2049</v>
      </c>
      <c r="AN946" s="742">
        <f xml:space="preserve"> ProjectCashflows!AN$34</f>
        <v>2050</v>
      </c>
      <c r="AO946" s="742">
        <f xml:space="preserve"> ProjectCashflows!AO$34</f>
        <v>2051</v>
      </c>
      <c r="AP946" s="742">
        <f xml:space="preserve"> ProjectCashflows!AP$34</f>
        <v>2052</v>
      </c>
      <c r="AQ946" s="742">
        <f xml:space="preserve"> ProjectCashflows!AQ$34</f>
        <v>2053</v>
      </c>
      <c r="AR946" s="742">
        <f xml:space="preserve"> ProjectCashflows!AR$34</f>
        <v>2054</v>
      </c>
      <c r="AS946" s="742">
        <f xml:space="preserve"> ProjectCashflows!AS$34</f>
        <v>2055</v>
      </c>
      <c r="AT946" s="742">
        <f xml:space="preserve"> ProjectCashflows!AT$34</f>
        <v>2056</v>
      </c>
      <c r="AU946" s="742">
        <f xml:space="preserve"> ProjectCashflows!AU$34</f>
        <v>2057</v>
      </c>
      <c r="AV946" s="742">
        <f xml:space="preserve"> ProjectCashflows!AV$34</f>
        <v>2058</v>
      </c>
      <c r="AW946" s="742">
        <f xml:space="preserve"> ProjectCashflows!AW$34</f>
        <v>2059</v>
      </c>
      <c r="AX946" s="742">
        <f xml:space="preserve"> ProjectCashflows!AX$34</f>
        <v>2060</v>
      </c>
    </row>
    <row r="947" spans="1:50" ht="15" customHeight="1" x14ac:dyDescent="0.25">
      <c r="A947" s="86"/>
      <c r="E947" s="140" t="str">
        <f xml:space="preserve"> ProjectCashflows!E$174</f>
        <v>Cumulative project years</v>
      </c>
      <c r="F947" s="140">
        <f xml:space="preserve"> ProjectCashflows!F$174</f>
        <v>0</v>
      </c>
      <c r="G947" s="140" t="str">
        <f xml:space="preserve"> ProjectCashflows!G$174</f>
        <v>Year</v>
      </c>
      <c r="H947" s="140">
        <f xml:space="preserve"> ProjectCashflows!H$174</f>
        <v>0</v>
      </c>
      <c r="I947" s="140">
        <f xml:space="preserve"> ProjectCashflows!I$174</f>
        <v>0</v>
      </c>
      <c r="J947" s="140">
        <f xml:space="preserve"> ProjectCashflows!J$174</f>
        <v>0</v>
      </c>
      <c r="K947" s="140">
        <f ca="1" xml:space="preserve"> ProjectCashflows!K$174</f>
        <v>1</v>
      </c>
      <c r="L947" s="140">
        <f ca="1" xml:space="preserve"> ProjectCashflows!L$174</f>
        <v>2</v>
      </c>
      <c r="M947" s="140">
        <f ca="1" xml:space="preserve"> ProjectCashflows!M$174</f>
        <v>3</v>
      </c>
      <c r="N947" s="140">
        <f ca="1" xml:space="preserve"> ProjectCashflows!N$174</f>
        <v>4</v>
      </c>
      <c r="O947" s="140">
        <f ca="1" xml:space="preserve"> ProjectCashflows!O$174</f>
        <v>5</v>
      </c>
      <c r="P947" s="140">
        <f ca="1" xml:space="preserve"> ProjectCashflows!P$174</f>
        <v>6</v>
      </c>
      <c r="Q947" s="140">
        <f ca="1" xml:space="preserve"> ProjectCashflows!Q$174</f>
        <v>7</v>
      </c>
      <c r="R947" s="140">
        <f ca="1" xml:space="preserve"> ProjectCashflows!R$174</f>
        <v>8</v>
      </c>
      <c r="S947" s="140">
        <f ca="1" xml:space="preserve"> ProjectCashflows!S$174</f>
        <v>9</v>
      </c>
      <c r="T947" s="140">
        <f ca="1" xml:space="preserve"> ProjectCashflows!T$174</f>
        <v>10</v>
      </c>
      <c r="U947" s="140">
        <f ca="1" xml:space="preserve"> ProjectCashflows!U$174</f>
        <v>11</v>
      </c>
      <c r="V947" s="140">
        <f ca="1" xml:space="preserve"> ProjectCashflows!V$174</f>
        <v>12</v>
      </c>
      <c r="W947" s="140">
        <f ca="1" xml:space="preserve"> ProjectCashflows!W$174</f>
        <v>13</v>
      </c>
      <c r="X947" s="140">
        <f ca="1" xml:space="preserve"> ProjectCashflows!X$174</f>
        <v>14</v>
      </c>
      <c r="Y947" s="140">
        <f ca="1" xml:space="preserve"> ProjectCashflows!Y$174</f>
        <v>15</v>
      </c>
      <c r="Z947" s="140">
        <f ca="1" xml:space="preserve"> ProjectCashflows!Z$174</f>
        <v>16</v>
      </c>
      <c r="AA947" s="140">
        <f ca="1" xml:space="preserve"> ProjectCashflows!AA$174</f>
        <v>17</v>
      </c>
      <c r="AB947" s="140">
        <f ca="1" xml:space="preserve"> ProjectCashflows!AB$174</f>
        <v>18</v>
      </c>
      <c r="AC947" s="140">
        <f ca="1" xml:space="preserve"> ProjectCashflows!AC$174</f>
        <v>19</v>
      </c>
      <c r="AD947" s="140">
        <f ca="1" xml:space="preserve"> ProjectCashflows!AD$174</f>
        <v>20</v>
      </c>
      <c r="AE947" s="140">
        <f ca="1" xml:space="preserve"> ProjectCashflows!AE$174</f>
        <v>21</v>
      </c>
      <c r="AF947" s="140">
        <f ca="1" xml:space="preserve"> ProjectCashflows!AF$174</f>
        <v>22</v>
      </c>
      <c r="AG947" s="140">
        <f ca="1" xml:space="preserve"> ProjectCashflows!AG$174</f>
        <v>23</v>
      </c>
      <c r="AH947" s="140">
        <f ca="1" xml:space="preserve"> ProjectCashflows!AH$174</f>
        <v>24</v>
      </c>
      <c r="AI947" s="140">
        <f ca="1" xml:space="preserve"> ProjectCashflows!AI$174</f>
        <v>25</v>
      </c>
      <c r="AJ947" s="140">
        <f ca="1" xml:space="preserve"> ProjectCashflows!AJ$174</f>
        <v>26</v>
      </c>
      <c r="AK947" s="140">
        <f ca="1" xml:space="preserve"> ProjectCashflows!AK$174</f>
        <v>27</v>
      </c>
      <c r="AL947" s="140">
        <f ca="1" xml:space="preserve"> ProjectCashflows!AL$174</f>
        <v>28</v>
      </c>
      <c r="AM947" s="140">
        <f ca="1" xml:space="preserve"> ProjectCashflows!AM$174</f>
        <v>29</v>
      </c>
      <c r="AN947" s="140">
        <f ca="1" xml:space="preserve"> ProjectCashflows!AN$174</f>
        <v>30</v>
      </c>
      <c r="AO947" s="140">
        <f ca="1" xml:space="preserve"> ProjectCashflows!AO$174</f>
        <v>31</v>
      </c>
      <c r="AP947" s="140">
        <f ca="1" xml:space="preserve"> ProjectCashflows!AP$174</f>
        <v>32</v>
      </c>
      <c r="AQ947" s="140">
        <f ca="1" xml:space="preserve"> ProjectCashflows!AQ$174</f>
        <v>33</v>
      </c>
      <c r="AR947" s="140">
        <f ca="1" xml:space="preserve"> ProjectCashflows!AR$174</f>
        <v>0</v>
      </c>
      <c r="AS947" s="140">
        <f ca="1" xml:space="preserve"> ProjectCashflows!AS$174</f>
        <v>0</v>
      </c>
      <c r="AT947" s="140">
        <f ca="1" xml:space="preserve"> ProjectCashflows!AT$174</f>
        <v>0</v>
      </c>
      <c r="AU947" s="140">
        <f ca="1" xml:space="preserve"> ProjectCashflows!AU$174</f>
        <v>0</v>
      </c>
      <c r="AV947" s="140">
        <f ca="1" xml:space="preserve"> ProjectCashflows!AV$174</f>
        <v>0</v>
      </c>
      <c r="AW947" s="140">
        <f ca="1" xml:space="preserve"> ProjectCashflows!AW$174</f>
        <v>0</v>
      </c>
      <c r="AX947" s="140">
        <f ca="1" xml:space="preserve"> ProjectCashflows!AX$174</f>
        <v>0</v>
      </c>
    </row>
    <row r="948" spans="1:50" ht="15" customHeight="1" x14ac:dyDescent="0.25">
      <c r="A948" s="86"/>
      <c r="E948" s="140" t="str">
        <f xml:space="preserve"> ProjectCashflows!E$192</f>
        <v>Cumulative years from start of development</v>
      </c>
      <c r="F948" s="140">
        <f xml:space="preserve"> ProjectCashflows!F$192</f>
        <v>0</v>
      </c>
      <c r="G948" s="140" t="str">
        <f xml:space="preserve"> ProjectCashflows!G$192</f>
        <v>Year</v>
      </c>
      <c r="H948" s="140">
        <f xml:space="preserve"> ProjectCashflows!H$192</f>
        <v>0</v>
      </c>
      <c r="I948" s="140">
        <f xml:space="preserve"> ProjectCashflows!I$192</f>
        <v>0</v>
      </c>
      <c r="J948" s="140">
        <f xml:space="preserve"> ProjectCashflows!J$192</f>
        <v>0</v>
      </c>
      <c r="K948" s="140">
        <f ca="1" xml:space="preserve"> ProjectCashflows!K$192</f>
        <v>0</v>
      </c>
      <c r="L948" s="140">
        <f ca="1" xml:space="preserve"> ProjectCashflows!L$192</f>
        <v>1</v>
      </c>
      <c r="M948" s="140">
        <f ca="1" xml:space="preserve"> ProjectCashflows!M$192</f>
        <v>2</v>
      </c>
      <c r="N948" s="140">
        <f ca="1" xml:space="preserve"> ProjectCashflows!N$192</f>
        <v>3</v>
      </c>
      <c r="O948" s="140">
        <f ca="1" xml:space="preserve"> ProjectCashflows!O$192</f>
        <v>4</v>
      </c>
      <c r="P948" s="140">
        <f ca="1" xml:space="preserve"> ProjectCashflows!P$192</f>
        <v>5</v>
      </c>
      <c r="Q948" s="140">
        <f ca="1" xml:space="preserve"> ProjectCashflows!Q$192</f>
        <v>6</v>
      </c>
      <c r="R948" s="140">
        <f ca="1" xml:space="preserve"> ProjectCashflows!R$192</f>
        <v>7</v>
      </c>
      <c r="S948" s="140">
        <f ca="1" xml:space="preserve"> ProjectCashflows!S$192</f>
        <v>8</v>
      </c>
      <c r="T948" s="140">
        <f ca="1" xml:space="preserve"> ProjectCashflows!T$192</f>
        <v>9</v>
      </c>
      <c r="U948" s="140">
        <f ca="1" xml:space="preserve"> ProjectCashflows!U$192</f>
        <v>10</v>
      </c>
      <c r="V948" s="140">
        <f ca="1" xml:space="preserve"> ProjectCashflows!V$192</f>
        <v>11</v>
      </c>
      <c r="W948" s="140">
        <f ca="1" xml:space="preserve"> ProjectCashflows!W$192</f>
        <v>12</v>
      </c>
      <c r="X948" s="140">
        <f ca="1" xml:space="preserve"> ProjectCashflows!X$192</f>
        <v>13</v>
      </c>
      <c r="Y948" s="140">
        <f ca="1" xml:space="preserve"> ProjectCashflows!Y$192</f>
        <v>14</v>
      </c>
      <c r="Z948" s="140">
        <f ca="1" xml:space="preserve"> ProjectCashflows!Z$192</f>
        <v>15</v>
      </c>
      <c r="AA948" s="140">
        <f ca="1" xml:space="preserve"> ProjectCashflows!AA$192</f>
        <v>16</v>
      </c>
      <c r="AB948" s="140">
        <f ca="1" xml:space="preserve"> ProjectCashflows!AB$192</f>
        <v>17</v>
      </c>
      <c r="AC948" s="140">
        <f ca="1" xml:space="preserve"> ProjectCashflows!AC$192</f>
        <v>18</v>
      </c>
      <c r="AD948" s="140">
        <f ca="1" xml:space="preserve"> ProjectCashflows!AD$192</f>
        <v>19</v>
      </c>
      <c r="AE948" s="140">
        <f ca="1" xml:space="preserve"> ProjectCashflows!AE$192</f>
        <v>20</v>
      </c>
      <c r="AF948" s="140">
        <f ca="1" xml:space="preserve"> ProjectCashflows!AF$192</f>
        <v>21</v>
      </c>
      <c r="AG948" s="140">
        <f ca="1" xml:space="preserve"> ProjectCashflows!AG$192</f>
        <v>22</v>
      </c>
      <c r="AH948" s="140">
        <f ca="1" xml:space="preserve"> ProjectCashflows!AH$192</f>
        <v>23</v>
      </c>
      <c r="AI948" s="140">
        <f ca="1" xml:space="preserve"> ProjectCashflows!AI$192</f>
        <v>24</v>
      </c>
      <c r="AJ948" s="140">
        <f ca="1" xml:space="preserve"> ProjectCashflows!AJ$192</f>
        <v>25</v>
      </c>
      <c r="AK948" s="140">
        <f ca="1" xml:space="preserve"> ProjectCashflows!AK$192</f>
        <v>26</v>
      </c>
      <c r="AL948" s="140">
        <f ca="1" xml:space="preserve"> ProjectCashflows!AL$192</f>
        <v>27</v>
      </c>
      <c r="AM948" s="140">
        <f ca="1" xml:space="preserve"> ProjectCashflows!AM$192</f>
        <v>28</v>
      </c>
      <c r="AN948" s="140">
        <f ca="1" xml:space="preserve"> ProjectCashflows!AN$192</f>
        <v>29</v>
      </c>
      <c r="AO948" s="140">
        <f ca="1" xml:space="preserve"> ProjectCashflows!AO$192</f>
        <v>30</v>
      </c>
      <c r="AP948" s="140">
        <f ca="1" xml:space="preserve"> ProjectCashflows!AP$192</f>
        <v>31</v>
      </c>
      <c r="AQ948" s="140">
        <f ca="1" xml:space="preserve"> ProjectCashflows!AQ$192</f>
        <v>32</v>
      </c>
      <c r="AR948" s="140">
        <f ca="1" xml:space="preserve"> ProjectCashflows!AR$192</f>
        <v>0</v>
      </c>
      <c r="AS948" s="140">
        <f ca="1" xml:space="preserve"> ProjectCashflows!AS$192</f>
        <v>0</v>
      </c>
      <c r="AT948" s="140">
        <f ca="1" xml:space="preserve"> ProjectCashflows!AT$192</f>
        <v>0</v>
      </c>
      <c r="AU948" s="140">
        <f ca="1" xml:space="preserve"> ProjectCashflows!AU$192</f>
        <v>0</v>
      </c>
      <c r="AV948" s="140">
        <f ca="1" xml:space="preserve"> ProjectCashflows!AV$192</f>
        <v>0</v>
      </c>
      <c r="AW948" s="140">
        <f ca="1" xml:space="preserve"> ProjectCashflows!AW$192</f>
        <v>0</v>
      </c>
      <c r="AX948" s="140">
        <f ca="1" xml:space="preserve"> ProjectCashflows!AX$192</f>
        <v>0</v>
      </c>
    </row>
    <row r="949" spans="1:50" ht="15" customHeight="1" x14ac:dyDescent="0.25">
      <c r="A949" s="86"/>
      <c r="E949" s="140" t="str">
        <f xml:space="preserve"> ProjectCashflows!E$181</f>
        <v>Cumulative production years</v>
      </c>
      <c r="F949" s="140">
        <f xml:space="preserve"> ProjectCashflows!F$181</f>
        <v>0</v>
      </c>
      <c r="G949" s="140" t="str">
        <f xml:space="preserve"> ProjectCashflows!G$181</f>
        <v>Year</v>
      </c>
      <c r="H949" s="140">
        <f xml:space="preserve"> ProjectCashflows!H$181</f>
        <v>0</v>
      </c>
      <c r="I949" s="140">
        <f xml:space="preserve"> ProjectCashflows!I$181</f>
        <v>0</v>
      </c>
      <c r="J949" s="140">
        <f xml:space="preserve"> ProjectCashflows!J$181</f>
        <v>0</v>
      </c>
      <c r="K949" s="140">
        <f ca="1" xml:space="preserve"> ProjectCashflows!K$181</f>
        <v>0</v>
      </c>
      <c r="L949" s="140">
        <f ca="1" xml:space="preserve"> ProjectCashflows!L$181</f>
        <v>0</v>
      </c>
      <c r="M949" s="140">
        <f ca="1" xml:space="preserve"> ProjectCashflows!M$181</f>
        <v>0</v>
      </c>
      <c r="N949" s="140">
        <f ca="1" xml:space="preserve"> ProjectCashflows!N$181</f>
        <v>0</v>
      </c>
      <c r="O949" s="140">
        <f ca="1" xml:space="preserve"> ProjectCashflows!O$181</f>
        <v>1</v>
      </c>
      <c r="P949" s="140">
        <f ca="1" xml:space="preserve"> ProjectCashflows!P$181</f>
        <v>2</v>
      </c>
      <c r="Q949" s="140">
        <f ca="1" xml:space="preserve"> ProjectCashflows!Q$181</f>
        <v>3</v>
      </c>
      <c r="R949" s="140">
        <f ca="1" xml:space="preserve"> ProjectCashflows!R$181</f>
        <v>4</v>
      </c>
      <c r="S949" s="140">
        <f ca="1" xml:space="preserve"> ProjectCashflows!S$181</f>
        <v>5</v>
      </c>
      <c r="T949" s="140">
        <f ca="1" xml:space="preserve"> ProjectCashflows!T$181</f>
        <v>6</v>
      </c>
      <c r="U949" s="140">
        <f ca="1" xml:space="preserve"> ProjectCashflows!U$181</f>
        <v>7</v>
      </c>
      <c r="V949" s="140">
        <f ca="1" xml:space="preserve"> ProjectCashflows!V$181</f>
        <v>8</v>
      </c>
      <c r="W949" s="140">
        <f ca="1" xml:space="preserve"> ProjectCashflows!W$181</f>
        <v>9</v>
      </c>
      <c r="X949" s="140">
        <f ca="1" xml:space="preserve"> ProjectCashflows!X$181</f>
        <v>10</v>
      </c>
      <c r="Y949" s="140">
        <f ca="1" xml:space="preserve"> ProjectCashflows!Y$181</f>
        <v>11</v>
      </c>
      <c r="Z949" s="140">
        <f ca="1" xml:space="preserve"> ProjectCashflows!Z$181</f>
        <v>12</v>
      </c>
      <c r="AA949" s="140">
        <f ca="1" xml:space="preserve"> ProjectCashflows!AA$181</f>
        <v>13</v>
      </c>
      <c r="AB949" s="140">
        <f ca="1" xml:space="preserve"> ProjectCashflows!AB$181</f>
        <v>14</v>
      </c>
      <c r="AC949" s="140">
        <f ca="1" xml:space="preserve"> ProjectCashflows!AC$181</f>
        <v>15</v>
      </c>
      <c r="AD949" s="140">
        <f ca="1" xml:space="preserve"> ProjectCashflows!AD$181</f>
        <v>16</v>
      </c>
      <c r="AE949" s="140">
        <f ca="1" xml:space="preserve"> ProjectCashflows!AE$181</f>
        <v>17</v>
      </c>
      <c r="AF949" s="140">
        <f ca="1" xml:space="preserve"> ProjectCashflows!AF$181</f>
        <v>18</v>
      </c>
      <c r="AG949" s="140">
        <f ca="1" xml:space="preserve"> ProjectCashflows!AG$181</f>
        <v>19</v>
      </c>
      <c r="AH949" s="140">
        <f ca="1" xml:space="preserve"> ProjectCashflows!AH$181</f>
        <v>20</v>
      </c>
      <c r="AI949" s="140">
        <f ca="1" xml:space="preserve"> ProjectCashflows!AI$181</f>
        <v>21</v>
      </c>
      <c r="AJ949" s="140">
        <f ca="1" xml:space="preserve"> ProjectCashflows!AJ$181</f>
        <v>22</v>
      </c>
      <c r="AK949" s="140">
        <f ca="1" xml:space="preserve"> ProjectCashflows!AK$181</f>
        <v>23</v>
      </c>
      <c r="AL949" s="140">
        <f ca="1" xml:space="preserve"> ProjectCashflows!AL$181</f>
        <v>24</v>
      </c>
      <c r="AM949" s="140">
        <f ca="1" xml:space="preserve"> ProjectCashflows!AM$181</f>
        <v>25</v>
      </c>
      <c r="AN949" s="140">
        <f ca="1" xml:space="preserve"> ProjectCashflows!AN$181</f>
        <v>26</v>
      </c>
      <c r="AO949" s="140">
        <f ca="1" xml:space="preserve"> ProjectCashflows!AO$181</f>
        <v>27</v>
      </c>
      <c r="AP949" s="140">
        <f ca="1" xml:space="preserve"> ProjectCashflows!AP$181</f>
        <v>0</v>
      </c>
      <c r="AQ949" s="140">
        <f ca="1" xml:space="preserve"> ProjectCashflows!AQ$181</f>
        <v>0</v>
      </c>
      <c r="AR949" s="140">
        <f ca="1" xml:space="preserve"> ProjectCashflows!AR$181</f>
        <v>0</v>
      </c>
      <c r="AS949" s="140">
        <f ca="1" xml:space="preserve"> ProjectCashflows!AS$181</f>
        <v>0</v>
      </c>
      <c r="AT949" s="140">
        <f ca="1" xml:space="preserve"> ProjectCashflows!AT$181</f>
        <v>0</v>
      </c>
      <c r="AU949" s="140">
        <f ca="1" xml:space="preserve"> ProjectCashflows!AU$181</f>
        <v>0</v>
      </c>
      <c r="AV949" s="140">
        <f ca="1" xml:space="preserve"> ProjectCashflows!AV$181</f>
        <v>0</v>
      </c>
      <c r="AW949" s="140">
        <f ca="1" xml:space="preserve"> ProjectCashflows!AW$181</f>
        <v>0</v>
      </c>
      <c r="AX949" s="140">
        <f ca="1" xml:space="preserve"> ProjectCashflows!AX$181</f>
        <v>0</v>
      </c>
    </row>
    <row r="950" spans="1:50" ht="15" customHeight="1" x14ac:dyDescent="0.25">
      <c r="A950" s="86"/>
    </row>
    <row r="951" spans="1:50" ht="15" customHeight="1" x14ac:dyDescent="0.25">
      <c r="A951" s="86"/>
      <c r="E951" s="747" t="str">
        <f xml:space="preserve"> E$94</f>
        <v>VAT applicable from</v>
      </c>
      <c r="F951" s="404">
        <f xml:space="preserve"> F$94</f>
        <v>0</v>
      </c>
      <c r="G951" s="747" t="str">
        <f xml:space="preserve"> G$94</f>
        <v>Option</v>
      </c>
    </row>
    <row r="952" spans="1:50" ht="15" customHeight="1" x14ac:dyDescent="0.25">
      <c r="A952" s="86"/>
      <c r="F952" s="746" t="str">
        <f xml:space="preserve"> Translate!E$737</f>
        <v>Exploration</v>
      </c>
      <c r="G952" s="3" t="str">
        <f xml:space="preserve"> Translate!E$103</f>
        <v>Option</v>
      </c>
    </row>
    <row r="953" spans="1:50" ht="15" customHeight="1" x14ac:dyDescent="0.25">
      <c r="A953" s="86"/>
      <c r="F953" s="746" t="str">
        <f xml:space="preserve"> Translate!E$85</f>
        <v>FID</v>
      </c>
      <c r="G953" s="3" t="str">
        <f xml:space="preserve"> Translate!E$103</f>
        <v>Option</v>
      </c>
    </row>
    <row r="954" spans="1:50" ht="15" customHeight="1" x14ac:dyDescent="0.25">
      <c r="A954" s="86"/>
      <c r="F954" s="746" t="str">
        <f xml:space="preserve"> Translate!E$738</f>
        <v>Production</v>
      </c>
      <c r="G954" s="3" t="str">
        <f xml:space="preserve"> Translate!E$103</f>
        <v>Option</v>
      </c>
    </row>
    <row r="955" spans="1:50" s="412" customFormat="1" ht="15" customHeight="1" x14ac:dyDescent="0.25">
      <c r="A955" s="420"/>
      <c r="B955" s="683"/>
      <c r="C955" s="744"/>
      <c r="D955" s="591"/>
      <c r="E955" s="412" t="str">
        <f xml:space="preserve"> Translate!E$359</f>
        <v>Selected VAT start period</v>
      </c>
      <c r="F955" t="e">
        <f xml:space="preserve"> MATCH(F951, F952:F954, 0)</f>
        <v>#N/A</v>
      </c>
      <c r="G955" s="412" t="str">
        <f xml:space="preserve"> Translate!E$409</f>
        <v>selected</v>
      </c>
    </row>
    <row r="956" spans="1:50" ht="15" customHeight="1" x14ac:dyDescent="0.25">
      <c r="A956" s="86"/>
      <c r="F956"/>
    </row>
    <row r="957" spans="1:50" ht="15" customHeight="1" x14ac:dyDescent="0.25">
      <c r="A957" s="86"/>
      <c r="C957" s="620" t="str">
        <f>Translate!$E$509</f>
        <v>Start year for each alternative</v>
      </c>
    </row>
    <row r="958" spans="1:50" s="412" customFormat="1" ht="15" customHeight="1" x14ac:dyDescent="0.25">
      <c r="A958" s="420"/>
      <c r="B958" s="683"/>
      <c r="C958" s="744"/>
      <c r="D958" s="591"/>
      <c r="E958" s="412" t="str">
        <f xml:space="preserve"> Translate!E$360</f>
        <v>Exploration start year</v>
      </c>
      <c r="F958" s="745">
        <f ca="1" xml:space="preserve"> SUM(K958:AX958)</f>
        <v>2021</v>
      </c>
      <c r="G958" s="741" t="str">
        <f>Translate!E$608</f>
        <v>Year</v>
      </c>
      <c r="K958" s="745">
        <f t="shared" ref="K958:AX958" ca="1" si="322" xml:space="preserve"> (K947 = 1) * K946</f>
        <v>2021</v>
      </c>
      <c r="L958" s="745">
        <f t="shared" ca="1" si="322"/>
        <v>0</v>
      </c>
      <c r="M958" s="745">
        <f t="shared" ca="1" si="322"/>
        <v>0</v>
      </c>
      <c r="N958" s="745">
        <f t="shared" ca="1" si="322"/>
        <v>0</v>
      </c>
      <c r="O958" s="745">
        <f t="shared" ca="1" si="322"/>
        <v>0</v>
      </c>
      <c r="P958" s="745">
        <f t="shared" ca="1" si="322"/>
        <v>0</v>
      </c>
      <c r="Q958" s="745">
        <f t="shared" ca="1" si="322"/>
        <v>0</v>
      </c>
      <c r="R958" s="745">
        <f t="shared" ca="1" si="322"/>
        <v>0</v>
      </c>
      <c r="S958" s="745">
        <f t="shared" ca="1" si="322"/>
        <v>0</v>
      </c>
      <c r="T958" s="745">
        <f t="shared" ca="1" si="322"/>
        <v>0</v>
      </c>
      <c r="U958" s="745">
        <f t="shared" ca="1" si="322"/>
        <v>0</v>
      </c>
      <c r="V958" s="745">
        <f t="shared" ca="1" si="322"/>
        <v>0</v>
      </c>
      <c r="W958" s="745">
        <f t="shared" ca="1" si="322"/>
        <v>0</v>
      </c>
      <c r="X958" s="745">
        <f t="shared" ca="1" si="322"/>
        <v>0</v>
      </c>
      <c r="Y958" s="745">
        <f t="shared" ca="1" si="322"/>
        <v>0</v>
      </c>
      <c r="Z958" s="745">
        <f t="shared" ca="1" si="322"/>
        <v>0</v>
      </c>
      <c r="AA958" s="745">
        <f t="shared" ca="1" si="322"/>
        <v>0</v>
      </c>
      <c r="AB958" s="745">
        <f t="shared" ca="1" si="322"/>
        <v>0</v>
      </c>
      <c r="AC958" s="745">
        <f t="shared" ca="1" si="322"/>
        <v>0</v>
      </c>
      <c r="AD958" s="745">
        <f t="shared" ca="1" si="322"/>
        <v>0</v>
      </c>
      <c r="AE958" s="745">
        <f t="shared" ca="1" si="322"/>
        <v>0</v>
      </c>
      <c r="AF958" s="745">
        <f t="shared" ca="1" si="322"/>
        <v>0</v>
      </c>
      <c r="AG958" s="745">
        <f t="shared" ca="1" si="322"/>
        <v>0</v>
      </c>
      <c r="AH958" s="745">
        <f t="shared" ca="1" si="322"/>
        <v>0</v>
      </c>
      <c r="AI958" s="745">
        <f t="shared" ca="1" si="322"/>
        <v>0</v>
      </c>
      <c r="AJ958" s="745">
        <f t="shared" ca="1" si="322"/>
        <v>0</v>
      </c>
      <c r="AK958" s="745">
        <f t="shared" ca="1" si="322"/>
        <v>0</v>
      </c>
      <c r="AL958" s="745">
        <f t="shared" ca="1" si="322"/>
        <v>0</v>
      </c>
      <c r="AM958" s="745">
        <f t="shared" ca="1" si="322"/>
        <v>0</v>
      </c>
      <c r="AN958" s="745">
        <f t="shared" ca="1" si="322"/>
        <v>0</v>
      </c>
      <c r="AO958" s="745">
        <f t="shared" ca="1" si="322"/>
        <v>0</v>
      </c>
      <c r="AP958" s="745">
        <f t="shared" ca="1" si="322"/>
        <v>0</v>
      </c>
      <c r="AQ958" s="745">
        <f t="shared" ca="1" si="322"/>
        <v>0</v>
      </c>
      <c r="AR958" s="745">
        <f t="shared" ca="1" si="322"/>
        <v>0</v>
      </c>
      <c r="AS958" s="745">
        <f t="shared" ca="1" si="322"/>
        <v>0</v>
      </c>
      <c r="AT958" s="745">
        <f t="shared" ca="1" si="322"/>
        <v>0</v>
      </c>
      <c r="AU958" s="745">
        <f t="shared" ca="1" si="322"/>
        <v>0</v>
      </c>
      <c r="AV958" s="745">
        <f t="shared" ca="1" si="322"/>
        <v>0</v>
      </c>
      <c r="AW958" s="745">
        <f t="shared" ca="1" si="322"/>
        <v>0</v>
      </c>
      <c r="AX958" s="745">
        <f t="shared" ca="1" si="322"/>
        <v>0</v>
      </c>
    </row>
    <row r="959" spans="1:50" ht="15" customHeight="1" x14ac:dyDescent="0.25">
      <c r="A959" s="86"/>
      <c r="E959" s="412" t="str">
        <f xml:space="preserve"> Translate!E$361</f>
        <v>FID year</v>
      </c>
      <c r="F959" s="745">
        <f ca="1" xml:space="preserve"> SUM(K959:AX959)</f>
        <v>2022</v>
      </c>
      <c r="G959" s="741" t="str">
        <f>Translate!E$608</f>
        <v>Year</v>
      </c>
      <c r="K959" s="745">
        <f t="shared" ref="K959:AX959" ca="1" si="323" xml:space="preserve"> (K948 = 1) * K946</f>
        <v>0</v>
      </c>
      <c r="L959" s="745">
        <f t="shared" ca="1" si="323"/>
        <v>2022</v>
      </c>
      <c r="M959" s="745">
        <f t="shared" ca="1" si="323"/>
        <v>0</v>
      </c>
      <c r="N959" s="745">
        <f t="shared" ca="1" si="323"/>
        <v>0</v>
      </c>
      <c r="O959" s="745">
        <f t="shared" ca="1" si="323"/>
        <v>0</v>
      </c>
      <c r="P959" s="745">
        <f t="shared" ca="1" si="323"/>
        <v>0</v>
      </c>
      <c r="Q959" s="745">
        <f t="shared" ca="1" si="323"/>
        <v>0</v>
      </c>
      <c r="R959" s="745">
        <f t="shared" ca="1" si="323"/>
        <v>0</v>
      </c>
      <c r="S959" s="745">
        <f t="shared" ca="1" si="323"/>
        <v>0</v>
      </c>
      <c r="T959" s="745">
        <f t="shared" ca="1" si="323"/>
        <v>0</v>
      </c>
      <c r="U959" s="745">
        <f t="shared" ca="1" si="323"/>
        <v>0</v>
      </c>
      <c r="V959" s="745">
        <f t="shared" ca="1" si="323"/>
        <v>0</v>
      </c>
      <c r="W959" s="745">
        <f t="shared" ca="1" si="323"/>
        <v>0</v>
      </c>
      <c r="X959" s="745">
        <f t="shared" ca="1" si="323"/>
        <v>0</v>
      </c>
      <c r="Y959" s="745">
        <f t="shared" ca="1" si="323"/>
        <v>0</v>
      </c>
      <c r="Z959" s="745">
        <f t="shared" ca="1" si="323"/>
        <v>0</v>
      </c>
      <c r="AA959" s="745">
        <f t="shared" ca="1" si="323"/>
        <v>0</v>
      </c>
      <c r="AB959" s="745">
        <f t="shared" ca="1" si="323"/>
        <v>0</v>
      </c>
      <c r="AC959" s="745">
        <f t="shared" ca="1" si="323"/>
        <v>0</v>
      </c>
      <c r="AD959" s="745">
        <f t="shared" ca="1" si="323"/>
        <v>0</v>
      </c>
      <c r="AE959" s="745">
        <f t="shared" ca="1" si="323"/>
        <v>0</v>
      </c>
      <c r="AF959" s="745">
        <f t="shared" ca="1" si="323"/>
        <v>0</v>
      </c>
      <c r="AG959" s="745">
        <f t="shared" ca="1" si="323"/>
        <v>0</v>
      </c>
      <c r="AH959" s="745">
        <f t="shared" ca="1" si="323"/>
        <v>0</v>
      </c>
      <c r="AI959" s="745">
        <f t="shared" ca="1" si="323"/>
        <v>0</v>
      </c>
      <c r="AJ959" s="745">
        <f t="shared" ca="1" si="323"/>
        <v>0</v>
      </c>
      <c r="AK959" s="745">
        <f t="shared" ca="1" si="323"/>
        <v>0</v>
      </c>
      <c r="AL959" s="745">
        <f t="shared" ca="1" si="323"/>
        <v>0</v>
      </c>
      <c r="AM959" s="745">
        <f t="shared" ca="1" si="323"/>
        <v>0</v>
      </c>
      <c r="AN959" s="745">
        <f t="shared" ca="1" si="323"/>
        <v>0</v>
      </c>
      <c r="AO959" s="745">
        <f t="shared" ca="1" si="323"/>
        <v>0</v>
      </c>
      <c r="AP959" s="745">
        <f t="shared" ca="1" si="323"/>
        <v>0</v>
      </c>
      <c r="AQ959" s="745">
        <f t="shared" ca="1" si="323"/>
        <v>0</v>
      </c>
      <c r="AR959" s="745">
        <f t="shared" ca="1" si="323"/>
        <v>0</v>
      </c>
      <c r="AS959" s="745">
        <f t="shared" ca="1" si="323"/>
        <v>0</v>
      </c>
      <c r="AT959" s="745">
        <f t="shared" ca="1" si="323"/>
        <v>0</v>
      </c>
      <c r="AU959" s="745">
        <f t="shared" ca="1" si="323"/>
        <v>0</v>
      </c>
      <c r="AV959" s="745">
        <f t="shared" ca="1" si="323"/>
        <v>0</v>
      </c>
      <c r="AW959" s="745">
        <f t="shared" ca="1" si="323"/>
        <v>0</v>
      </c>
      <c r="AX959" s="745">
        <f t="shared" ca="1" si="323"/>
        <v>0</v>
      </c>
    </row>
    <row r="960" spans="1:50" s="412" customFormat="1" ht="15" customHeight="1" x14ac:dyDescent="0.25">
      <c r="A960" s="420"/>
      <c r="B960" s="683"/>
      <c r="C960" s="744"/>
      <c r="D960" s="591"/>
      <c r="E960" s="412" t="str">
        <f xml:space="preserve"> Translate!E$362</f>
        <v>Production start year</v>
      </c>
      <c r="F960" s="745">
        <f ca="1" xml:space="preserve"> SUM(K960:AX960)</f>
        <v>2025</v>
      </c>
      <c r="G960" s="741" t="str">
        <f>Translate!E$608</f>
        <v>Year</v>
      </c>
      <c r="K960" s="745">
        <f t="shared" ref="K960:AX960" ca="1" si="324" xml:space="preserve"> (K949 = 1) * K946</f>
        <v>0</v>
      </c>
      <c r="L960" s="745">
        <f t="shared" ca="1" si="324"/>
        <v>0</v>
      </c>
      <c r="M960" s="745">
        <f t="shared" ca="1" si="324"/>
        <v>0</v>
      </c>
      <c r="N960" s="745">
        <f t="shared" ca="1" si="324"/>
        <v>0</v>
      </c>
      <c r="O960" s="745">
        <f t="shared" ca="1" si="324"/>
        <v>2025</v>
      </c>
      <c r="P960" s="745">
        <f t="shared" ca="1" si="324"/>
        <v>0</v>
      </c>
      <c r="Q960" s="745">
        <f t="shared" ca="1" si="324"/>
        <v>0</v>
      </c>
      <c r="R960" s="745">
        <f t="shared" ca="1" si="324"/>
        <v>0</v>
      </c>
      <c r="S960" s="745">
        <f t="shared" ca="1" si="324"/>
        <v>0</v>
      </c>
      <c r="T960" s="745">
        <f t="shared" ca="1" si="324"/>
        <v>0</v>
      </c>
      <c r="U960" s="745">
        <f t="shared" ca="1" si="324"/>
        <v>0</v>
      </c>
      <c r="V960" s="745">
        <f t="shared" ca="1" si="324"/>
        <v>0</v>
      </c>
      <c r="W960" s="745">
        <f t="shared" ca="1" si="324"/>
        <v>0</v>
      </c>
      <c r="X960" s="745">
        <f t="shared" ca="1" si="324"/>
        <v>0</v>
      </c>
      <c r="Y960" s="745">
        <f t="shared" ca="1" si="324"/>
        <v>0</v>
      </c>
      <c r="Z960" s="745">
        <f t="shared" ca="1" si="324"/>
        <v>0</v>
      </c>
      <c r="AA960" s="745">
        <f t="shared" ca="1" si="324"/>
        <v>0</v>
      </c>
      <c r="AB960" s="745">
        <f t="shared" ca="1" si="324"/>
        <v>0</v>
      </c>
      <c r="AC960" s="745">
        <f t="shared" ca="1" si="324"/>
        <v>0</v>
      </c>
      <c r="AD960" s="745">
        <f t="shared" ca="1" si="324"/>
        <v>0</v>
      </c>
      <c r="AE960" s="745">
        <f t="shared" ca="1" si="324"/>
        <v>0</v>
      </c>
      <c r="AF960" s="745">
        <f t="shared" ca="1" si="324"/>
        <v>0</v>
      </c>
      <c r="AG960" s="745">
        <f t="shared" ca="1" si="324"/>
        <v>0</v>
      </c>
      <c r="AH960" s="745">
        <f t="shared" ca="1" si="324"/>
        <v>0</v>
      </c>
      <c r="AI960" s="745">
        <f t="shared" ca="1" si="324"/>
        <v>0</v>
      </c>
      <c r="AJ960" s="745">
        <f t="shared" ca="1" si="324"/>
        <v>0</v>
      </c>
      <c r="AK960" s="745">
        <f t="shared" ca="1" si="324"/>
        <v>0</v>
      </c>
      <c r="AL960" s="745">
        <f t="shared" ca="1" si="324"/>
        <v>0</v>
      </c>
      <c r="AM960" s="745">
        <f t="shared" ca="1" si="324"/>
        <v>0</v>
      </c>
      <c r="AN960" s="745">
        <f t="shared" ca="1" si="324"/>
        <v>0</v>
      </c>
      <c r="AO960" s="745">
        <f t="shared" ca="1" si="324"/>
        <v>0</v>
      </c>
      <c r="AP960" s="745">
        <f t="shared" ca="1" si="324"/>
        <v>0</v>
      </c>
      <c r="AQ960" s="745">
        <f t="shared" ca="1" si="324"/>
        <v>0</v>
      </c>
      <c r="AR960" s="745">
        <f t="shared" ca="1" si="324"/>
        <v>0</v>
      </c>
      <c r="AS960" s="745">
        <f t="shared" ca="1" si="324"/>
        <v>0</v>
      </c>
      <c r="AT960" s="745">
        <f t="shared" ca="1" si="324"/>
        <v>0</v>
      </c>
      <c r="AU960" s="745">
        <f t="shared" ca="1" si="324"/>
        <v>0</v>
      </c>
      <c r="AV960" s="745">
        <f t="shared" ca="1" si="324"/>
        <v>0</v>
      </c>
      <c r="AW960" s="745">
        <f t="shared" ca="1" si="324"/>
        <v>0</v>
      </c>
      <c r="AX960" s="745">
        <f t="shared" ca="1" si="324"/>
        <v>0</v>
      </c>
    </row>
    <row r="961" spans="1:50" ht="15" customHeight="1" x14ac:dyDescent="0.25">
      <c r="A961" s="86"/>
    </row>
    <row r="962" spans="1:50" ht="15" customHeight="1" x14ac:dyDescent="0.25">
      <c r="A962" s="86"/>
      <c r="C962" s="620" t="str">
        <f>Translate!$E$510</f>
        <v>VAT applicable flag</v>
      </c>
    </row>
    <row r="963" spans="1:50" s="412" customFormat="1" ht="15" customHeight="1" x14ac:dyDescent="0.25">
      <c r="A963" s="420"/>
      <c r="B963" s="683"/>
      <c r="C963" s="744"/>
      <c r="D963" s="591"/>
      <c r="E963" s="412" t="str">
        <f xml:space="preserve"> Translate!E191 &amp;  ": " &amp; F951</f>
        <v>VAT applicable from: 0</v>
      </c>
      <c r="F963" s="745" t="e" cm="1">
        <f t="array" ref="F963" xml:space="preserve"> INDEX(F958:F960, F955)</f>
        <v>#N/A</v>
      </c>
      <c r="G963" s="412" t="str">
        <f>Translate!$E$405</f>
        <v>Flag</v>
      </c>
      <c r="K963" s="412">
        <f t="shared" ref="K963:AX963" si="325" xml:space="preserve"> IFERROR((K946 &gt;= $F963) * 1, 0)</f>
        <v>0</v>
      </c>
      <c r="L963" s="412">
        <f t="shared" si="325"/>
        <v>0</v>
      </c>
      <c r="M963" s="412">
        <f t="shared" si="325"/>
        <v>0</v>
      </c>
      <c r="N963" s="412">
        <f t="shared" si="325"/>
        <v>0</v>
      </c>
      <c r="O963" s="412">
        <f t="shared" si="325"/>
        <v>0</v>
      </c>
      <c r="P963" s="412">
        <f t="shared" si="325"/>
        <v>0</v>
      </c>
      <c r="Q963" s="412">
        <f t="shared" si="325"/>
        <v>0</v>
      </c>
      <c r="R963" s="412">
        <f t="shared" si="325"/>
        <v>0</v>
      </c>
      <c r="S963" s="412">
        <f t="shared" si="325"/>
        <v>0</v>
      </c>
      <c r="T963" s="412">
        <f t="shared" si="325"/>
        <v>0</v>
      </c>
      <c r="U963" s="412">
        <f t="shared" si="325"/>
        <v>0</v>
      </c>
      <c r="V963" s="412">
        <f t="shared" si="325"/>
        <v>0</v>
      </c>
      <c r="W963" s="412">
        <f t="shared" si="325"/>
        <v>0</v>
      </c>
      <c r="X963" s="412">
        <f t="shared" si="325"/>
        <v>0</v>
      </c>
      <c r="Y963" s="412">
        <f t="shared" si="325"/>
        <v>0</v>
      </c>
      <c r="Z963" s="412">
        <f t="shared" si="325"/>
        <v>0</v>
      </c>
      <c r="AA963" s="412">
        <f t="shared" si="325"/>
        <v>0</v>
      </c>
      <c r="AB963" s="412">
        <f t="shared" si="325"/>
        <v>0</v>
      </c>
      <c r="AC963" s="412">
        <f t="shared" si="325"/>
        <v>0</v>
      </c>
      <c r="AD963" s="412">
        <f t="shared" si="325"/>
        <v>0</v>
      </c>
      <c r="AE963" s="412">
        <f t="shared" si="325"/>
        <v>0</v>
      </c>
      <c r="AF963" s="412">
        <f t="shared" si="325"/>
        <v>0</v>
      </c>
      <c r="AG963" s="412">
        <f t="shared" si="325"/>
        <v>0</v>
      </c>
      <c r="AH963" s="412">
        <f t="shared" si="325"/>
        <v>0</v>
      </c>
      <c r="AI963" s="412">
        <f t="shared" si="325"/>
        <v>0</v>
      </c>
      <c r="AJ963" s="412">
        <f t="shared" si="325"/>
        <v>0</v>
      </c>
      <c r="AK963" s="412">
        <f t="shared" si="325"/>
        <v>0</v>
      </c>
      <c r="AL963" s="412">
        <f t="shared" si="325"/>
        <v>0</v>
      </c>
      <c r="AM963" s="412">
        <f t="shared" si="325"/>
        <v>0</v>
      </c>
      <c r="AN963" s="412">
        <f t="shared" si="325"/>
        <v>0</v>
      </c>
      <c r="AO963" s="412">
        <f t="shared" si="325"/>
        <v>0</v>
      </c>
      <c r="AP963" s="412">
        <f t="shared" si="325"/>
        <v>0</v>
      </c>
      <c r="AQ963" s="412">
        <f t="shared" si="325"/>
        <v>0</v>
      </c>
      <c r="AR963" s="412">
        <f t="shared" si="325"/>
        <v>0</v>
      </c>
      <c r="AS963" s="412">
        <f t="shared" si="325"/>
        <v>0</v>
      </c>
      <c r="AT963" s="412">
        <f t="shared" si="325"/>
        <v>0</v>
      </c>
      <c r="AU963" s="412">
        <f t="shared" si="325"/>
        <v>0</v>
      </c>
      <c r="AV963" s="412">
        <f t="shared" si="325"/>
        <v>0</v>
      </c>
      <c r="AW963" s="412">
        <f t="shared" si="325"/>
        <v>0</v>
      </c>
      <c r="AX963" s="412">
        <f t="shared" si="325"/>
        <v>0</v>
      </c>
    </row>
    <row r="964" spans="1:50" ht="15" customHeight="1" x14ac:dyDescent="0.25">
      <c r="A964" s="86"/>
    </row>
    <row r="965" spans="1:50" ht="15" customHeight="1" x14ac:dyDescent="0.25">
      <c r="A965" s="86"/>
      <c r="B965" s="683" t="str">
        <f xml:space="preserve"> Translate!E$579</f>
        <v>Project costs</v>
      </c>
    </row>
    <row r="966" spans="1:50" s="40" customFormat="1" ht="15" customHeight="1" x14ac:dyDescent="0.25">
      <c r="A966" s="139"/>
      <c r="B966" s="235"/>
      <c r="C966" s="613"/>
      <c r="D966" s="354"/>
      <c r="E966" s="140" t="str">
        <f xml:space="preserve"> ProjectCashflows!E$238</f>
        <v>Exploration costs, after ELT</v>
      </c>
      <c r="F966" s="140">
        <f xml:space="preserve"> ProjectCashflows!F$238</f>
        <v>0</v>
      </c>
      <c r="G966" s="140" t="str">
        <f xml:space="preserve"> ProjectCashflows!G$238</f>
        <v>US$ mn</v>
      </c>
      <c r="H966" s="140">
        <f xml:space="preserve"> ProjectCashflows!H$238</f>
        <v>0</v>
      </c>
      <c r="I966" s="140">
        <f ca="1" xml:space="preserve"> ProjectCashflows!I$238</f>
        <v>420</v>
      </c>
      <c r="J966" s="140">
        <f xml:space="preserve"> ProjectCashflows!J$238</f>
        <v>0</v>
      </c>
      <c r="K966" s="140">
        <f ca="1" xml:space="preserve"> ProjectCashflows!K$238</f>
        <v>420</v>
      </c>
      <c r="L966" s="140">
        <f ca="1" xml:space="preserve"> ProjectCashflows!L$238</f>
        <v>0</v>
      </c>
      <c r="M966" s="140">
        <f ca="1" xml:space="preserve"> ProjectCashflows!M$238</f>
        <v>0</v>
      </c>
      <c r="N966" s="140">
        <f ca="1" xml:space="preserve"> ProjectCashflows!N$238</f>
        <v>0</v>
      </c>
      <c r="O966" s="140">
        <f ca="1" xml:space="preserve"> ProjectCashflows!O$238</f>
        <v>0</v>
      </c>
      <c r="P966" s="140">
        <f ca="1" xml:space="preserve"> ProjectCashflows!P$238</f>
        <v>0</v>
      </c>
      <c r="Q966" s="140">
        <f ca="1" xml:space="preserve"> ProjectCashflows!Q$238</f>
        <v>0</v>
      </c>
      <c r="R966" s="140">
        <f ca="1" xml:space="preserve"> ProjectCashflows!R$238</f>
        <v>0</v>
      </c>
      <c r="S966" s="140">
        <f ca="1" xml:space="preserve"> ProjectCashflows!S$238</f>
        <v>0</v>
      </c>
      <c r="T966" s="140">
        <f ca="1" xml:space="preserve"> ProjectCashflows!T$238</f>
        <v>0</v>
      </c>
      <c r="U966" s="140">
        <f ca="1" xml:space="preserve"> ProjectCashflows!U$238</f>
        <v>0</v>
      </c>
      <c r="V966" s="140">
        <f ca="1" xml:space="preserve"> ProjectCashflows!V$238</f>
        <v>0</v>
      </c>
      <c r="W966" s="140">
        <f ca="1" xml:space="preserve"> ProjectCashflows!W$238</f>
        <v>0</v>
      </c>
      <c r="X966" s="140">
        <f ca="1" xml:space="preserve"> ProjectCashflows!X$238</f>
        <v>0</v>
      </c>
      <c r="Y966" s="140">
        <f ca="1" xml:space="preserve"> ProjectCashflows!Y$238</f>
        <v>0</v>
      </c>
      <c r="Z966" s="140">
        <f ca="1" xml:space="preserve"> ProjectCashflows!Z$238</f>
        <v>0</v>
      </c>
      <c r="AA966" s="140">
        <f ca="1" xml:space="preserve"> ProjectCashflows!AA$238</f>
        <v>0</v>
      </c>
      <c r="AB966" s="140">
        <f ca="1" xml:space="preserve"> ProjectCashflows!AB$238</f>
        <v>0</v>
      </c>
      <c r="AC966" s="140">
        <f ca="1" xml:space="preserve"> ProjectCashflows!AC$238</f>
        <v>0</v>
      </c>
      <c r="AD966" s="140">
        <f ca="1" xml:space="preserve"> ProjectCashflows!AD$238</f>
        <v>0</v>
      </c>
      <c r="AE966" s="140">
        <f ca="1" xml:space="preserve"> ProjectCashflows!AE$238</f>
        <v>0</v>
      </c>
      <c r="AF966" s="140">
        <f ca="1" xml:space="preserve"> ProjectCashflows!AF$238</f>
        <v>0</v>
      </c>
      <c r="AG966" s="140">
        <f ca="1" xml:space="preserve"> ProjectCashflows!AG$238</f>
        <v>0</v>
      </c>
      <c r="AH966" s="140">
        <f ca="1" xml:space="preserve"> ProjectCashflows!AH$238</f>
        <v>0</v>
      </c>
      <c r="AI966" s="140">
        <f ca="1" xml:space="preserve"> ProjectCashflows!AI$238</f>
        <v>0</v>
      </c>
      <c r="AJ966" s="140">
        <f ca="1" xml:space="preserve"> ProjectCashflows!AJ$238</f>
        <v>0</v>
      </c>
      <c r="AK966" s="140">
        <f ca="1" xml:space="preserve"> ProjectCashflows!AK$238</f>
        <v>0</v>
      </c>
      <c r="AL966" s="140">
        <f ca="1" xml:space="preserve"> ProjectCashflows!AL$238</f>
        <v>0</v>
      </c>
      <c r="AM966" s="140">
        <f ca="1" xml:space="preserve"> ProjectCashflows!AM$238</f>
        <v>0</v>
      </c>
      <c r="AN966" s="140">
        <f ca="1" xml:space="preserve"> ProjectCashflows!AN$238</f>
        <v>0</v>
      </c>
      <c r="AO966" s="140">
        <f ca="1" xml:space="preserve"> ProjectCashflows!AO$238</f>
        <v>0</v>
      </c>
      <c r="AP966" s="140">
        <f ca="1" xml:space="preserve"> ProjectCashflows!AP$238</f>
        <v>0</v>
      </c>
      <c r="AQ966" s="140">
        <f ca="1" xml:space="preserve"> ProjectCashflows!AQ$238</f>
        <v>0</v>
      </c>
      <c r="AR966" s="140">
        <f ca="1" xml:space="preserve"> ProjectCashflows!AR$238</f>
        <v>0</v>
      </c>
      <c r="AS966" s="140">
        <f ca="1" xml:space="preserve"> ProjectCashflows!AS$238</f>
        <v>0</v>
      </c>
      <c r="AT966" s="140">
        <f ca="1" xml:space="preserve"> ProjectCashflows!AT$238</f>
        <v>0</v>
      </c>
      <c r="AU966" s="140">
        <f ca="1" xml:space="preserve"> ProjectCashflows!AU$238</f>
        <v>0</v>
      </c>
      <c r="AV966" s="140">
        <f ca="1" xml:space="preserve"> ProjectCashflows!AV$238</f>
        <v>0</v>
      </c>
      <c r="AW966" s="140">
        <f ca="1" xml:space="preserve"> ProjectCashflows!AW$238</f>
        <v>0</v>
      </c>
      <c r="AX966" s="140">
        <f ca="1" xml:space="preserve"> ProjectCashflows!AX$238</f>
        <v>0</v>
      </c>
    </row>
    <row r="967" spans="1:50" s="40" customFormat="1" ht="15" customHeight="1" x14ac:dyDescent="0.25">
      <c r="A967" s="139"/>
      <c r="B967" s="235"/>
      <c r="C967" s="613"/>
      <c r="D967" s="354"/>
      <c r="E967" s="140" t="str">
        <f xml:space="preserve"> ProjectCashflows!E$239</f>
        <v>Development costs, after ELT</v>
      </c>
      <c r="F967" s="140">
        <f xml:space="preserve"> ProjectCashflows!F$239</f>
        <v>0</v>
      </c>
      <c r="G967" s="140" t="str">
        <f xml:space="preserve"> ProjectCashflows!G$239</f>
        <v>US$ mn</v>
      </c>
      <c r="H967" s="140">
        <f xml:space="preserve"> ProjectCashflows!H$239</f>
        <v>0</v>
      </c>
      <c r="I967" s="140">
        <f ca="1" xml:space="preserve"> ProjectCashflows!I$239</f>
        <v>10455.572281430788</v>
      </c>
      <c r="J967" s="140">
        <f xml:space="preserve"> ProjectCashflows!J$239</f>
        <v>0</v>
      </c>
      <c r="K967" s="140">
        <f ca="1" xml:space="preserve"> ProjectCashflows!K$239</f>
        <v>0</v>
      </c>
      <c r="L967" s="140">
        <f ca="1" xml:space="preserve"> ProjectCashflows!L$239</f>
        <v>51</v>
      </c>
      <c r="M967" s="140">
        <f ca="1" xml:space="preserve"> ProjectCashflows!M$239</f>
        <v>312.12</v>
      </c>
      <c r="N967" s="140">
        <f ca="1" xml:space="preserve"> ProjectCashflows!N$239</f>
        <v>1273.4495999999999</v>
      </c>
      <c r="O967" s="140">
        <f ca="1" xml:space="preserve"> ProjectCashflows!O$239</f>
        <v>1298.918592</v>
      </c>
      <c r="P967" s="140">
        <f ca="1" xml:space="preserve"> ProjectCashflows!P$239</f>
        <v>2318.5696867199999</v>
      </c>
      <c r="Q967" s="140">
        <f ca="1" xml:space="preserve"> ProjectCashflows!Q$239</f>
        <v>1238.7786611904</v>
      </c>
      <c r="R967" s="140">
        <f ca="1" xml:space="preserve"> ProjectCashflows!R$239</f>
        <v>516.90855044217597</v>
      </c>
      <c r="S967" s="140">
        <f ca="1" xml:space="preserve"> ProjectCashflows!S$239</f>
        <v>292.91484525056643</v>
      </c>
      <c r="T967" s="140">
        <f ca="1" xml:space="preserve"> ProjectCashflows!T$239</f>
        <v>298.77314215557777</v>
      </c>
      <c r="U967" s="140">
        <f ca="1" xml:space="preserve"> ProjectCashflows!U$239</f>
        <v>304.74860499868936</v>
      </c>
      <c r="V967" s="140">
        <f ca="1" xml:space="preserve"> ProjectCashflows!V$239</f>
        <v>310.8435770986631</v>
      </c>
      <c r="W967" s="140">
        <f ca="1" xml:space="preserve"> ProjectCashflows!W$239</f>
        <v>317.06044864063637</v>
      </c>
      <c r="X967" s="140">
        <f ca="1" xml:space="preserve"> ProjectCashflows!X$239</f>
        <v>323.40165761344906</v>
      </c>
      <c r="Y967" s="140">
        <f ca="1" xml:space="preserve"> ProjectCashflows!Y$239</f>
        <v>329.86969076571808</v>
      </c>
      <c r="Z967" s="140">
        <f ca="1" xml:space="preserve"> ProjectCashflows!Z$239</f>
        <v>336.46708458103245</v>
      </c>
      <c r="AA967" s="140">
        <f ca="1" xml:space="preserve"> ProjectCashflows!AA$239</f>
        <v>343.19642627265313</v>
      </c>
      <c r="AB967" s="140">
        <f ca="1" xml:space="preserve"> ProjectCashflows!AB$239</f>
        <v>0</v>
      </c>
      <c r="AC967" s="140">
        <f ca="1" xml:space="preserve"> ProjectCashflows!AC$239</f>
        <v>0</v>
      </c>
      <c r="AD967" s="140">
        <f ca="1" xml:space="preserve"> ProjectCashflows!AD$239</f>
        <v>291.36223450555974</v>
      </c>
      <c r="AE967" s="140">
        <f ca="1" xml:space="preserve"> ProjectCashflows!AE$239</f>
        <v>297.18947919567097</v>
      </c>
      <c r="AF967" s="140">
        <f ca="1" xml:space="preserve"> ProjectCashflows!AF$239</f>
        <v>0</v>
      </c>
      <c r="AG967" s="140">
        <f ca="1" xml:space="preserve"> ProjectCashflows!AG$239</f>
        <v>0</v>
      </c>
      <c r="AH967" s="140">
        <f ca="1" xml:space="preserve"> ProjectCashflows!AH$239</f>
        <v>0</v>
      </c>
      <c r="AI967" s="140">
        <f ca="1" xml:space="preserve"> ProjectCashflows!AI$239</f>
        <v>0</v>
      </c>
      <c r="AJ967" s="140">
        <f ca="1" xml:space="preserve"> ProjectCashflows!AJ$239</f>
        <v>0</v>
      </c>
      <c r="AK967" s="140">
        <f ca="1" xml:space="preserve"> ProjectCashflows!AK$239</f>
        <v>0</v>
      </c>
      <c r="AL967" s="140">
        <f ca="1" xml:space="preserve"> ProjectCashflows!AL$239</f>
        <v>0</v>
      </c>
      <c r="AM967" s="140">
        <f ca="1" xml:space="preserve"> ProjectCashflows!AM$239</f>
        <v>0</v>
      </c>
      <c r="AN967" s="140">
        <f ca="1" xml:space="preserve"> ProjectCashflows!AN$239</f>
        <v>0</v>
      </c>
      <c r="AO967" s="140">
        <f ca="1" xml:space="preserve"> ProjectCashflows!AO$239</f>
        <v>0</v>
      </c>
      <c r="AP967" s="140">
        <f ca="1" xml:space="preserve"> ProjectCashflows!AP$239</f>
        <v>0</v>
      </c>
      <c r="AQ967" s="140">
        <f ca="1" xml:space="preserve"> ProjectCashflows!AQ$239</f>
        <v>0</v>
      </c>
      <c r="AR967" s="140">
        <f ca="1" xml:space="preserve"> ProjectCashflows!AR$239</f>
        <v>0</v>
      </c>
      <c r="AS967" s="140">
        <f ca="1" xml:space="preserve"> ProjectCashflows!AS$239</f>
        <v>0</v>
      </c>
      <c r="AT967" s="140">
        <f ca="1" xml:space="preserve"> ProjectCashflows!AT$239</f>
        <v>0</v>
      </c>
      <c r="AU967" s="140">
        <f ca="1" xml:space="preserve"> ProjectCashflows!AU$239</f>
        <v>0</v>
      </c>
      <c r="AV967" s="140">
        <f ca="1" xml:space="preserve"> ProjectCashflows!AV$239</f>
        <v>0</v>
      </c>
      <c r="AW967" s="140">
        <f ca="1" xml:space="preserve"> ProjectCashflows!AW$239</f>
        <v>0</v>
      </c>
      <c r="AX967" s="140">
        <f ca="1" xml:space="preserve"> ProjectCashflows!AX$239</f>
        <v>0</v>
      </c>
    </row>
    <row r="968" spans="1:50" s="40" customFormat="1" ht="15" customHeight="1" x14ac:dyDescent="0.25">
      <c r="A968" s="139"/>
      <c r="B968" s="235"/>
      <c r="C968" s="613"/>
      <c r="D968" s="354"/>
      <c r="E968" s="140" t="str">
        <f xml:space="preserve"> ProjectCashflows!E$240</f>
        <v>Replacement capital costs, after ELT</v>
      </c>
      <c r="F968" s="140">
        <f xml:space="preserve"> ProjectCashflows!F$240</f>
        <v>0</v>
      </c>
      <c r="G968" s="140" t="str">
        <f xml:space="preserve"> ProjectCashflows!G$240</f>
        <v>US$ mn</v>
      </c>
      <c r="H968" s="140">
        <f xml:space="preserve"> ProjectCashflows!H$240</f>
        <v>0</v>
      </c>
      <c r="I968" s="140">
        <f ca="1" xml:space="preserve"> ProjectCashflows!I$240</f>
        <v>0</v>
      </c>
      <c r="J968" s="140">
        <f xml:space="preserve"> ProjectCashflows!J$240</f>
        <v>0</v>
      </c>
      <c r="K968" s="140">
        <f ca="1" xml:space="preserve"> ProjectCashflows!K$240</f>
        <v>0</v>
      </c>
      <c r="L968" s="140">
        <f ca="1" xml:space="preserve"> ProjectCashflows!L$240</f>
        <v>0</v>
      </c>
      <c r="M968" s="140">
        <f ca="1" xml:space="preserve"> ProjectCashflows!M$240</f>
        <v>0</v>
      </c>
      <c r="N968" s="140">
        <f ca="1" xml:space="preserve"> ProjectCashflows!N$240</f>
        <v>0</v>
      </c>
      <c r="O968" s="140">
        <f ca="1" xml:space="preserve"> ProjectCashflows!O$240</f>
        <v>0</v>
      </c>
      <c r="P968" s="140">
        <f ca="1" xml:space="preserve"> ProjectCashflows!P$240</f>
        <v>0</v>
      </c>
      <c r="Q968" s="140">
        <f ca="1" xml:space="preserve"> ProjectCashflows!Q$240</f>
        <v>0</v>
      </c>
      <c r="R968" s="140">
        <f ca="1" xml:space="preserve"> ProjectCashflows!R$240</f>
        <v>0</v>
      </c>
      <c r="S968" s="140">
        <f ca="1" xml:space="preserve"> ProjectCashflows!S$240</f>
        <v>0</v>
      </c>
      <c r="T968" s="140">
        <f ca="1" xml:space="preserve"> ProjectCashflows!T$240</f>
        <v>0</v>
      </c>
      <c r="U968" s="140">
        <f ca="1" xml:space="preserve"> ProjectCashflows!U$240</f>
        <v>0</v>
      </c>
      <c r="V968" s="140">
        <f ca="1" xml:space="preserve"> ProjectCashflows!V$240</f>
        <v>0</v>
      </c>
      <c r="W968" s="140">
        <f ca="1" xml:space="preserve"> ProjectCashflows!W$240</f>
        <v>0</v>
      </c>
      <c r="X968" s="140">
        <f ca="1" xml:space="preserve"> ProjectCashflows!X$240</f>
        <v>0</v>
      </c>
      <c r="Y968" s="140">
        <f ca="1" xml:space="preserve"> ProjectCashflows!Y$240</f>
        <v>0</v>
      </c>
      <c r="Z968" s="140">
        <f ca="1" xml:space="preserve"> ProjectCashflows!Z$240</f>
        <v>0</v>
      </c>
      <c r="AA968" s="140">
        <f ca="1" xml:space="preserve"> ProjectCashflows!AA$240</f>
        <v>0</v>
      </c>
      <c r="AB968" s="140">
        <f ca="1" xml:space="preserve"> ProjectCashflows!AB$240</f>
        <v>0</v>
      </c>
      <c r="AC968" s="140">
        <f ca="1" xml:space="preserve"> ProjectCashflows!AC$240</f>
        <v>0</v>
      </c>
      <c r="AD968" s="140">
        <f ca="1" xml:space="preserve"> ProjectCashflows!AD$240</f>
        <v>0</v>
      </c>
      <c r="AE968" s="140">
        <f ca="1" xml:space="preserve"> ProjectCashflows!AE$240</f>
        <v>0</v>
      </c>
      <c r="AF968" s="140">
        <f ca="1" xml:space="preserve"> ProjectCashflows!AF$240</f>
        <v>0</v>
      </c>
      <c r="AG968" s="140">
        <f ca="1" xml:space="preserve"> ProjectCashflows!AG$240</f>
        <v>0</v>
      </c>
      <c r="AH968" s="140">
        <f ca="1" xml:space="preserve"> ProjectCashflows!AH$240</f>
        <v>0</v>
      </c>
      <c r="AI968" s="140">
        <f ca="1" xml:space="preserve"> ProjectCashflows!AI$240</f>
        <v>0</v>
      </c>
      <c r="AJ968" s="140">
        <f ca="1" xml:space="preserve"> ProjectCashflows!AJ$240</f>
        <v>0</v>
      </c>
      <c r="AK968" s="140">
        <f ca="1" xml:space="preserve"> ProjectCashflows!AK$240</f>
        <v>0</v>
      </c>
      <c r="AL968" s="140">
        <f ca="1" xml:space="preserve"> ProjectCashflows!AL$240</f>
        <v>0</v>
      </c>
      <c r="AM968" s="140">
        <f ca="1" xml:space="preserve"> ProjectCashflows!AM$240</f>
        <v>0</v>
      </c>
      <c r="AN968" s="140">
        <f ca="1" xml:space="preserve"> ProjectCashflows!AN$240</f>
        <v>0</v>
      </c>
      <c r="AO968" s="140">
        <f ca="1" xml:space="preserve"> ProjectCashflows!AO$240</f>
        <v>0</v>
      </c>
      <c r="AP968" s="140">
        <f ca="1" xml:space="preserve"> ProjectCashflows!AP$240</f>
        <v>0</v>
      </c>
      <c r="AQ968" s="140">
        <f ca="1" xml:space="preserve"> ProjectCashflows!AQ$240</f>
        <v>0</v>
      </c>
      <c r="AR968" s="140">
        <f ca="1" xml:space="preserve"> ProjectCashflows!AR$240</f>
        <v>0</v>
      </c>
      <c r="AS968" s="140">
        <f ca="1" xml:space="preserve"> ProjectCashflows!AS$240</f>
        <v>0</v>
      </c>
      <c r="AT968" s="140">
        <f ca="1" xml:space="preserve"> ProjectCashflows!AT$240</f>
        <v>0</v>
      </c>
      <c r="AU968" s="140">
        <f ca="1" xml:space="preserve"> ProjectCashflows!AU$240</f>
        <v>0</v>
      </c>
      <c r="AV968" s="140">
        <f ca="1" xml:space="preserve"> ProjectCashflows!AV$240</f>
        <v>0</v>
      </c>
      <c r="AW968" s="140">
        <f ca="1" xml:space="preserve"> ProjectCashflows!AW$240</f>
        <v>0</v>
      </c>
      <c r="AX968" s="140">
        <f ca="1" xml:space="preserve"> ProjectCashflows!AX$240</f>
        <v>0</v>
      </c>
    </row>
    <row r="969" spans="1:50" s="40" customFormat="1" ht="15" customHeight="1" x14ac:dyDescent="0.25">
      <c r="A969" s="139"/>
      <c r="B969" s="235"/>
      <c r="C969" s="613"/>
      <c r="D969" s="354"/>
      <c r="E969" s="140" t="str">
        <f xml:space="preserve"> ProjectCashflows!E$241</f>
        <v>Operating costs, after ELT</v>
      </c>
      <c r="F969" s="140">
        <f xml:space="preserve"> ProjectCashflows!F$241</f>
        <v>0</v>
      </c>
      <c r="G969" s="140" t="str">
        <f xml:space="preserve"> ProjectCashflows!G$241</f>
        <v>US$ mn</v>
      </c>
      <c r="H969" s="140">
        <f xml:space="preserve"> ProjectCashflows!H$241</f>
        <v>0</v>
      </c>
      <c r="I969" s="140">
        <f ca="1" xml:space="preserve"> ProjectCashflows!I$241</f>
        <v>6159.112593390113</v>
      </c>
      <c r="J969" s="140">
        <f xml:space="preserve"> ProjectCashflows!J$241</f>
        <v>0</v>
      </c>
      <c r="K969" s="140">
        <f ca="1" xml:space="preserve"> ProjectCashflows!K$241</f>
        <v>0</v>
      </c>
      <c r="L969" s="140">
        <f ca="1" xml:space="preserve"> ProjectCashflows!L$241</f>
        <v>0</v>
      </c>
      <c r="M969" s="140">
        <f ca="1" xml:space="preserve"> ProjectCashflows!M$241</f>
        <v>0</v>
      </c>
      <c r="N969" s="140">
        <f ca="1" xml:space="preserve"> ProjectCashflows!N$241</f>
        <v>0</v>
      </c>
      <c r="O969" s="140">
        <f ca="1" xml:space="preserve"> ProjectCashflows!O$241</f>
        <v>54.121608000000002</v>
      </c>
      <c r="P969" s="140">
        <f ca="1" xml:space="preserve"> ProjectCashflows!P$241</f>
        <v>198.73454457599999</v>
      </c>
      <c r="Q969" s="140">
        <f ca="1" xml:space="preserve"> ProjectCashflows!Q$241</f>
        <v>292.80222900864004</v>
      </c>
      <c r="R969" s="140">
        <f ca="1" xml:space="preserve"> ProjectCashflows!R$241</f>
        <v>298.65827358881279</v>
      </c>
      <c r="S969" s="140">
        <f ca="1" xml:space="preserve"> ProjectCashflows!S$241</f>
        <v>304.63143906058912</v>
      </c>
      <c r="T969" s="140">
        <f ca="1" xml:space="preserve"> ProjectCashflows!T$241</f>
        <v>310.72406784180089</v>
      </c>
      <c r="U969" s="140">
        <f ca="1" xml:space="preserve"> ProjectCashflows!U$241</f>
        <v>316.93854919863691</v>
      </c>
      <c r="V969" s="140">
        <f ca="1" xml:space="preserve"> ProjectCashflows!V$241</f>
        <v>323.27732018260963</v>
      </c>
      <c r="W969" s="140">
        <f ca="1" xml:space="preserve"> ProjectCashflows!W$241</f>
        <v>329.74286658626181</v>
      </c>
      <c r="X969" s="140">
        <f ca="1" xml:space="preserve"> ProjectCashflows!X$241</f>
        <v>336.33772391798703</v>
      </c>
      <c r="Y969" s="140">
        <f ca="1" xml:space="preserve"> ProjectCashflows!Y$241</f>
        <v>343.06447839634683</v>
      </c>
      <c r="Z969" s="140">
        <f ca="1" xml:space="preserve"> ProjectCashflows!Z$241</f>
        <v>349.92576796427375</v>
      </c>
      <c r="AA969" s="140">
        <f ca="1" xml:space="preserve"> ProjectCashflows!AA$241</f>
        <v>356.92428332355922</v>
      </c>
      <c r="AB969" s="140">
        <f ca="1" xml:space="preserve"> ProjectCashflows!AB$241</f>
        <v>364.06276899003046</v>
      </c>
      <c r="AC969" s="140">
        <f ca="1" xml:space="preserve"> ProjectCashflows!AC$241</f>
        <v>214.23693713644101</v>
      </c>
      <c r="AD969" s="140">
        <f ca="1" xml:space="preserve"> ProjectCashflows!AD$241</f>
        <v>203.95356415389182</v>
      </c>
      <c r="AE969" s="140">
        <f ca="1" xml:space="preserve"> ProjectCashflows!AE$241</f>
        <v>178.3136875174026</v>
      </c>
      <c r="AF969" s="140">
        <f ca="1" xml:space="preserve"> ProjectCashflows!AF$241</f>
        <v>168.23896417266934</v>
      </c>
      <c r="AG969" s="140">
        <f ca="1" xml:space="preserve"> ProjectCashflows!AG$241</f>
        <v>154.59796707758807</v>
      </c>
      <c r="AH969" s="140">
        <f ca="1" xml:space="preserve"> ProjectCashflows!AH$241</f>
        <v>149.80543009818282</v>
      </c>
      <c r="AI969" s="140">
        <f ca="1" xml:space="preserve"> ProjectCashflows!AI$241</f>
        <v>144.75935245277034</v>
      </c>
      <c r="AJ969" s="140">
        <f ca="1" xml:space="preserve"> ProjectCashflows!AJ$241</f>
        <v>139.45150952950212</v>
      </c>
      <c r="AK969" s="140">
        <f ca="1" xml:space="preserve"> ProjectCashflows!AK$241</f>
        <v>133.87344914832201</v>
      </c>
      <c r="AL969" s="140">
        <f ca="1" xml:space="preserve"> ProjectCashflows!AL$241</f>
        <v>128.01648574808294</v>
      </c>
      <c r="AM969" s="140">
        <f ca="1" xml:space="preserve"> ProjectCashflows!AM$241</f>
        <v>121.87169443217496</v>
      </c>
      <c r="AN969" s="140">
        <f ca="1" xml:space="preserve"> ProjectCashflows!AN$241</f>
        <v>124.30912832081846</v>
      </c>
      <c r="AO969" s="140">
        <f ca="1" xml:space="preserve"> ProjectCashflows!AO$241</f>
        <v>117.73850296671806</v>
      </c>
      <c r="AP969" s="140">
        <f ca="1" xml:space="preserve"> ProjectCashflows!AP$241</f>
        <v>0</v>
      </c>
      <c r="AQ969" s="140">
        <f ca="1" xml:space="preserve"> ProjectCashflows!AQ$241</f>
        <v>0</v>
      </c>
      <c r="AR969" s="140">
        <f ca="1" xml:space="preserve"> ProjectCashflows!AR$241</f>
        <v>0</v>
      </c>
      <c r="AS969" s="140">
        <f ca="1" xml:space="preserve"> ProjectCashflows!AS$241</f>
        <v>0</v>
      </c>
      <c r="AT969" s="140">
        <f ca="1" xml:space="preserve"> ProjectCashflows!AT$241</f>
        <v>0</v>
      </c>
      <c r="AU969" s="140">
        <f ca="1" xml:space="preserve"> ProjectCashflows!AU$241</f>
        <v>0</v>
      </c>
      <c r="AV969" s="140">
        <f ca="1" xml:space="preserve"> ProjectCashflows!AV$241</f>
        <v>0</v>
      </c>
      <c r="AW969" s="140">
        <f ca="1" xml:space="preserve"> ProjectCashflows!AW$241</f>
        <v>0</v>
      </c>
      <c r="AX969" s="140">
        <f ca="1" xml:space="preserve"> ProjectCashflows!AX$241</f>
        <v>0</v>
      </c>
    </row>
    <row r="970" spans="1:50" s="40" customFormat="1" ht="15" customHeight="1" x14ac:dyDescent="0.25">
      <c r="A970" s="139"/>
      <c r="B970" s="235"/>
      <c r="C970" s="613"/>
      <c r="D970" s="354"/>
      <c r="E970" s="140" t="str">
        <f xml:space="preserve"> ProjectCashflows!E$242</f>
        <v>Decommissioning costs, after ELT</v>
      </c>
      <c r="F970" s="140">
        <f xml:space="preserve"> ProjectCashflows!F$242</f>
        <v>0</v>
      </c>
      <c r="G970" s="140" t="str">
        <f xml:space="preserve"> ProjectCashflows!G$242</f>
        <v>US$ mn</v>
      </c>
      <c r="H970" s="140">
        <f xml:space="preserve"> ProjectCashflows!H$242</f>
        <v>0</v>
      </c>
      <c r="I970" s="140">
        <f ca="1" xml:space="preserve"> ProjectCashflows!I$242</f>
        <v>1359.7539711319146</v>
      </c>
      <c r="J970" s="140">
        <f xml:space="preserve"> ProjectCashflows!J$242</f>
        <v>0</v>
      </c>
      <c r="K970" s="140">
        <f ca="1" xml:space="preserve"> ProjectCashflows!K$242</f>
        <v>0</v>
      </c>
      <c r="L970" s="140">
        <f ca="1" xml:space="preserve"> ProjectCashflows!L$242</f>
        <v>0</v>
      </c>
      <c r="M970" s="140">
        <f ca="1" xml:space="preserve"> ProjectCashflows!M$242</f>
        <v>0</v>
      </c>
      <c r="N970" s="140">
        <f ca="1" xml:space="preserve"> ProjectCashflows!N$242</f>
        <v>0</v>
      </c>
      <c r="O970" s="140">
        <f ca="1" xml:space="preserve"> ProjectCashflows!O$242</f>
        <v>0</v>
      </c>
      <c r="P970" s="140">
        <f ca="1" xml:space="preserve"> ProjectCashflows!P$242</f>
        <v>0</v>
      </c>
      <c r="Q970" s="140">
        <f ca="1" xml:space="preserve"> ProjectCashflows!Q$242</f>
        <v>0</v>
      </c>
      <c r="R970" s="140">
        <f ca="1" xml:space="preserve"> ProjectCashflows!R$242</f>
        <v>0</v>
      </c>
      <c r="S970" s="140">
        <f ca="1" xml:space="preserve"> ProjectCashflows!S$242</f>
        <v>0</v>
      </c>
      <c r="T970" s="140">
        <f ca="1" xml:space="preserve"> ProjectCashflows!T$242</f>
        <v>0</v>
      </c>
      <c r="U970" s="140">
        <f ca="1" xml:space="preserve"> ProjectCashflows!U$242</f>
        <v>0</v>
      </c>
      <c r="V970" s="140">
        <f ca="1" xml:space="preserve"> ProjectCashflows!V$242</f>
        <v>0</v>
      </c>
      <c r="W970" s="140">
        <f ca="1" xml:space="preserve"> ProjectCashflows!W$242</f>
        <v>0</v>
      </c>
      <c r="X970" s="140">
        <f ca="1" xml:space="preserve"> ProjectCashflows!X$242</f>
        <v>0</v>
      </c>
      <c r="Y970" s="140">
        <f ca="1" xml:space="preserve"> ProjectCashflows!Y$242</f>
        <v>0</v>
      </c>
      <c r="Z970" s="140">
        <f ca="1" xml:space="preserve"> ProjectCashflows!Z$242</f>
        <v>0</v>
      </c>
      <c r="AA970" s="140">
        <f ca="1" xml:space="preserve"> ProjectCashflows!AA$242</f>
        <v>0</v>
      </c>
      <c r="AB970" s="140">
        <f ca="1" xml:space="preserve"> ProjectCashflows!AB$242</f>
        <v>0</v>
      </c>
      <c r="AC970" s="140">
        <f ca="1" xml:space="preserve"> ProjectCashflows!AC$242</f>
        <v>0</v>
      </c>
      <c r="AD970" s="140">
        <f ca="1" xml:space="preserve"> ProjectCashflows!AD$242</f>
        <v>0</v>
      </c>
      <c r="AE970" s="140">
        <f ca="1" xml:space="preserve"> ProjectCashflows!AE$242</f>
        <v>0</v>
      </c>
      <c r="AF970" s="140">
        <f ca="1" xml:space="preserve"> ProjectCashflows!AF$242</f>
        <v>0</v>
      </c>
      <c r="AG970" s="140">
        <f ca="1" xml:space="preserve"> ProjectCashflows!AG$242</f>
        <v>0</v>
      </c>
      <c r="AH970" s="140">
        <f ca="1" xml:space="preserve"> ProjectCashflows!AH$242</f>
        <v>0</v>
      </c>
      <c r="AI970" s="140">
        <f ca="1" xml:space="preserve"> ProjectCashflows!AI$242</f>
        <v>0</v>
      </c>
      <c r="AJ970" s="140">
        <f ca="1" xml:space="preserve"> ProjectCashflows!AJ$242</f>
        <v>0</v>
      </c>
      <c r="AK970" s="140">
        <f ca="1" xml:space="preserve"> ProjectCashflows!AK$242</f>
        <v>0</v>
      </c>
      <c r="AL970" s="140">
        <f ca="1" xml:space="preserve"> ProjectCashflows!AL$242</f>
        <v>426.72161916027648</v>
      </c>
      <c r="AM970" s="140">
        <f ca="1" xml:space="preserve"> ProjectCashflows!AM$242</f>
        <v>0</v>
      </c>
      <c r="AN970" s="140">
        <f ca="1" xml:space="preserve"> ProjectCashflows!AN$242</f>
        <v>0</v>
      </c>
      <c r="AO970" s="140">
        <f ca="1" xml:space="preserve"> ProjectCashflows!AO$242</f>
        <v>0</v>
      </c>
      <c r="AP970" s="140">
        <f ca="1" xml:space="preserve"> ProjectCashflows!AP$242</f>
        <v>461.89720394635549</v>
      </c>
      <c r="AQ970" s="140">
        <f ca="1" xml:space="preserve"> ProjectCashflows!AQ$242</f>
        <v>471.1351480252826</v>
      </c>
      <c r="AR970" s="140">
        <f ca="1" xml:space="preserve"> ProjectCashflows!AR$242</f>
        <v>0</v>
      </c>
      <c r="AS970" s="140">
        <f ca="1" xml:space="preserve"> ProjectCashflows!AS$242</f>
        <v>0</v>
      </c>
      <c r="AT970" s="140">
        <f ca="1" xml:space="preserve"> ProjectCashflows!AT$242</f>
        <v>0</v>
      </c>
      <c r="AU970" s="140">
        <f ca="1" xml:space="preserve"> ProjectCashflows!AU$242</f>
        <v>0</v>
      </c>
      <c r="AV970" s="140">
        <f ca="1" xml:space="preserve"> ProjectCashflows!AV$242</f>
        <v>0</v>
      </c>
      <c r="AW970" s="140">
        <f ca="1" xml:space="preserve"> ProjectCashflows!AW$242</f>
        <v>0</v>
      </c>
      <c r="AX970" s="140">
        <f ca="1" xml:space="preserve"> ProjectCashflows!AX$242</f>
        <v>0</v>
      </c>
    </row>
    <row r="971" spans="1:50" ht="15" customHeight="1" x14ac:dyDescent="0.25">
      <c r="A971" s="86"/>
    </row>
    <row r="972" spans="1:50" ht="15" customHeight="1" x14ac:dyDescent="0.25">
      <c r="A972" s="86"/>
      <c r="E972" s="402" t="str">
        <f xml:space="preserve"> E$90</f>
        <v>VAT rate</v>
      </c>
      <c r="F972" s="402">
        <f xml:space="preserve"> F$90</f>
        <v>0</v>
      </c>
      <c r="G972" s="402" t="str">
        <f xml:space="preserve"> G$90</f>
        <v>%</v>
      </c>
    </row>
    <row r="973" spans="1:50" ht="15" customHeight="1" x14ac:dyDescent="0.25">
      <c r="A973" s="86"/>
      <c r="E973" s="402" t="str">
        <f xml:space="preserve"> E$91</f>
        <v>% Exploration &amp; capex subject to VAT</v>
      </c>
      <c r="F973" s="402">
        <f xml:space="preserve"> F$91</f>
        <v>0</v>
      </c>
      <c r="G973" s="402" t="str">
        <f xml:space="preserve"> G$91</f>
        <v>%</v>
      </c>
    </row>
    <row r="974" spans="1:50" ht="15" customHeight="1" x14ac:dyDescent="0.25">
      <c r="A974" s="86"/>
      <c r="E974" s="402" t="str">
        <f xml:space="preserve"> E$92</f>
        <v>% opex subject to VAT</v>
      </c>
      <c r="F974" s="402">
        <f xml:space="preserve"> F$92</f>
        <v>0</v>
      </c>
      <c r="G974" s="402" t="str">
        <f xml:space="preserve"> G$92</f>
        <v>%</v>
      </c>
    </row>
    <row r="975" spans="1:50" ht="15" customHeight="1" x14ac:dyDescent="0.25">
      <c r="A975" s="86"/>
      <c r="E975" s="402"/>
      <c r="F975" s="402"/>
      <c r="G975" s="402"/>
    </row>
    <row r="976" spans="1:50" s="412" customFormat="1" ht="15" customHeight="1" x14ac:dyDescent="0.25">
      <c r="A976" s="420"/>
      <c r="B976" s="683"/>
      <c r="C976" s="744"/>
      <c r="D976" s="591"/>
      <c r="E976" s="514" t="str">
        <f xml:space="preserve"> E966 &amp; ": " &amp; Translate!E531</f>
        <v>Exploration costs, after ELT: VAT charged</v>
      </c>
      <c r="F976" s="514"/>
      <c r="G976" s="514" t="str">
        <f xml:space="preserve"> G966</f>
        <v>US$ mn</v>
      </c>
      <c r="I976" s="412">
        <f t="shared" ref="I976:I981" ca="1" si="326" xml:space="preserve"> SUM(K976:AX976)</f>
        <v>0</v>
      </c>
      <c r="K976" s="412">
        <f ca="1" xml:space="preserve"> K966 * $F973 * K$963 * $F972</f>
        <v>0</v>
      </c>
      <c r="L976" s="412">
        <f t="shared" ref="L976:AX976" ca="1" si="327" xml:space="preserve"> L966 * $F973 * L$963 * $F972</f>
        <v>0</v>
      </c>
      <c r="M976" s="412">
        <f t="shared" ca="1" si="327"/>
        <v>0</v>
      </c>
      <c r="N976" s="412">
        <f t="shared" ca="1" si="327"/>
        <v>0</v>
      </c>
      <c r="O976" s="412">
        <f t="shared" ca="1" si="327"/>
        <v>0</v>
      </c>
      <c r="P976" s="412">
        <f t="shared" ca="1" si="327"/>
        <v>0</v>
      </c>
      <c r="Q976" s="412">
        <f t="shared" ca="1" si="327"/>
        <v>0</v>
      </c>
      <c r="R976" s="412">
        <f t="shared" ca="1" si="327"/>
        <v>0</v>
      </c>
      <c r="S976" s="412">
        <f t="shared" ca="1" si="327"/>
        <v>0</v>
      </c>
      <c r="T976" s="412">
        <f t="shared" ca="1" si="327"/>
        <v>0</v>
      </c>
      <c r="U976" s="412">
        <f t="shared" ca="1" si="327"/>
        <v>0</v>
      </c>
      <c r="V976" s="412">
        <f t="shared" ca="1" si="327"/>
        <v>0</v>
      </c>
      <c r="W976" s="412">
        <f t="shared" ca="1" si="327"/>
        <v>0</v>
      </c>
      <c r="X976" s="412">
        <f t="shared" ca="1" si="327"/>
        <v>0</v>
      </c>
      <c r="Y976" s="412">
        <f t="shared" ca="1" si="327"/>
        <v>0</v>
      </c>
      <c r="Z976" s="412">
        <f t="shared" ca="1" si="327"/>
        <v>0</v>
      </c>
      <c r="AA976" s="412">
        <f t="shared" ca="1" si="327"/>
        <v>0</v>
      </c>
      <c r="AB976" s="412">
        <f t="shared" ca="1" si="327"/>
        <v>0</v>
      </c>
      <c r="AC976" s="412">
        <f t="shared" ca="1" si="327"/>
        <v>0</v>
      </c>
      <c r="AD976" s="412">
        <f t="shared" ca="1" si="327"/>
        <v>0</v>
      </c>
      <c r="AE976" s="412">
        <f t="shared" ca="1" si="327"/>
        <v>0</v>
      </c>
      <c r="AF976" s="412">
        <f t="shared" ca="1" si="327"/>
        <v>0</v>
      </c>
      <c r="AG976" s="412">
        <f t="shared" ca="1" si="327"/>
        <v>0</v>
      </c>
      <c r="AH976" s="412">
        <f t="shared" ca="1" si="327"/>
        <v>0</v>
      </c>
      <c r="AI976" s="412">
        <f t="shared" ca="1" si="327"/>
        <v>0</v>
      </c>
      <c r="AJ976" s="412">
        <f t="shared" ca="1" si="327"/>
        <v>0</v>
      </c>
      <c r="AK976" s="412">
        <f t="shared" ca="1" si="327"/>
        <v>0</v>
      </c>
      <c r="AL976" s="412">
        <f t="shared" ca="1" si="327"/>
        <v>0</v>
      </c>
      <c r="AM976" s="412">
        <f t="shared" ca="1" si="327"/>
        <v>0</v>
      </c>
      <c r="AN976" s="412">
        <f t="shared" ca="1" si="327"/>
        <v>0</v>
      </c>
      <c r="AO976" s="412">
        <f t="shared" ca="1" si="327"/>
        <v>0</v>
      </c>
      <c r="AP976" s="412">
        <f t="shared" ca="1" si="327"/>
        <v>0</v>
      </c>
      <c r="AQ976" s="412">
        <f t="shared" ca="1" si="327"/>
        <v>0</v>
      </c>
      <c r="AR976" s="412">
        <f t="shared" ca="1" si="327"/>
        <v>0</v>
      </c>
      <c r="AS976" s="412">
        <f t="shared" ca="1" si="327"/>
        <v>0</v>
      </c>
      <c r="AT976" s="412">
        <f t="shared" ca="1" si="327"/>
        <v>0</v>
      </c>
      <c r="AU976" s="412">
        <f t="shared" ca="1" si="327"/>
        <v>0</v>
      </c>
      <c r="AV976" s="412">
        <f t="shared" ca="1" si="327"/>
        <v>0</v>
      </c>
      <c r="AW976" s="412">
        <f t="shared" ca="1" si="327"/>
        <v>0</v>
      </c>
      <c r="AX976" s="412">
        <f t="shared" ca="1" si="327"/>
        <v>0</v>
      </c>
    </row>
    <row r="977" spans="1:50" ht="15" customHeight="1" x14ac:dyDescent="0.25">
      <c r="A977" s="86"/>
      <c r="E977" s="514" t="str">
        <f xml:space="preserve"> E967 &amp; ": " &amp; Translate!E531</f>
        <v>Development costs, after ELT: VAT charged</v>
      </c>
      <c r="F977" s="514"/>
      <c r="G977" s="514" t="str">
        <f xml:space="preserve"> G967</f>
        <v>US$ mn</v>
      </c>
      <c r="I977" s="412">
        <f t="shared" ca="1" si="326"/>
        <v>0</v>
      </c>
      <c r="K977" s="412">
        <f t="shared" ref="K977:AX977" ca="1" si="328" xml:space="preserve"> K967 * $F973 * K$963 * $F972</f>
        <v>0</v>
      </c>
      <c r="L977" s="412">
        <f t="shared" ca="1" si="328"/>
        <v>0</v>
      </c>
      <c r="M977" s="412">
        <f t="shared" ca="1" si="328"/>
        <v>0</v>
      </c>
      <c r="N977" s="412">
        <f t="shared" ca="1" si="328"/>
        <v>0</v>
      </c>
      <c r="O977" s="412">
        <f t="shared" ca="1" si="328"/>
        <v>0</v>
      </c>
      <c r="P977" s="412">
        <f t="shared" ca="1" si="328"/>
        <v>0</v>
      </c>
      <c r="Q977" s="412">
        <f t="shared" ca="1" si="328"/>
        <v>0</v>
      </c>
      <c r="R977" s="412">
        <f t="shared" ca="1" si="328"/>
        <v>0</v>
      </c>
      <c r="S977" s="412">
        <f t="shared" ca="1" si="328"/>
        <v>0</v>
      </c>
      <c r="T977" s="412">
        <f t="shared" ca="1" si="328"/>
        <v>0</v>
      </c>
      <c r="U977" s="412">
        <f t="shared" ca="1" si="328"/>
        <v>0</v>
      </c>
      <c r="V977" s="412">
        <f t="shared" ca="1" si="328"/>
        <v>0</v>
      </c>
      <c r="W977" s="412">
        <f t="shared" ca="1" si="328"/>
        <v>0</v>
      </c>
      <c r="X977" s="412">
        <f t="shared" ca="1" si="328"/>
        <v>0</v>
      </c>
      <c r="Y977" s="412">
        <f t="shared" ca="1" si="328"/>
        <v>0</v>
      </c>
      <c r="Z977" s="412">
        <f t="shared" ca="1" si="328"/>
        <v>0</v>
      </c>
      <c r="AA977" s="412">
        <f t="shared" ca="1" si="328"/>
        <v>0</v>
      </c>
      <c r="AB977" s="412">
        <f t="shared" ca="1" si="328"/>
        <v>0</v>
      </c>
      <c r="AC977" s="412">
        <f t="shared" ca="1" si="328"/>
        <v>0</v>
      </c>
      <c r="AD977" s="412">
        <f t="shared" ca="1" si="328"/>
        <v>0</v>
      </c>
      <c r="AE977" s="412">
        <f t="shared" ca="1" si="328"/>
        <v>0</v>
      </c>
      <c r="AF977" s="412">
        <f t="shared" ca="1" si="328"/>
        <v>0</v>
      </c>
      <c r="AG977" s="412">
        <f t="shared" ca="1" si="328"/>
        <v>0</v>
      </c>
      <c r="AH977" s="412">
        <f t="shared" ca="1" si="328"/>
        <v>0</v>
      </c>
      <c r="AI977" s="412">
        <f t="shared" ca="1" si="328"/>
        <v>0</v>
      </c>
      <c r="AJ977" s="412">
        <f t="shared" ca="1" si="328"/>
        <v>0</v>
      </c>
      <c r="AK977" s="412">
        <f t="shared" ca="1" si="328"/>
        <v>0</v>
      </c>
      <c r="AL977" s="412">
        <f t="shared" ca="1" si="328"/>
        <v>0</v>
      </c>
      <c r="AM977" s="412">
        <f t="shared" ca="1" si="328"/>
        <v>0</v>
      </c>
      <c r="AN977" s="412">
        <f t="shared" ca="1" si="328"/>
        <v>0</v>
      </c>
      <c r="AO977" s="412">
        <f t="shared" ca="1" si="328"/>
        <v>0</v>
      </c>
      <c r="AP977" s="412">
        <f t="shared" ca="1" si="328"/>
        <v>0</v>
      </c>
      <c r="AQ977" s="412">
        <f t="shared" ca="1" si="328"/>
        <v>0</v>
      </c>
      <c r="AR977" s="412">
        <f t="shared" ca="1" si="328"/>
        <v>0</v>
      </c>
      <c r="AS977" s="412">
        <f t="shared" ca="1" si="328"/>
        <v>0</v>
      </c>
      <c r="AT977" s="412">
        <f t="shared" ca="1" si="328"/>
        <v>0</v>
      </c>
      <c r="AU977" s="412">
        <f t="shared" ca="1" si="328"/>
        <v>0</v>
      </c>
      <c r="AV977" s="412">
        <f t="shared" ca="1" si="328"/>
        <v>0</v>
      </c>
      <c r="AW977" s="412">
        <f t="shared" ca="1" si="328"/>
        <v>0</v>
      </c>
      <c r="AX977" s="412">
        <f t="shared" ca="1" si="328"/>
        <v>0</v>
      </c>
    </row>
    <row r="978" spans="1:50" ht="15" customHeight="1" x14ac:dyDescent="0.25">
      <c r="A978" s="86"/>
      <c r="E978" s="514" t="str">
        <f xml:space="preserve"> E968 &amp; ": " &amp; Translate!E531</f>
        <v>Replacement capital costs, after ELT: VAT charged</v>
      </c>
      <c r="F978" s="514"/>
      <c r="G978" s="514" t="str">
        <f xml:space="preserve"> G968</f>
        <v>US$ mn</v>
      </c>
      <c r="I978" s="412">
        <f t="shared" ca="1" si="326"/>
        <v>0</v>
      </c>
      <c r="K978" s="412">
        <f t="shared" ref="K978:AX978" ca="1" si="329" xml:space="preserve"> K968 * $F973 * K$963 * $F972</f>
        <v>0</v>
      </c>
      <c r="L978" s="412">
        <f t="shared" ca="1" si="329"/>
        <v>0</v>
      </c>
      <c r="M978" s="412">
        <f t="shared" ca="1" si="329"/>
        <v>0</v>
      </c>
      <c r="N978" s="412">
        <f t="shared" ca="1" si="329"/>
        <v>0</v>
      </c>
      <c r="O978" s="412">
        <f t="shared" ca="1" si="329"/>
        <v>0</v>
      </c>
      <c r="P978" s="412">
        <f t="shared" ca="1" si="329"/>
        <v>0</v>
      </c>
      <c r="Q978" s="412">
        <f t="shared" ca="1" si="329"/>
        <v>0</v>
      </c>
      <c r="R978" s="412">
        <f t="shared" ca="1" si="329"/>
        <v>0</v>
      </c>
      <c r="S978" s="412">
        <f t="shared" ca="1" si="329"/>
        <v>0</v>
      </c>
      <c r="T978" s="412">
        <f t="shared" ca="1" si="329"/>
        <v>0</v>
      </c>
      <c r="U978" s="412">
        <f t="shared" ca="1" si="329"/>
        <v>0</v>
      </c>
      <c r="V978" s="412">
        <f t="shared" ca="1" si="329"/>
        <v>0</v>
      </c>
      <c r="W978" s="412">
        <f t="shared" ca="1" si="329"/>
        <v>0</v>
      </c>
      <c r="X978" s="412">
        <f t="shared" ca="1" si="329"/>
        <v>0</v>
      </c>
      <c r="Y978" s="412">
        <f t="shared" ca="1" si="329"/>
        <v>0</v>
      </c>
      <c r="Z978" s="412">
        <f t="shared" ca="1" si="329"/>
        <v>0</v>
      </c>
      <c r="AA978" s="412">
        <f t="shared" ca="1" si="329"/>
        <v>0</v>
      </c>
      <c r="AB978" s="412">
        <f t="shared" ca="1" si="329"/>
        <v>0</v>
      </c>
      <c r="AC978" s="412">
        <f t="shared" ca="1" si="329"/>
        <v>0</v>
      </c>
      <c r="AD978" s="412">
        <f t="shared" ca="1" si="329"/>
        <v>0</v>
      </c>
      <c r="AE978" s="412">
        <f t="shared" ca="1" si="329"/>
        <v>0</v>
      </c>
      <c r="AF978" s="412">
        <f t="shared" ca="1" si="329"/>
        <v>0</v>
      </c>
      <c r="AG978" s="412">
        <f t="shared" ca="1" si="329"/>
        <v>0</v>
      </c>
      <c r="AH978" s="412">
        <f t="shared" ca="1" si="329"/>
        <v>0</v>
      </c>
      <c r="AI978" s="412">
        <f t="shared" ca="1" si="329"/>
        <v>0</v>
      </c>
      <c r="AJ978" s="412">
        <f t="shared" ca="1" si="329"/>
        <v>0</v>
      </c>
      <c r="AK978" s="412">
        <f t="shared" ca="1" si="329"/>
        <v>0</v>
      </c>
      <c r="AL978" s="412">
        <f t="shared" ca="1" si="329"/>
        <v>0</v>
      </c>
      <c r="AM978" s="412">
        <f t="shared" ca="1" si="329"/>
        <v>0</v>
      </c>
      <c r="AN978" s="412">
        <f t="shared" ca="1" si="329"/>
        <v>0</v>
      </c>
      <c r="AO978" s="412">
        <f t="shared" ca="1" si="329"/>
        <v>0</v>
      </c>
      <c r="AP978" s="412">
        <f t="shared" ca="1" si="329"/>
        <v>0</v>
      </c>
      <c r="AQ978" s="412">
        <f t="shared" ca="1" si="329"/>
        <v>0</v>
      </c>
      <c r="AR978" s="412">
        <f t="shared" ca="1" si="329"/>
        <v>0</v>
      </c>
      <c r="AS978" s="412">
        <f t="shared" ca="1" si="329"/>
        <v>0</v>
      </c>
      <c r="AT978" s="412">
        <f t="shared" ca="1" si="329"/>
        <v>0</v>
      </c>
      <c r="AU978" s="412">
        <f t="shared" ca="1" si="329"/>
        <v>0</v>
      </c>
      <c r="AV978" s="412">
        <f t="shared" ca="1" si="329"/>
        <v>0</v>
      </c>
      <c r="AW978" s="412">
        <f t="shared" ca="1" si="329"/>
        <v>0</v>
      </c>
      <c r="AX978" s="412">
        <f t="shared" ca="1" si="329"/>
        <v>0</v>
      </c>
    </row>
    <row r="979" spans="1:50" ht="15" customHeight="1" x14ac:dyDescent="0.25">
      <c r="A979" s="86"/>
      <c r="E979" s="514" t="str">
        <f xml:space="preserve"> E969 &amp; ": " &amp; Translate!E531</f>
        <v>Operating costs, after ELT: VAT charged</v>
      </c>
      <c r="F979" s="514"/>
      <c r="G979" s="514" t="str">
        <f xml:space="preserve"> G969</f>
        <v>US$ mn</v>
      </c>
      <c r="I979" s="412">
        <f t="shared" ca="1" si="326"/>
        <v>0</v>
      </c>
      <c r="K979" s="412">
        <f t="shared" ref="K979:AX979" ca="1" si="330" xml:space="preserve"> K969 * $F974 * K$963 * $F972</f>
        <v>0</v>
      </c>
      <c r="L979" s="412">
        <f t="shared" ca="1" si="330"/>
        <v>0</v>
      </c>
      <c r="M979" s="412">
        <f t="shared" ca="1" si="330"/>
        <v>0</v>
      </c>
      <c r="N979" s="412">
        <f t="shared" ca="1" si="330"/>
        <v>0</v>
      </c>
      <c r="O979" s="412">
        <f t="shared" ca="1" si="330"/>
        <v>0</v>
      </c>
      <c r="P979" s="412">
        <f t="shared" ca="1" si="330"/>
        <v>0</v>
      </c>
      <c r="Q979" s="412">
        <f t="shared" ca="1" si="330"/>
        <v>0</v>
      </c>
      <c r="R979" s="412">
        <f t="shared" ca="1" si="330"/>
        <v>0</v>
      </c>
      <c r="S979" s="412">
        <f t="shared" ca="1" si="330"/>
        <v>0</v>
      </c>
      <c r="T979" s="412">
        <f t="shared" ca="1" si="330"/>
        <v>0</v>
      </c>
      <c r="U979" s="412">
        <f t="shared" ca="1" si="330"/>
        <v>0</v>
      </c>
      <c r="V979" s="412">
        <f t="shared" ca="1" si="330"/>
        <v>0</v>
      </c>
      <c r="W979" s="412">
        <f t="shared" ca="1" si="330"/>
        <v>0</v>
      </c>
      <c r="X979" s="412">
        <f t="shared" ca="1" si="330"/>
        <v>0</v>
      </c>
      <c r="Y979" s="412">
        <f t="shared" ca="1" si="330"/>
        <v>0</v>
      </c>
      <c r="Z979" s="412">
        <f t="shared" ca="1" si="330"/>
        <v>0</v>
      </c>
      <c r="AA979" s="412">
        <f t="shared" ca="1" si="330"/>
        <v>0</v>
      </c>
      <c r="AB979" s="412">
        <f t="shared" ca="1" si="330"/>
        <v>0</v>
      </c>
      <c r="AC979" s="412">
        <f t="shared" ca="1" si="330"/>
        <v>0</v>
      </c>
      <c r="AD979" s="412">
        <f t="shared" ca="1" si="330"/>
        <v>0</v>
      </c>
      <c r="AE979" s="412">
        <f t="shared" ca="1" si="330"/>
        <v>0</v>
      </c>
      <c r="AF979" s="412">
        <f t="shared" ca="1" si="330"/>
        <v>0</v>
      </c>
      <c r="AG979" s="412">
        <f t="shared" ca="1" si="330"/>
        <v>0</v>
      </c>
      <c r="AH979" s="412">
        <f t="shared" ca="1" si="330"/>
        <v>0</v>
      </c>
      <c r="AI979" s="412">
        <f t="shared" ca="1" si="330"/>
        <v>0</v>
      </c>
      <c r="AJ979" s="412">
        <f t="shared" ca="1" si="330"/>
        <v>0</v>
      </c>
      <c r="AK979" s="412">
        <f t="shared" ca="1" si="330"/>
        <v>0</v>
      </c>
      <c r="AL979" s="412">
        <f t="shared" ca="1" si="330"/>
        <v>0</v>
      </c>
      <c r="AM979" s="412">
        <f t="shared" ca="1" si="330"/>
        <v>0</v>
      </c>
      <c r="AN979" s="412">
        <f t="shared" ca="1" si="330"/>
        <v>0</v>
      </c>
      <c r="AO979" s="412">
        <f t="shared" ca="1" si="330"/>
        <v>0</v>
      </c>
      <c r="AP979" s="412">
        <f t="shared" ca="1" si="330"/>
        <v>0</v>
      </c>
      <c r="AQ979" s="412">
        <f t="shared" ca="1" si="330"/>
        <v>0</v>
      </c>
      <c r="AR979" s="412">
        <f t="shared" ca="1" si="330"/>
        <v>0</v>
      </c>
      <c r="AS979" s="412">
        <f t="shared" ca="1" si="330"/>
        <v>0</v>
      </c>
      <c r="AT979" s="412">
        <f t="shared" ca="1" si="330"/>
        <v>0</v>
      </c>
      <c r="AU979" s="412">
        <f t="shared" ca="1" si="330"/>
        <v>0</v>
      </c>
      <c r="AV979" s="412">
        <f t="shared" ca="1" si="330"/>
        <v>0</v>
      </c>
      <c r="AW979" s="412">
        <f t="shared" ca="1" si="330"/>
        <v>0</v>
      </c>
      <c r="AX979" s="412">
        <f t="shared" ca="1" si="330"/>
        <v>0</v>
      </c>
    </row>
    <row r="980" spans="1:50" ht="15" customHeight="1" x14ac:dyDescent="0.25">
      <c r="A980" s="86"/>
      <c r="E980" s="514" t="str">
        <f xml:space="preserve"> E970 &amp; ": " &amp; Translate!E531</f>
        <v>Decommissioning costs, after ELT: VAT charged</v>
      </c>
      <c r="F980" s="514"/>
      <c r="G980" s="514" t="str">
        <f xml:space="preserve"> G970</f>
        <v>US$ mn</v>
      </c>
      <c r="I980" s="412">
        <f t="shared" ca="1" si="326"/>
        <v>0</v>
      </c>
      <c r="K980" s="412">
        <f t="shared" ref="K980:AX980" ca="1" si="331" xml:space="preserve"> K970 * $F973 * K$963 * $F972</f>
        <v>0</v>
      </c>
      <c r="L980" s="412">
        <f t="shared" ca="1" si="331"/>
        <v>0</v>
      </c>
      <c r="M980" s="412">
        <f t="shared" ca="1" si="331"/>
        <v>0</v>
      </c>
      <c r="N980" s="412">
        <f t="shared" ca="1" si="331"/>
        <v>0</v>
      </c>
      <c r="O980" s="412">
        <f t="shared" ca="1" si="331"/>
        <v>0</v>
      </c>
      <c r="P980" s="412">
        <f t="shared" ca="1" si="331"/>
        <v>0</v>
      </c>
      <c r="Q980" s="412">
        <f t="shared" ca="1" si="331"/>
        <v>0</v>
      </c>
      <c r="R980" s="412">
        <f t="shared" ca="1" si="331"/>
        <v>0</v>
      </c>
      <c r="S980" s="412">
        <f t="shared" ca="1" si="331"/>
        <v>0</v>
      </c>
      <c r="T980" s="412">
        <f t="shared" ca="1" si="331"/>
        <v>0</v>
      </c>
      <c r="U980" s="412">
        <f t="shared" ca="1" si="331"/>
        <v>0</v>
      </c>
      <c r="V980" s="412">
        <f t="shared" ca="1" si="331"/>
        <v>0</v>
      </c>
      <c r="W980" s="412">
        <f t="shared" ca="1" si="331"/>
        <v>0</v>
      </c>
      <c r="X980" s="412">
        <f t="shared" ca="1" si="331"/>
        <v>0</v>
      </c>
      <c r="Y980" s="412">
        <f t="shared" ca="1" si="331"/>
        <v>0</v>
      </c>
      <c r="Z980" s="412">
        <f t="shared" ca="1" si="331"/>
        <v>0</v>
      </c>
      <c r="AA980" s="412">
        <f t="shared" ca="1" si="331"/>
        <v>0</v>
      </c>
      <c r="AB980" s="412">
        <f t="shared" ca="1" si="331"/>
        <v>0</v>
      </c>
      <c r="AC980" s="412">
        <f t="shared" ca="1" si="331"/>
        <v>0</v>
      </c>
      <c r="AD980" s="412">
        <f t="shared" ca="1" si="331"/>
        <v>0</v>
      </c>
      <c r="AE980" s="412">
        <f t="shared" ca="1" si="331"/>
        <v>0</v>
      </c>
      <c r="AF980" s="412">
        <f t="shared" ca="1" si="331"/>
        <v>0</v>
      </c>
      <c r="AG980" s="412">
        <f t="shared" ca="1" si="331"/>
        <v>0</v>
      </c>
      <c r="AH980" s="412">
        <f t="shared" ca="1" si="331"/>
        <v>0</v>
      </c>
      <c r="AI980" s="412">
        <f t="shared" ca="1" si="331"/>
        <v>0</v>
      </c>
      <c r="AJ980" s="412">
        <f t="shared" ca="1" si="331"/>
        <v>0</v>
      </c>
      <c r="AK980" s="412">
        <f t="shared" ca="1" si="331"/>
        <v>0</v>
      </c>
      <c r="AL980" s="412">
        <f t="shared" ca="1" si="331"/>
        <v>0</v>
      </c>
      <c r="AM980" s="412">
        <f t="shared" ca="1" si="331"/>
        <v>0</v>
      </c>
      <c r="AN980" s="412">
        <f t="shared" ca="1" si="331"/>
        <v>0</v>
      </c>
      <c r="AO980" s="412">
        <f t="shared" ca="1" si="331"/>
        <v>0</v>
      </c>
      <c r="AP980" s="412">
        <f t="shared" ca="1" si="331"/>
        <v>0</v>
      </c>
      <c r="AQ980" s="412">
        <f t="shared" ca="1" si="331"/>
        <v>0</v>
      </c>
      <c r="AR980" s="412">
        <f t="shared" ca="1" si="331"/>
        <v>0</v>
      </c>
      <c r="AS980" s="412">
        <f t="shared" ca="1" si="331"/>
        <v>0</v>
      </c>
      <c r="AT980" s="412">
        <f t="shared" ca="1" si="331"/>
        <v>0</v>
      </c>
      <c r="AU980" s="412">
        <f t="shared" ca="1" si="331"/>
        <v>0</v>
      </c>
      <c r="AV980" s="412">
        <f t="shared" ca="1" si="331"/>
        <v>0</v>
      </c>
      <c r="AW980" s="412">
        <f t="shared" ca="1" si="331"/>
        <v>0</v>
      </c>
      <c r="AX980" s="412">
        <f t="shared" ca="1" si="331"/>
        <v>0</v>
      </c>
    </row>
    <row r="981" spans="1:50" s="752" customFormat="1" ht="15" customHeight="1" x14ac:dyDescent="0.25">
      <c r="A981" s="748"/>
      <c r="B981" s="679"/>
      <c r="C981" s="749"/>
      <c r="D981" s="750"/>
      <c r="E981" s="751" t="str">
        <f xml:space="preserve"> Translate!E$363</f>
        <v>Input VAT charged</v>
      </c>
      <c r="F981" s="751"/>
      <c r="G981" s="751" t="str">
        <f xml:space="preserve"> Translate!E$603</f>
        <v>US$ mn</v>
      </c>
      <c r="I981" s="752">
        <f t="shared" ca="1" si="326"/>
        <v>0</v>
      </c>
      <c r="K981" s="752">
        <f t="shared" ref="K981:AX981" ca="1" si="332">SUM(K976:K980)</f>
        <v>0</v>
      </c>
      <c r="L981" s="752">
        <f t="shared" ca="1" si="332"/>
        <v>0</v>
      </c>
      <c r="M981" s="752">
        <f t="shared" ca="1" si="332"/>
        <v>0</v>
      </c>
      <c r="N981" s="752">
        <f t="shared" ca="1" si="332"/>
        <v>0</v>
      </c>
      <c r="O981" s="752">
        <f t="shared" ca="1" si="332"/>
        <v>0</v>
      </c>
      <c r="P981" s="752">
        <f t="shared" ca="1" si="332"/>
        <v>0</v>
      </c>
      <c r="Q981" s="752">
        <f t="shared" ca="1" si="332"/>
        <v>0</v>
      </c>
      <c r="R981" s="752">
        <f t="shared" ca="1" si="332"/>
        <v>0</v>
      </c>
      <c r="S981" s="752">
        <f t="shared" ca="1" si="332"/>
        <v>0</v>
      </c>
      <c r="T981" s="752">
        <f t="shared" ca="1" si="332"/>
        <v>0</v>
      </c>
      <c r="U981" s="752">
        <f t="shared" ca="1" si="332"/>
        <v>0</v>
      </c>
      <c r="V981" s="752">
        <f t="shared" ca="1" si="332"/>
        <v>0</v>
      </c>
      <c r="W981" s="752">
        <f t="shared" ca="1" si="332"/>
        <v>0</v>
      </c>
      <c r="X981" s="752">
        <f t="shared" ca="1" si="332"/>
        <v>0</v>
      </c>
      <c r="Y981" s="752">
        <f t="shared" ca="1" si="332"/>
        <v>0</v>
      </c>
      <c r="Z981" s="752">
        <f t="shared" ca="1" si="332"/>
        <v>0</v>
      </c>
      <c r="AA981" s="752">
        <f t="shared" ca="1" si="332"/>
        <v>0</v>
      </c>
      <c r="AB981" s="752">
        <f t="shared" ca="1" si="332"/>
        <v>0</v>
      </c>
      <c r="AC981" s="752">
        <f t="shared" ca="1" si="332"/>
        <v>0</v>
      </c>
      <c r="AD981" s="752">
        <f t="shared" ca="1" si="332"/>
        <v>0</v>
      </c>
      <c r="AE981" s="752">
        <f t="shared" ca="1" si="332"/>
        <v>0</v>
      </c>
      <c r="AF981" s="752">
        <f t="shared" ca="1" si="332"/>
        <v>0</v>
      </c>
      <c r="AG981" s="752">
        <f t="shared" ca="1" si="332"/>
        <v>0</v>
      </c>
      <c r="AH981" s="752">
        <f t="shared" ca="1" si="332"/>
        <v>0</v>
      </c>
      <c r="AI981" s="752">
        <f t="shared" ca="1" si="332"/>
        <v>0</v>
      </c>
      <c r="AJ981" s="752">
        <f t="shared" ca="1" si="332"/>
        <v>0</v>
      </c>
      <c r="AK981" s="752">
        <f t="shared" ca="1" si="332"/>
        <v>0</v>
      </c>
      <c r="AL981" s="752">
        <f t="shared" ca="1" si="332"/>
        <v>0</v>
      </c>
      <c r="AM981" s="752">
        <f t="shared" ca="1" si="332"/>
        <v>0</v>
      </c>
      <c r="AN981" s="752">
        <f t="shared" ca="1" si="332"/>
        <v>0</v>
      </c>
      <c r="AO981" s="752">
        <f t="shared" ca="1" si="332"/>
        <v>0</v>
      </c>
      <c r="AP981" s="752">
        <f t="shared" ca="1" si="332"/>
        <v>0</v>
      </c>
      <c r="AQ981" s="752">
        <f t="shared" ca="1" si="332"/>
        <v>0</v>
      </c>
      <c r="AR981" s="752">
        <f t="shared" ca="1" si="332"/>
        <v>0</v>
      </c>
      <c r="AS981" s="752">
        <f t="shared" ca="1" si="332"/>
        <v>0</v>
      </c>
      <c r="AT981" s="752">
        <f t="shared" ca="1" si="332"/>
        <v>0</v>
      </c>
      <c r="AU981" s="752">
        <f t="shared" ca="1" si="332"/>
        <v>0</v>
      </c>
      <c r="AV981" s="752">
        <f t="shared" ca="1" si="332"/>
        <v>0</v>
      </c>
      <c r="AW981" s="752">
        <f t="shared" ca="1" si="332"/>
        <v>0</v>
      </c>
      <c r="AX981" s="752">
        <f t="shared" ca="1" si="332"/>
        <v>0</v>
      </c>
    </row>
    <row r="982" spans="1:50" ht="15" customHeight="1" x14ac:dyDescent="0.25">
      <c r="A982" s="86"/>
      <c r="E982" s="402"/>
      <c r="F982" s="402"/>
      <c r="G982" s="402"/>
    </row>
    <row r="983" spans="1:50" s="412" customFormat="1" ht="15" customHeight="1" x14ac:dyDescent="0.25">
      <c r="A983" s="420"/>
      <c r="B983" s="683"/>
      <c r="C983" s="744"/>
      <c r="D983" s="591"/>
      <c r="E983" s="514" t="str">
        <f xml:space="preserve"> Translate!E$364</f>
        <v>Input VAT refund due</v>
      </c>
      <c r="F983" s="514"/>
      <c r="G983" s="514" t="str">
        <f xml:space="preserve"> Translate!E$603</f>
        <v>US$ mn</v>
      </c>
      <c r="H983" s="412" t="str">
        <f>Translate!E525</f>
        <v>assumes 100% is creditable / refundable</v>
      </c>
      <c r="I983" s="412">
        <f ca="1" xml:space="preserve"> SUM(K983:AX983)</f>
        <v>0</v>
      </c>
      <c r="K983" s="412">
        <f t="shared" ref="K983:AX983" ca="1" si="333" xml:space="preserve"> K981</f>
        <v>0</v>
      </c>
      <c r="L983" s="412">
        <f t="shared" ca="1" si="333"/>
        <v>0</v>
      </c>
      <c r="M983" s="412">
        <f t="shared" ca="1" si="333"/>
        <v>0</v>
      </c>
      <c r="N983" s="412">
        <f t="shared" ca="1" si="333"/>
        <v>0</v>
      </c>
      <c r="O983" s="412">
        <f t="shared" ca="1" si="333"/>
        <v>0</v>
      </c>
      <c r="P983" s="412">
        <f t="shared" ca="1" si="333"/>
        <v>0</v>
      </c>
      <c r="Q983" s="412">
        <f t="shared" ca="1" si="333"/>
        <v>0</v>
      </c>
      <c r="R983" s="412">
        <f t="shared" ca="1" si="333"/>
        <v>0</v>
      </c>
      <c r="S983" s="412">
        <f t="shared" ca="1" si="333"/>
        <v>0</v>
      </c>
      <c r="T983" s="412">
        <f t="shared" ca="1" si="333"/>
        <v>0</v>
      </c>
      <c r="U983" s="412">
        <f t="shared" ca="1" si="333"/>
        <v>0</v>
      </c>
      <c r="V983" s="412">
        <f t="shared" ca="1" si="333"/>
        <v>0</v>
      </c>
      <c r="W983" s="412">
        <f t="shared" ca="1" si="333"/>
        <v>0</v>
      </c>
      <c r="X983" s="412">
        <f t="shared" ca="1" si="333"/>
        <v>0</v>
      </c>
      <c r="Y983" s="412">
        <f t="shared" ca="1" si="333"/>
        <v>0</v>
      </c>
      <c r="Z983" s="412">
        <f t="shared" ca="1" si="333"/>
        <v>0</v>
      </c>
      <c r="AA983" s="412">
        <f t="shared" ca="1" si="333"/>
        <v>0</v>
      </c>
      <c r="AB983" s="412">
        <f t="shared" ca="1" si="333"/>
        <v>0</v>
      </c>
      <c r="AC983" s="412">
        <f t="shared" ca="1" si="333"/>
        <v>0</v>
      </c>
      <c r="AD983" s="412">
        <f t="shared" ca="1" si="333"/>
        <v>0</v>
      </c>
      <c r="AE983" s="412">
        <f t="shared" ca="1" si="333"/>
        <v>0</v>
      </c>
      <c r="AF983" s="412">
        <f t="shared" ca="1" si="333"/>
        <v>0</v>
      </c>
      <c r="AG983" s="412">
        <f t="shared" ca="1" si="333"/>
        <v>0</v>
      </c>
      <c r="AH983" s="412">
        <f t="shared" ca="1" si="333"/>
        <v>0</v>
      </c>
      <c r="AI983" s="412">
        <f t="shared" ca="1" si="333"/>
        <v>0</v>
      </c>
      <c r="AJ983" s="412">
        <f t="shared" ca="1" si="333"/>
        <v>0</v>
      </c>
      <c r="AK983" s="412">
        <f t="shared" ca="1" si="333"/>
        <v>0</v>
      </c>
      <c r="AL983" s="412">
        <f t="shared" ca="1" si="333"/>
        <v>0</v>
      </c>
      <c r="AM983" s="412">
        <f t="shared" ca="1" si="333"/>
        <v>0</v>
      </c>
      <c r="AN983" s="412">
        <f t="shared" ca="1" si="333"/>
        <v>0</v>
      </c>
      <c r="AO983" s="412">
        <f t="shared" ca="1" si="333"/>
        <v>0</v>
      </c>
      <c r="AP983" s="412">
        <f t="shared" ca="1" si="333"/>
        <v>0</v>
      </c>
      <c r="AQ983" s="412">
        <f t="shared" ca="1" si="333"/>
        <v>0</v>
      </c>
      <c r="AR983" s="412">
        <f t="shared" ca="1" si="333"/>
        <v>0</v>
      </c>
      <c r="AS983" s="412">
        <f t="shared" ca="1" si="333"/>
        <v>0</v>
      </c>
      <c r="AT983" s="412">
        <f t="shared" ca="1" si="333"/>
        <v>0</v>
      </c>
      <c r="AU983" s="412">
        <f t="shared" ca="1" si="333"/>
        <v>0</v>
      </c>
      <c r="AV983" s="412">
        <f t="shared" ca="1" si="333"/>
        <v>0</v>
      </c>
      <c r="AW983" s="412">
        <f t="shared" ca="1" si="333"/>
        <v>0</v>
      </c>
      <c r="AX983" s="412">
        <f t="shared" ca="1" si="333"/>
        <v>0</v>
      </c>
    </row>
    <row r="984" spans="1:50" ht="15" customHeight="1" x14ac:dyDescent="0.25">
      <c r="A984" s="86"/>
      <c r="E984" s="402"/>
      <c r="F984" s="402"/>
      <c r="G984" s="402"/>
    </row>
    <row r="985" spans="1:50" ht="15" customHeight="1" x14ac:dyDescent="0.25">
      <c r="A985" s="86"/>
      <c r="E985" s="490" t="str">
        <f xml:space="preserve"> E$93</f>
        <v>VAT refund delay</v>
      </c>
      <c r="F985" s="490">
        <f xml:space="preserve"> F$93</f>
        <v>0</v>
      </c>
      <c r="G985" s="490" t="str">
        <f xml:space="preserve"> G$93</f>
        <v>Months</v>
      </c>
    </row>
    <row r="986" spans="1:50" customFormat="1" ht="14.5" x14ac:dyDescent="0.25">
      <c r="B986" s="753"/>
      <c r="C986" s="754"/>
      <c r="D986" s="588"/>
      <c r="E986" s="3" t="str">
        <f xml:space="preserve"> Translate!E$365</f>
        <v>VAT refund months</v>
      </c>
      <c r="F986" s="757">
        <f xml:space="preserve"> MOD(F985, 12)</f>
        <v>0</v>
      </c>
      <c r="G986" s="257" t="str">
        <f xml:space="preserve"> Translate!E$404</f>
        <v>Months</v>
      </c>
    </row>
    <row r="987" spans="1:50" customFormat="1" ht="14.5" x14ac:dyDescent="0.25">
      <c r="B987" s="753"/>
      <c r="C987" s="754"/>
      <c r="D987" s="588"/>
      <c r="E987" s="3" t="str">
        <f xml:space="preserve"> Translate!E$366</f>
        <v>VAT refunds years</v>
      </c>
      <c r="F987" s="757">
        <f xml:space="preserve"> INT(F985 / 12)</f>
        <v>0</v>
      </c>
      <c r="G987" s="3" t="str">
        <f xml:space="preserve"> Translate!E$608</f>
        <v>Year</v>
      </c>
    </row>
    <row r="988" spans="1:50" s="544" customFormat="1" ht="14.5" x14ac:dyDescent="0.25">
      <c r="B988" s="759"/>
      <c r="C988" s="760"/>
      <c r="D988" s="761"/>
      <c r="E988" s="3"/>
      <c r="F988" s="761"/>
      <c r="G988" s="3"/>
    </row>
    <row r="989" spans="1:50" s="544" customFormat="1" ht="14.5" x14ac:dyDescent="0.25">
      <c r="B989" s="759"/>
      <c r="C989" s="646" t="str">
        <f>Translate!$E$511</f>
        <v>Scheduled refunds</v>
      </c>
      <c r="D989" s="761"/>
      <c r="E989" s="3"/>
      <c r="F989" s="761"/>
      <c r="G989" s="3"/>
    </row>
    <row r="990" spans="1:50" s="758" customFormat="1" ht="14.5" x14ac:dyDescent="0.25">
      <c r="B990" s="543"/>
      <c r="E990" s="140" t="str">
        <f xml:space="preserve"> ProjectCashflows!E$31</f>
        <v>Model years</v>
      </c>
      <c r="F990" s="758">
        <f xml:space="preserve"> ProjectCashflows!F$31</f>
        <v>0</v>
      </c>
      <c r="G990" s="140" t="str">
        <f xml:space="preserve"> ProjectCashflows!G$31</f>
        <v>Columns</v>
      </c>
      <c r="H990" s="758">
        <f xml:space="preserve"> ProjectCashflows!H$31</f>
        <v>0</v>
      </c>
      <c r="I990" s="758">
        <f xml:space="preserve"> ProjectCashflows!I$31</f>
        <v>0</v>
      </c>
      <c r="J990" s="758">
        <f xml:space="preserve"> ProjectCashflows!J$31</f>
        <v>0</v>
      </c>
      <c r="K990" s="758">
        <f xml:space="preserve"> ProjectCashflows!K$31</f>
        <v>1</v>
      </c>
      <c r="L990" s="758">
        <f xml:space="preserve"> ProjectCashflows!L$31</f>
        <v>2</v>
      </c>
      <c r="M990" s="758">
        <f xml:space="preserve"> ProjectCashflows!M$31</f>
        <v>3</v>
      </c>
      <c r="N990" s="758">
        <f xml:space="preserve"> ProjectCashflows!N$31</f>
        <v>4</v>
      </c>
      <c r="O990" s="758">
        <f xml:space="preserve"> ProjectCashflows!O$31</f>
        <v>5</v>
      </c>
      <c r="P990" s="758">
        <f xml:space="preserve"> ProjectCashflows!P$31</f>
        <v>6</v>
      </c>
      <c r="Q990" s="758">
        <f xml:space="preserve"> ProjectCashflows!Q$31</f>
        <v>7</v>
      </c>
      <c r="R990" s="758">
        <f xml:space="preserve"> ProjectCashflows!R$31</f>
        <v>8</v>
      </c>
      <c r="S990" s="758">
        <f xml:space="preserve"> ProjectCashflows!S$31</f>
        <v>9</v>
      </c>
      <c r="T990" s="758">
        <f xml:space="preserve"> ProjectCashflows!T$31</f>
        <v>10</v>
      </c>
      <c r="U990" s="758">
        <f xml:space="preserve"> ProjectCashflows!U$31</f>
        <v>11</v>
      </c>
      <c r="V990" s="758">
        <f xml:space="preserve"> ProjectCashflows!V$31</f>
        <v>12</v>
      </c>
      <c r="W990" s="758">
        <f xml:space="preserve"> ProjectCashflows!W$31</f>
        <v>13</v>
      </c>
      <c r="X990" s="758">
        <f xml:space="preserve"> ProjectCashflows!X$31</f>
        <v>14</v>
      </c>
      <c r="Y990" s="758">
        <f xml:space="preserve"> ProjectCashflows!Y$31</f>
        <v>15</v>
      </c>
      <c r="Z990" s="758">
        <f xml:space="preserve"> ProjectCashflows!Z$31</f>
        <v>16</v>
      </c>
      <c r="AA990" s="758">
        <f xml:space="preserve"> ProjectCashflows!AA$31</f>
        <v>17</v>
      </c>
      <c r="AB990" s="758">
        <f xml:space="preserve"> ProjectCashflows!AB$31</f>
        <v>18</v>
      </c>
      <c r="AC990" s="758">
        <f xml:space="preserve"> ProjectCashflows!AC$31</f>
        <v>19</v>
      </c>
      <c r="AD990" s="758">
        <f xml:space="preserve"> ProjectCashflows!AD$31</f>
        <v>20</v>
      </c>
      <c r="AE990" s="758">
        <f xml:space="preserve"> ProjectCashflows!AE$31</f>
        <v>21</v>
      </c>
      <c r="AF990" s="758">
        <f xml:space="preserve"> ProjectCashflows!AF$31</f>
        <v>22</v>
      </c>
      <c r="AG990" s="758">
        <f xml:space="preserve"> ProjectCashflows!AG$31</f>
        <v>23</v>
      </c>
      <c r="AH990" s="758">
        <f xml:space="preserve"> ProjectCashflows!AH$31</f>
        <v>24</v>
      </c>
      <c r="AI990" s="758">
        <f xml:space="preserve"> ProjectCashflows!AI$31</f>
        <v>25</v>
      </c>
      <c r="AJ990" s="758">
        <f xml:space="preserve"> ProjectCashflows!AJ$31</f>
        <v>26</v>
      </c>
      <c r="AK990" s="758">
        <f xml:space="preserve"> ProjectCashflows!AK$31</f>
        <v>27</v>
      </c>
      <c r="AL990" s="758">
        <f xml:space="preserve"> ProjectCashflows!AL$31</f>
        <v>28</v>
      </c>
      <c r="AM990" s="758">
        <f xml:space="preserve"> ProjectCashflows!AM$31</f>
        <v>29</v>
      </c>
      <c r="AN990" s="758">
        <f xml:space="preserve"> ProjectCashflows!AN$31</f>
        <v>30</v>
      </c>
      <c r="AO990" s="758">
        <f xml:space="preserve"> ProjectCashflows!AO$31</f>
        <v>31</v>
      </c>
      <c r="AP990" s="758">
        <f xml:space="preserve"> ProjectCashflows!AP$31</f>
        <v>32</v>
      </c>
      <c r="AQ990" s="758">
        <f xml:space="preserve"> ProjectCashflows!AQ$31</f>
        <v>33</v>
      </c>
      <c r="AR990" s="758">
        <f xml:space="preserve"> ProjectCashflows!AR$31</f>
        <v>34</v>
      </c>
      <c r="AS990" s="758">
        <f xml:space="preserve"> ProjectCashflows!AS$31</f>
        <v>35</v>
      </c>
      <c r="AT990" s="758">
        <f xml:space="preserve"> ProjectCashflows!AT$31</f>
        <v>36</v>
      </c>
      <c r="AU990" s="758">
        <f xml:space="preserve"> ProjectCashflows!AU$31</f>
        <v>37</v>
      </c>
      <c r="AV990" s="758">
        <f xml:space="preserve"> ProjectCashflows!AV$31</f>
        <v>38</v>
      </c>
      <c r="AW990" s="758">
        <f xml:space="preserve"> ProjectCashflows!AW$31</f>
        <v>39</v>
      </c>
      <c r="AX990" s="758">
        <f xml:space="preserve"> ProjectCashflows!AX$31</f>
        <v>40</v>
      </c>
    </row>
    <row r="991" spans="1:50" s="544" customFormat="1" ht="14.5" x14ac:dyDescent="0.25">
      <c r="B991" s="759"/>
      <c r="C991" s="760"/>
      <c r="D991" s="761"/>
      <c r="E991" s="3" t="str">
        <f xml:space="preserve"> Translate!E$367</f>
        <v>VAT refunds paid: interim calc. applying month delay</v>
      </c>
      <c r="F991" s="761"/>
      <c r="G991" s="3" t="str">
        <f xml:space="preserve"> G983</f>
        <v>US$ mn</v>
      </c>
      <c r="I991" s="544">
        <f ca="1" xml:space="preserve"> SUM(K991:AX991)</f>
        <v>0</v>
      </c>
      <c r="K991" s="544">
        <f t="shared" ref="K991:AX991" ca="1" si="334" xml:space="preserve"> J983 * $F986 / 12 + K983 * (12 - $F986) / 12</f>
        <v>0</v>
      </c>
      <c r="L991" s="544">
        <f t="shared" ca="1" si="334"/>
        <v>0</v>
      </c>
      <c r="M991" s="544">
        <f t="shared" ca="1" si="334"/>
        <v>0</v>
      </c>
      <c r="N991" s="544">
        <f t="shared" ca="1" si="334"/>
        <v>0</v>
      </c>
      <c r="O991" s="544">
        <f t="shared" ca="1" si="334"/>
        <v>0</v>
      </c>
      <c r="P991" s="544">
        <f t="shared" ca="1" si="334"/>
        <v>0</v>
      </c>
      <c r="Q991" s="544">
        <f t="shared" ca="1" si="334"/>
        <v>0</v>
      </c>
      <c r="R991" s="544">
        <f t="shared" ca="1" si="334"/>
        <v>0</v>
      </c>
      <c r="S991" s="544">
        <f t="shared" ca="1" si="334"/>
        <v>0</v>
      </c>
      <c r="T991" s="544">
        <f t="shared" ca="1" si="334"/>
        <v>0</v>
      </c>
      <c r="U991" s="544">
        <f t="shared" ca="1" si="334"/>
        <v>0</v>
      </c>
      <c r="V991" s="544">
        <f t="shared" ca="1" si="334"/>
        <v>0</v>
      </c>
      <c r="W991" s="544">
        <f t="shared" ca="1" si="334"/>
        <v>0</v>
      </c>
      <c r="X991" s="544">
        <f t="shared" ca="1" si="334"/>
        <v>0</v>
      </c>
      <c r="Y991" s="544">
        <f t="shared" ca="1" si="334"/>
        <v>0</v>
      </c>
      <c r="Z991" s="544">
        <f t="shared" ca="1" si="334"/>
        <v>0</v>
      </c>
      <c r="AA991" s="544">
        <f t="shared" ca="1" si="334"/>
        <v>0</v>
      </c>
      <c r="AB991" s="544">
        <f t="shared" ca="1" si="334"/>
        <v>0</v>
      </c>
      <c r="AC991" s="544">
        <f t="shared" ca="1" si="334"/>
        <v>0</v>
      </c>
      <c r="AD991" s="544">
        <f t="shared" ca="1" si="334"/>
        <v>0</v>
      </c>
      <c r="AE991" s="544">
        <f t="shared" ca="1" si="334"/>
        <v>0</v>
      </c>
      <c r="AF991" s="544">
        <f t="shared" ca="1" si="334"/>
        <v>0</v>
      </c>
      <c r="AG991" s="544">
        <f t="shared" ca="1" si="334"/>
        <v>0</v>
      </c>
      <c r="AH991" s="544">
        <f t="shared" ca="1" si="334"/>
        <v>0</v>
      </c>
      <c r="AI991" s="544">
        <f t="shared" ca="1" si="334"/>
        <v>0</v>
      </c>
      <c r="AJ991" s="544">
        <f t="shared" ca="1" si="334"/>
        <v>0</v>
      </c>
      <c r="AK991" s="544">
        <f t="shared" ca="1" si="334"/>
        <v>0</v>
      </c>
      <c r="AL991" s="544">
        <f t="shared" ca="1" si="334"/>
        <v>0</v>
      </c>
      <c r="AM991" s="544">
        <f t="shared" ca="1" si="334"/>
        <v>0</v>
      </c>
      <c r="AN991" s="544">
        <f t="shared" ca="1" si="334"/>
        <v>0</v>
      </c>
      <c r="AO991" s="544">
        <f t="shared" ca="1" si="334"/>
        <v>0</v>
      </c>
      <c r="AP991" s="544">
        <f t="shared" ca="1" si="334"/>
        <v>0</v>
      </c>
      <c r="AQ991" s="544">
        <f t="shared" ca="1" si="334"/>
        <v>0</v>
      </c>
      <c r="AR991" s="544">
        <f t="shared" ca="1" si="334"/>
        <v>0</v>
      </c>
      <c r="AS991" s="544">
        <f t="shared" ca="1" si="334"/>
        <v>0</v>
      </c>
      <c r="AT991" s="544">
        <f t="shared" ca="1" si="334"/>
        <v>0</v>
      </c>
      <c r="AU991" s="544">
        <f t="shared" ca="1" si="334"/>
        <v>0</v>
      </c>
      <c r="AV991" s="544">
        <f t="shared" ca="1" si="334"/>
        <v>0</v>
      </c>
      <c r="AW991" s="544">
        <f t="shared" ca="1" si="334"/>
        <v>0</v>
      </c>
      <c r="AX991" s="544">
        <f t="shared" ca="1" si="334"/>
        <v>0</v>
      </c>
    </row>
    <row r="992" spans="1:50" s="544" customFormat="1" ht="14.5" x14ac:dyDescent="0.25">
      <c r="B992" s="759"/>
      <c r="C992" s="760"/>
      <c r="D992" s="761"/>
      <c r="E992" s="3" t="str">
        <f xml:space="preserve"> Translate!E$368</f>
        <v>VAT refunds paid</v>
      </c>
      <c r="F992" s="761"/>
      <c r="G992" s="3" t="str">
        <f xml:space="preserve"> Translate!E$603</f>
        <v>US$ mn</v>
      </c>
      <c r="I992" s="544">
        <f ca="1" xml:space="preserve"> SUM(K992:AX992)</f>
        <v>0</v>
      </c>
      <c r="K992" s="544">
        <f t="shared" ref="K992:AX992" ca="1" si="335" xml:space="preserve"> SUMIFS($K991:$AX991, $K990:$AX990, K990 - $F987)</f>
        <v>0</v>
      </c>
      <c r="L992" s="544">
        <f t="shared" ca="1" si="335"/>
        <v>0</v>
      </c>
      <c r="M992" s="544">
        <f t="shared" ca="1" si="335"/>
        <v>0</v>
      </c>
      <c r="N992" s="544">
        <f t="shared" ca="1" si="335"/>
        <v>0</v>
      </c>
      <c r="O992" s="544">
        <f t="shared" ca="1" si="335"/>
        <v>0</v>
      </c>
      <c r="P992" s="544">
        <f t="shared" ca="1" si="335"/>
        <v>0</v>
      </c>
      <c r="Q992" s="544">
        <f t="shared" ca="1" si="335"/>
        <v>0</v>
      </c>
      <c r="R992" s="544">
        <f t="shared" ca="1" si="335"/>
        <v>0</v>
      </c>
      <c r="S992" s="544">
        <f t="shared" ca="1" si="335"/>
        <v>0</v>
      </c>
      <c r="T992" s="544">
        <f t="shared" ca="1" si="335"/>
        <v>0</v>
      </c>
      <c r="U992" s="544">
        <f t="shared" ca="1" si="335"/>
        <v>0</v>
      </c>
      <c r="V992" s="544">
        <f t="shared" ca="1" si="335"/>
        <v>0</v>
      </c>
      <c r="W992" s="544">
        <f t="shared" ca="1" si="335"/>
        <v>0</v>
      </c>
      <c r="X992" s="544">
        <f t="shared" ca="1" si="335"/>
        <v>0</v>
      </c>
      <c r="Y992" s="544">
        <f t="shared" ca="1" si="335"/>
        <v>0</v>
      </c>
      <c r="Z992" s="544">
        <f t="shared" ca="1" si="335"/>
        <v>0</v>
      </c>
      <c r="AA992" s="544">
        <f t="shared" ca="1" si="335"/>
        <v>0</v>
      </c>
      <c r="AB992" s="544">
        <f t="shared" ca="1" si="335"/>
        <v>0</v>
      </c>
      <c r="AC992" s="544">
        <f t="shared" ca="1" si="335"/>
        <v>0</v>
      </c>
      <c r="AD992" s="544">
        <f t="shared" ca="1" si="335"/>
        <v>0</v>
      </c>
      <c r="AE992" s="544">
        <f t="shared" ca="1" si="335"/>
        <v>0</v>
      </c>
      <c r="AF992" s="544">
        <f t="shared" ca="1" si="335"/>
        <v>0</v>
      </c>
      <c r="AG992" s="544">
        <f t="shared" ca="1" si="335"/>
        <v>0</v>
      </c>
      <c r="AH992" s="544">
        <f t="shared" ca="1" si="335"/>
        <v>0</v>
      </c>
      <c r="AI992" s="544">
        <f t="shared" ca="1" si="335"/>
        <v>0</v>
      </c>
      <c r="AJ992" s="544">
        <f t="shared" ca="1" si="335"/>
        <v>0</v>
      </c>
      <c r="AK992" s="544">
        <f t="shared" ca="1" si="335"/>
        <v>0</v>
      </c>
      <c r="AL992" s="544">
        <f t="shared" ca="1" si="335"/>
        <v>0</v>
      </c>
      <c r="AM992" s="544">
        <f t="shared" ca="1" si="335"/>
        <v>0</v>
      </c>
      <c r="AN992" s="544">
        <f t="shared" ca="1" si="335"/>
        <v>0</v>
      </c>
      <c r="AO992" s="544">
        <f t="shared" ca="1" si="335"/>
        <v>0</v>
      </c>
      <c r="AP992" s="544">
        <f t="shared" ca="1" si="335"/>
        <v>0</v>
      </c>
      <c r="AQ992" s="544">
        <f t="shared" ca="1" si="335"/>
        <v>0</v>
      </c>
      <c r="AR992" s="544">
        <f t="shared" ca="1" si="335"/>
        <v>0</v>
      </c>
      <c r="AS992" s="544">
        <f t="shared" ca="1" si="335"/>
        <v>0</v>
      </c>
      <c r="AT992" s="544">
        <f t="shared" ca="1" si="335"/>
        <v>0</v>
      </c>
      <c r="AU992" s="544">
        <f t="shared" ca="1" si="335"/>
        <v>0</v>
      </c>
      <c r="AV992" s="544">
        <f t="shared" ca="1" si="335"/>
        <v>0</v>
      </c>
      <c r="AW992" s="544">
        <f t="shared" ca="1" si="335"/>
        <v>0</v>
      </c>
      <c r="AX992" s="544">
        <f t="shared" ca="1" si="335"/>
        <v>0</v>
      </c>
    </row>
    <row r="993" spans="1:50" ht="15" customHeight="1" x14ac:dyDescent="0.25">
      <c r="A993" s="86"/>
    </row>
    <row r="994" spans="1:50" ht="15" customHeight="1" x14ac:dyDescent="0.25">
      <c r="A994" s="86"/>
      <c r="B994" s="683" t="str">
        <f>Translate!$E$460</f>
        <v>VAT cashflow</v>
      </c>
    </row>
    <row r="995" spans="1:50" ht="15" customHeight="1" x14ac:dyDescent="0.25">
      <c r="A995" s="86"/>
      <c r="E995" s="3" t="str">
        <f t="shared" ref="E995:AX995" si="336" xml:space="preserve"> E$981</f>
        <v>Input VAT charged</v>
      </c>
      <c r="F995" s="3">
        <f t="shared" si="336"/>
        <v>0</v>
      </c>
      <c r="G995" s="3" t="str">
        <f t="shared" si="336"/>
        <v>US$ mn</v>
      </c>
      <c r="H995" s="3">
        <f t="shared" si="336"/>
        <v>0</v>
      </c>
      <c r="I995" s="3">
        <f t="shared" ca="1" si="336"/>
        <v>0</v>
      </c>
      <c r="J995" s="3">
        <f t="shared" si="336"/>
        <v>0</v>
      </c>
      <c r="K995" s="3">
        <f t="shared" ca="1" si="336"/>
        <v>0</v>
      </c>
      <c r="L995" s="3">
        <f t="shared" ca="1" si="336"/>
        <v>0</v>
      </c>
      <c r="M995" s="3">
        <f t="shared" ca="1" si="336"/>
        <v>0</v>
      </c>
      <c r="N995" s="3">
        <f t="shared" ca="1" si="336"/>
        <v>0</v>
      </c>
      <c r="O995" s="3">
        <f t="shared" ca="1" si="336"/>
        <v>0</v>
      </c>
      <c r="P995" s="3">
        <f t="shared" ca="1" si="336"/>
        <v>0</v>
      </c>
      <c r="Q995" s="3">
        <f t="shared" ca="1" si="336"/>
        <v>0</v>
      </c>
      <c r="R995" s="3">
        <f t="shared" ca="1" si="336"/>
        <v>0</v>
      </c>
      <c r="S995" s="3">
        <f t="shared" ca="1" si="336"/>
        <v>0</v>
      </c>
      <c r="T995" s="3">
        <f t="shared" ca="1" si="336"/>
        <v>0</v>
      </c>
      <c r="U995" s="3">
        <f t="shared" ca="1" si="336"/>
        <v>0</v>
      </c>
      <c r="V995" s="3">
        <f t="shared" ca="1" si="336"/>
        <v>0</v>
      </c>
      <c r="W995" s="3">
        <f t="shared" ca="1" si="336"/>
        <v>0</v>
      </c>
      <c r="X995" s="3">
        <f t="shared" ca="1" si="336"/>
        <v>0</v>
      </c>
      <c r="Y995" s="3">
        <f t="shared" ca="1" si="336"/>
        <v>0</v>
      </c>
      <c r="Z995" s="3">
        <f t="shared" ca="1" si="336"/>
        <v>0</v>
      </c>
      <c r="AA995" s="3">
        <f t="shared" ca="1" si="336"/>
        <v>0</v>
      </c>
      <c r="AB995" s="3">
        <f t="shared" ca="1" si="336"/>
        <v>0</v>
      </c>
      <c r="AC995" s="3">
        <f t="shared" ca="1" si="336"/>
        <v>0</v>
      </c>
      <c r="AD995" s="3">
        <f t="shared" ca="1" si="336"/>
        <v>0</v>
      </c>
      <c r="AE995" s="3">
        <f t="shared" ca="1" si="336"/>
        <v>0</v>
      </c>
      <c r="AF995" s="3">
        <f t="shared" ca="1" si="336"/>
        <v>0</v>
      </c>
      <c r="AG995" s="3">
        <f t="shared" ca="1" si="336"/>
        <v>0</v>
      </c>
      <c r="AH995" s="3">
        <f t="shared" ca="1" si="336"/>
        <v>0</v>
      </c>
      <c r="AI995" s="3">
        <f t="shared" ca="1" si="336"/>
        <v>0</v>
      </c>
      <c r="AJ995" s="3">
        <f t="shared" ca="1" si="336"/>
        <v>0</v>
      </c>
      <c r="AK995" s="3">
        <f t="shared" ca="1" si="336"/>
        <v>0</v>
      </c>
      <c r="AL995" s="3">
        <f t="shared" ca="1" si="336"/>
        <v>0</v>
      </c>
      <c r="AM995" s="3">
        <f t="shared" ca="1" si="336"/>
        <v>0</v>
      </c>
      <c r="AN995" s="3">
        <f t="shared" ca="1" si="336"/>
        <v>0</v>
      </c>
      <c r="AO995" s="3">
        <f t="shared" ca="1" si="336"/>
        <v>0</v>
      </c>
      <c r="AP995" s="3">
        <f t="shared" ca="1" si="336"/>
        <v>0</v>
      </c>
      <c r="AQ995" s="3">
        <f t="shared" ca="1" si="336"/>
        <v>0</v>
      </c>
      <c r="AR995" s="3">
        <f t="shared" ca="1" si="336"/>
        <v>0</v>
      </c>
      <c r="AS995" s="3">
        <f t="shared" ca="1" si="336"/>
        <v>0</v>
      </c>
      <c r="AT995" s="3">
        <f t="shared" ca="1" si="336"/>
        <v>0</v>
      </c>
      <c r="AU995" s="3">
        <f t="shared" ca="1" si="336"/>
        <v>0</v>
      </c>
      <c r="AV995" s="3">
        <f t="shared" ca="1" si="336"/>
        <v>0</v>
      </c>
      <c r="AW995" s="3">
        <f t="shared" ca="1" si="336"/>
        <v>0</v>
      </c>
      <c r="AX995" s="3">
        <f t="shared" ca="1" si="336"/>
        <v>0</v>
      </c>
    </row>
    <row r="996" spans="1:50" ht="15" customHeight="1" x14ac:dyDescent="0.25">
      <c r="A996" s="86"/>
      <c r="E996" s="3" t="str">
        <f t="shared" ref="E996:AX996" si="337" xml:space="preserve"> E$992</f>
        <v>VAT refunds paid</v>
      </c>
      <c r="F996" s="3">
        <f t="shared" si="337"/>
        <v>0</v>
      </c>
      <c r="G996" s="3" t="str">
        <f t="shared" si="337"/>
        <v>US$ mn</v>
      </c>
      <c r="H996" s="3">
        <f t="shared" si="337"/>
        <v>0</v>
      </c>
      <c r="I996" s="3">
        <f t="shared" ca="1" si="337"/>
        <v>0</v>
      </c>
      <c r="J996" s="3">
        <f t="shared" si="337"/>
        <v>0</v>
      </c>
      <c r="K996" s="3">
        <f t="shared" ca="1" si="337"/>
        <v>0</v>
      </c>
      <c r="L996" s="3">
        <f t="shared" ca="1" si="337"/>
        <v>0</v>
      </c>
      <c r="M996" s="3">
        <f t="shared" ca="1" si="337"/>
        <v>0</v>
      </c>
      <c r="N996" s="3">
        <f t="shared" ca="1" si="337"/>
        <v>0</v>
      </c>
      <c r="O996" s="3">
        <f t="shared" ca="1" si="337"/>
        <v>0</v>
      </c>
      <c r="P996" s="3">
        <f t="shared" ca="1" si="337"/>
        <v>0</v>
      </c>
      <c r="Q996" s="3">
        <f t="shared" ca="1" si="337"/>
        <v>0</v>
      </c>
      <c r="R996" s="3">
        <f t="shared" ca="1" si="337"/>
        <v>0</v>
      </c>
      <c r="S996" s="3">
        <f t="shared" ca="1" si="337"/>
        <v>0</v>
      </c>
      <c r="T996" s="3">
        <f t="shared" ca="1" si="337"/>
        <v>0</v>
      </c>
      <c r="U996" s="3">
        <f t="shared" ca="1" si="337"/>
        <v>0</v>
      </c>
      <c r="V996" s="3">
        <f t="shared" ca="1" si="337"/>
        <v>0</v>
      </c>
      <c r="W996" s="3">
        <f t="shared" ca="1" si="337"/>
        <v>0</v>
      </c>
      <c r="X996" s="3">
        <f t="shared" ca="1" si="337"/>
        <v>0</v>
      </c>
      <c r="Y996" s="3">
        <f t="shared" ca="1" si="337"/>
        <v>0</v>
      </c>
      <c r="Z996" s="3">
        <f t="shared" ca="1" si="337"/>
        <v>0</v>
      </c>
      <c r="AA996" s="3">
        <f t="shared" ca="1" si="337"/>
        <v>0</v>
      </c>
      <c r="AB996" s="3">
        <f t="shared" ca="1" si="337"/>
        <v>0</v>
      </c>
      <c r="AC996" s="3">
        <f t="shared" ca="1" si="337"/>
        <v>0</v>
      </c>
      <c r="AD996" s="3">
        <f t="shared" ca="1" si="337"/>
        <v>0</v>
      </c>
      <c r="AE996" s="3">
        <f t="shared" ca="1" si="337"/>
        <v>0</v>
      </c>
      <c r="AF996" s="3">
        <f t="shared" ca="1" si="337"/>
        <v>0</v>
      </c>
      <c r="AG996" s="3">
        <f t="shared" ca="1" si="337"/>
        <v>0</v>
      </c>
      <c r="AH996" s="3">
        <f t="shared" ca="1" si="337"/>
        <v>0</v>
      </c>
      <c r="AI996" s="3">
        <f t="shared" ca="1" si="337"/>
        <v>0</v>
      </c>
      <c r="AJ996" s="3">
        <f t="shared" ca="1" si="337"/>
        <v>0</v>
      </c>
      <c r="AK996" s="3">
        <f t="shared" ca="1" si="337"/>
        <v>0</v>
      </c>
      <c r="AL996" s="3">
        <f t="shared" ca="1" si="337"/>
        <v>0</v>
      </c>
      <c r="AM996" s="3">
        <f t="shared" ca="1" si="337"/>
        <v>0</v>
      </c>
      <c r="AN996" s="3">
        <f t="shared" ca="1" si="337"/>
        <v>0</v>
      </c>
      <c r="AO996" s="3">
        <f t="shared" ca="1" si="337"/>
        <v>0</v>
      </c>
      <c r="AP996" s="3">
        <f t="shared" ca="1" si="337"/>
        <v>0</v>
      </c>
      <c r="AQ996" s="3">
        <f t="shared" ca="1" si="337"/>
        <v>0</v>
      </c>
      <c r="AR996" s="3">
        <f t="shared" ca="1" si="337"/>
        <v>0</v>
      </c>
      <c r="AS996" s="3">
        <f t="shared" ca="1" si="337"/>
        <v>0</v>
      </c>
      <c r="AT996" s="3">
        <f t="shared" ca="1" si="337"/>
        <v>0</v>
      </c>
      <c r="AU996" s="3">
        <f t="shared" ca="1" si="337"/>
        <v>0</v>
      </c>
      <c r="AV996" s="3">
        <f t="shared" ca="1" si="337"/>
        <v>0</v>
      </c>
      <c r="AW996" s="3">
        <f t="shared" ca="1" si="337"/>
        <v>0</v>
      </c>
      <c r="AX996" s="3">
        <f t="shared" ca="1" si="337"/>
        <v>0</v>
      </c>
    </row>
    <row r="997" spans="1:50" ht="15" customHeight="1" x14ac:dyDescent="0.25">
      <c r="A997" s="86"/>
      <c r="E997" s="3" t="str">
        <f xml:space="preserve"> Translate!E$369</f>
        <v>VAT cashflow: investor</v>
      </c>
      <c r="G997" s="3" t="str">
        <f xml:space="preserve"> Translate!E$603</f>
        <v>US$ mn</v>
      </c>
      <c r="I997" s="3">
        <f ca="1" xml:space="preserve"> SUM(K997:AX997)</f>
        <v>0</v>
      </c>
      <c r="K997" s="3">
        <f t="shared" ref="K997:AX997" ca="1" si="338" xml:space="preserve"> K996 - K995</f>
        <v>0</v>
      </c>
      <c r="L997" s="3">
        <f t="shared" ca="1" si="338"/>
        <v>0</v>
      </c>
      <c r="M997" s="3">
        <f t="shared" ca="1" si="338"/>
        <v>0</v>
      </c>
      <c r="N997" s="3">
        <f t="shared" ca="1" si="338"/>
        <v>0</v>
      </c>
      <c r="O997" s="3">
        <f t="shared" ca="1" si="338"/>
        <v>0</v>
      </c>
      <c r="P997" s="3">
        <f t="shared" ca="1" si="338"/>
        <v>0</v>
      </c>
      <c r="Q997" s="3">
        <f t="shared" ca="1" si="338"/>
        <v>0</v>
      </c>
      <c r="R997" s="3">
        <f t="shared" ca="1" si="338"/>
        <v>0</v>
      </c>
      <c r="S997" s="3">
        <f t="shared" ca="1" si="338"/>
        <v>0</v>
      </c>
      <c r="T997" s="3">
        <f t="shared" ca="1" si="338"/>
        <v>0</v>
      </c>
      <c r="U997" s="3">
        <f t="shared" ca="1" si="338"/>
        <v>0</v>
      </c>
      <c r="V997" s="3">
        <f t="shared" ca="1" si="338"/>
        <v>0</v>
      </c>
      <c r="W997" s="3">
        <f t="shared" ca="1" si="338"/>
        <v>0</v>
      </c>
      <c r="X997" s="3">
        <f t="shared" ca="1" si="338"/>
        <v>0</v>
      </c>
      <c r="Y997" s="3">
        <f t="shared" ca="1" si="338"/>
        <v>0</v>
      </c>
      <c r="Z997" s="3">
        <f t="shared" ca="1" si="338"/>
        <v>0</v>
      </c>
      <c r="AA997" s="3">
        <f t="shared" ca="1" si="338"/>
        <v>0</v>
      </c>
      <c r="AB997" s="3">
        <f t="shared" ca="1" si="338"/>
        <v>0</v>
      </c>
      <c r="AC997" s="3">
        <f t="shared" ca="1" si="338"/>
        <v>0</v>
      </c>
      <c r="AD997" s="3">
        <f t="shared" ca="1" si="338"/>
        <v>0</v>
      </c>
      <c r="AE997" s="3">
        <f t="shared" ca="1" si="338"/>
        <v>0</v>
      </c>
      <c r="AF997" s="3">
        <f t="shared" ca="1" si="338"/>
        <v>0</v>
      </c>
      <c r="AG997" s="3">
        <f t="shared" ca="1" si="338"/>
        <v>0</v>
      </c>
      <c r="AH997" s="3">
        <f t="shared" ca="1" si="338"/>
        <v>0</v>
      </c>
      <c r="AI997" s="3">
        <f t="shared" ca="1" si="338"/>
        <v>0</v>
      </c>
      <c r="AJ997" s="3">
        <f t="shared" ca="1" si="338"/>
        <v>0</v>
      </c>
      <c r="AK997" s="3">
        <f t="shared" ca="1" si="338"/>
        <v>0</v>
      </c>
      <c r="AL997" s="3">
        <f t="shared" ca="1" si="338"/>
        <v>0</v>
      </c>
      <c r="AM997" s="3">
        <f t="shared" ca="1" si="338"/>
        <v>0</v>
      </c>
      <c r="AN997" s="3">
        <f t="shared" ca="1" si="338"/>
        <v>0</v>
      </c>
      <c r="AO997" s="3">
        <f t="shared" ca="1" si="338"/>
        <v>0</v>
      </c>
      <c r="AP997" s="3">
        <f t="shared" ca="1" si="338"/>
        <v>0</v>
      </c>
      <c r="AQ997" s="3">
        <f t="shared" ca="1" si="338"/>
        <v>0</v>
      </c>
      <c r="AR997" s="3">
        <f t="shared" ca="1" si="338"/>
        <v>0</v>
      </c>
      <c r="AS997" s="3">
        <f t="shared" ca="1" si="338"/>
        <v>0</v>
      </c>
      <c r="AT997" s="3">
        <f t="shared" ca="1" si="338"/>
        <v>0</v>
      </c>
      <c r="AU997" s="3">
        <f t="shared" ca="1" si="338"/>
        <v>0</v>
      </c>
      <c r="AV997" s="3">
        <f t="shared" ca="1" si="338"/>
        <v>0</v>
      </c>
      <c r="AW997" s="3">
        <f t="shared" ca="1" si="338"/>
        <v>0</v>
      </c>
      <c r="AX997" s="3">
        <f t="shared" ca="1" si="338"/>
        <v>0</v>
      </c>
    </row>
    <row r="998" spans="1:50" ht="15" customHeight="1" x14ac:dyDescent="0.25">
      <c r="A998" s="86"/>
      <c r="E998" s="3" t="str">
        <f xml:space="preserve"> Translate!E$370</f>
        <v>VAT cashflow: government</v>
      </c>
      <c r="G998" s="3" t="str">
        <f xml:space="preserve"> Translate!E$603</f>
        <v>US$ mn</v>
      </c>
      <c r="I998" s="3">
        <f ca="1" xml:space="preserve"> SUM(K998:AX998)</f>
        <v>0</v>
      </c>
      <c r="K998" s="3">
        <f t="shared" ref="K998:AX998" ca="1" si="339" xml:space="preserve"> K997 * -1</f>
        <v>0</v>
      </c>
      <c r="L998" s="3">
        <f t="shared" ca="1" si="339"/>
        <v>0</v>
      </c>
      <c r="M998" s="3">
        <f t="shared" ca="1" si="339"/>
        <v>0</v>
      </c>
      <c r="N998" s="3">
        <f t="shared" ca="1" si="339"/>
        <v>0</v>
      </c>
      <c r="O998" s="3">
        <f t="shared" ca="1" si="339"/>
        <v>0</v>
      </c>
      <c r="P998" s="3">
        <f t="shared" ca="1" si="339"/>
        <v>0</v>
      </c>
      <c r="Q998" s="3">
        <f t="shared" ca="1" si="339"/>
        <v>0</v>
      </c>
      <c r="R998" s="3">
        <f t="shared" ca="1" si="339"/>
        <v>0</v>
      </c>
      <c r="S998" s="3">
        <f t="shared" ca="1" si="339"/>
        <v>0</v>
      </c>
      <c r="T998" s="3">
        <f t="shared" ca="1" si="339"/>
        <v>0</v>
      </c>
      <c r="U998" s="3">
        <f t="shared" ca="1" si="339"/>
        <v>0</v>
      </c>
      <c r="V998" s="3">
        <f t="shared" ca="1" si="339"/>
        <v>0</v>
      </c>
      <c r="W998" s="3">
        <f t="shared" ca="1" si="339"/>
        <v>0</v>
      </c>
      <c r="X998" s="3">
        <f t="shared" ca="1" si="339"/>
        <v>0</v>
      </c>
      <c r="Y998" s="3">
        <f t="shared" ca="1" si="339"/>
        <v>0</v>
      </c>
      <c r="Z998" s="3">
        <f t="shared" ca="1" si="339"/>
        <v>0</v>
      </c>
      <c r="AA998" s="3">
        <f t="shared" ca="1" si="339"/>
        <v>0</v>
      </c>
      <c r="AB998" s="3">
        <f t="shared" ca="1" si="339"/>
        <v>0</v>
      </c>
      <c r="AC998" s="3">
        <f t="shared" ca="1" si="339"/>
        <v>0</v>
      </c>
      <c r="AD998" s="3">
        <f t="shared" ca="1" si="339"/>
        <v>0</v>
      </c>
      <c r="AE998" s="3">
        <f t="shared" ca="1" si="339"/>
        <v>0</v>
      </c>
      <c r="AF998" s="3">
        <f t="shared" ca="1" si="339"/>
        <v>0</v>
      </c>
      <c r="AG998" s="3">
        <f t="shared" ca="1" si="339"/>
        <v>0</v>
      </c>
      <c r="AH998" s="3">
        <f t="shared" ca="1" si="339"/>
        <v>0</v>
      </c>
      <c r="AI998" s="3">
        <f t="shared" ca="1" si="339"/>
        <v>0</v>
      </c>
      <c r="AJ998" s="3">
        <f t="shared" ca="1" si="339"/>
        <v>0</v>
      </c>
      <c r="AK998" s="3">
        <f t="shared" ca="1" si="339"/>
        <v>0</v>
      </c>
      <c r="AL998" s="3">
        <f t="shared" ca="1" si="339"/>
        <v>0</v>
      </c>
      <c r="AM998" s="3">
        <f t="shared" ca="1" si="339"/>
        <v>0</v>
      </c>
      <c r="AN998" s="3">
        <f t="shared" ca="1" si="339"/>
        <v>0</v>
      </c>
      <c r="AO998" s="3">
        <f t="shared" ca="1" si="339"/>
        <v>0</v>
      </c>
      <c r="AP998" s="3">
        <f t="shared" ca="1" si="339"/>
        <v>0</v>
      </c>
      <c r="AQ998" s="3">
        <f t="shared" ca="1" si="339"/>
        <v>0</v>
      </c>
      <c r="AR998" s="3">
        <f t="shared" ca="1" si="339"/>
        <v>0</v>
      </c>
      <c r="AS998" s="3">
        <f t="shared" ca="1" si="339"/>
        <v>0</v>
      </c>
      <c r="AT998" s="3">
        <f t="shared" ca="1" si="339"/>
        <v>0</v>
      </c>
      <c r="AU998" s="3">
        <f t="shared" ca="1" si="339"/>
        <v>0</v>
      </c>
      <c r="AV998" s="3">
        <f t="shared" ca="1" si="339"/>
        <v>0</v>
      </c>
      <c r="AW998" s="3">
        <f t="shared" ca="1" si="339"/>
        <v>0</v>
      </c>
      <c r="AX998" s="3">
        <f t="shared" ca="1" si="339"/>
        <v>0</v>
      </c>
    </row>
    <row r="999" spans="1:50" ht="15" customHeight="1" x14ac:dyDescent="0.25">
      <c r="A999" s="86"/>
    </row>
    <row r="1000" spans="1:50" ht="15" customHeight="1" x14ac:dyDescent="0.25">
      <c r="A1000" s="86"/>
    </row>
    <row r="1001" spans="1:50" ht="15" customHeight="1" x14ac:dyDescent="0.25">
      <c r="A1001" s="202" t="str">
        <f>Translate!$E$479</f>
        <v>IOC cashflows and dividends</v>
      </c>
      <c r="B1001" s="781"/>
      <c r="C1001" s="610"/>
      <c r="D1001" s="204"/>
      <c r="E1001" s="202"/>
      <c r="F1001" s="204"/>
      <c r="G1001" s="202"/>
      <c r="H1001" s="202"/>
      <c r="I1001" s="202"/>
      <c r="J1001" s="202"/>
      <c r="K1001" s="202"/>
      <c r="L1001" s="202"/>
      <c r="M1001" s="202"/>
      <c r="N1001" s="202"/>
      <c r="O1001" s="202"/>
      <c r="P1001" s="202"/>
      <c r="Q1001" s="202"/>
      <c r="R1001" s="202"/>
      <c r="S1001" s="202"/>
      <c r="T1001" s="202"/>
      <c r="U1001" s="202"/>
      <c r="V1001" s="202"/>
      <c r="W1001" s="202"/>
      <c r="X1001" s="202"/>
      <c r="Y1001" s="202"/>
      <c r="Z1001" s="202"/>
      <c r="AA1001" s="202"/>
      <c r="AB1001" s="202"/>
      <c r="AC1001" s="202"/>
      <c r="AD1001" s="202"/>
      <c r="AE1001" s="202"/>
      <c r="AF1001" s="202"/>
      <c r="AG1001" s="202"/>
      <c r="AH1001" s="202"/>
      <c r="AI1001" s="202"/>
      <c r="AJ1001" s="202"/>
      <c r="AK1001" s="202"/>
      <c r="AL1001" s="202"/>
      <c r="AM1001" s="202"/>
      <c r="AN1001" s="202"/>
      <c r="AO1001" s="202"/>
      <c r="AP1001" s="202"/>
      <c r="AQ1001" s="202"/>
      <c r="AR1001" s="202"/>
      <c r="AS1001" s="202"/>
      <c r="AT1001" s="202"/>
      <c r="AU1001" s="202"/>
      <c r="AV1001" s="202"/>
      <c r="AW1001" s="202"/>
      <c r="AX1001" s="202"/>
    </row>
    <row r="1002" spans="1:50" ht="15" customHeight="1" x14ac:dyDescent="0.25">
      <c r="A1002" s="86"/>
      <c r="B1002" s="677"/>
      <c r="C1002" s="604"/>
      <c r="D1002" s="217"/>
      <c r="E1002" s="13"/>
      <c r="F1002" s="151"/>
      <c r="G1002" s="13"/>
      <c r="H1002" s="13"/>
      <c r="I1002" s="217"/>
      <c r="J1002" s="237"/>
      <c r="K1002" s="98"/>
      <c r="L1002" s="98"/>
      <c r="M1002" s="98"/>
      <c r="N1002" s="98"/>
      <c r="O1002" s="98"/>
      <c r="P1002" s="98"/>
      <c r="Q1002" s="98"/>
      <c r="R1002" s="98"/>
      <c r="S1002" s="98"/>
      <c r="T1002" s="98"/>
      <c r="U1002" s="98"/>
      <c r="V1002" s="98"/>
      <c r="W1002" s="98"/>
      <c r="X1002" s="98"/>
      <c r="Y1002" s="98"/>
      <c r="Z1002" s="98"/>
      <c r="AA1002" s="98"/>
      <c r="AB1002" s="98"/>
      <c r="AC1002" s="98"/>
      <c r="AD1002" s="98"/>
      <c r="AE1002" s="98"/>
      <c r="AF1002" s="98"/>
      <c r="AG1002" s="98"/>
      <c r="AH1002" s="98"/>
      <c r="AI1002" s="98"/>
      <c r="AJ1002" s="98"/>
      <c r="AK1002" s="98"/>
      <c r="AL1002" s="98"/>
      <c r="AM1002" s="98"/>
      <c r="AN1002" s="98"/>
      <c r="AO1002" s="98"/>
      <c r="AP1002" s="98"/>
      <c r="AQ1002" s="98"/>
      <c r="AR1002" s="98"/>
      <c r="AS1002" s="98"/>
      <c r="AT1002" s="98"/>
      <c r="AU1002" s="98"/>
      <c r="AV1002" s="98"/>
      <c r="AW1002" s="98"/>
      <c r="AX1002" s="98"/>
    </row>
    <row r="1003" spans="1:50" ht="15" customHeight="1" x14ac:dyDescent="0.25">
      <c r="A1003" s="86"/>
      <c r="D1003" s="44" t="str">
        <f>Translate!E529</f>
        <v>add</v>
      </c>
      <c r="E1003" s="3" t="str">
        <f>E$700</f>
        <v>IOC share of revenues</v>
      </c>
      <c r="F1003" s="44">
        <f t="shared" ref="F1003:AX1003" si="340">F$700</f>
        <v>0</v>
      </c>
      <c r="G1003" s="3" t="str">
        <f t="shared" si="340"/>
        <v>US$ mn</v>
      </c>
      <c r="H1003" s="3">
        <f t="shared" si="340"/>
        <v>0</v>
      </c>
      <c r="I1003" s="3">
        <f t="shared" ca="1" si="340"/>
        <v>45734.834814730028</v>
      </c>
      <c r="J1003" s="3">
        <f t="shared" si="340"/>
        <v>0</v>
      </c>
      <c r="K1003" s="3">
        <f t="shared" ca="1" si="340"/>
        <v>0</v>
      </c>
      <c r="L1003" s="3">
        <f t="shared" ca="1" si="340"/>
        <v>0</v>
      </c>
      <c r="M1003" s="3">
        <f t="shared" ca="1" si="340"/>
        <v>0</v>
      </c>
      <c r="N1003" s="3">
        <f t="shared" ca="1" si="340"/>
        <v>0</v>
      </c>
      <c r="O1003" s="3">
        <f t="shared" ca="1" si="340"/>
        <v>165.96573648787856</v>
      </c>
      <c r="P1003" s="3">
        <f t="shared" ca="1" si="340"/>
        <v>1329.8653274544001</v>
      </c>
      <c r="Q1003" s="3">
        <f t="shared" ca="1" si="340"/>
        <v>2712.9252680069767</v>
      </c>
      <c r="R1003" s="3">
        <f t="shared" ca="1" si="340"/>
        <v>2767.1837733671159</v>
      </c>
      <c r="S1003" s="3">
        <f t="shared" ca="1" si="340"/>
        <v>2822.5274488344585</v>
      </c>
      <c r="T1003" s="3">
        <f t="shared" ca="1" si="340"/>
        <v>2878.9779978111474</v>
      </c>
      <c r="U1003" s="3">
        <f t="shared" ca="1" si="340"/>
        <v>2936.5575577673703</v>
      </c>
      <c r="V1003" s="3">
        <f t="shared" ca="1" si="340"/>
        <v>2995.2887089227179</v>
      </c>
      <c r="W1003" s="3">
        <f t="shared" ca="1" si="340"/>
        <v>3055.1944831011724</v>
      </c>
      <c r="X1003" s="3">
        <f t="shared" ca="1" si="340"/>
        <v>3116.2983727631954</v>
      </c>
      <c r="Y1003" s="3">
        <f t="shared" ca="1" si="340"/>
        <v>3178.6243402184596</v>
      </c>
      <c r="Z1003" s="3">
        <f t="shared" ca="1" si="340"/>
        <v>3242.196827022829</v>
      </c>
      <c r="AA1003" s="3">
        <f t="shared" ca="1" si="340"/>
        <v>2678.703018486262</v>
      </c>
      <c r="AB1003" s="3">
        <f t="shared" ca="1" si="340"/>
        <v>2213.14443387335</v>
      </c>
      <c r="AC1003" s="3">
        <f t="shared" ca="1" si="340"/>
        <v>1828.4999312661619</v>
      </c>
      <c r="AD1003" s="3">
        <f t="shared" ca="1" si="340"/>
        <v>1510.7066432121032</v>
      </c>
      <c r="AE1003" s="3">
        <f t="shared" ca="1" si="340"/>
        <v>1248.1458286218397</v>
      </c>
      <c r="AF1003" s="3">
        <f t="shared" ca="1" si="340"/>
        <v>1031.2180836073642</v>
      </c>
      <c r="AG1003" s="3">
        <f t="shared" ca="1" si="340"/>
        <v>851.99238067640442</v>
      </c>
      <c r="AH1003" s="3">
        <f t="shared" ca="1" si="340"/>
        <v>703.91610491484528</v>
      </c>
      <c r="AI1003" s="3">
        <f t="shared" ca="1" si="340"/>
        <v>581.57548588064526</v>
      </c>
      <c r="AJ1003" s="3">
        <f t="shared" ca="1" si="340"/>
        <v>480.49766643458906</v>
      </c>
      <c r="AK1003" s="3">
        <f t="shared" ca="1" si="340"/>
        <v>396.98717200825757</v>
      </c>
      <c r="AL1003" s="3">
        <f t="shared" ca="1" si="340"/>
        <v>327.99080151322232</v>
      </c>
      <c r="AM1003" s="3">
        <f t="shared" ca="1" si="340"/>
        <v>270.98600021022435</v>
      </c>
      <c r="AN1003" s="3">
        <f t="shared" ca="1" si="340"/>
        <v>223.88863337368736</v>
      </c>
      <c r="AO1003" s="3">
        <f t="shared" ca="1" si="340"/>
        <v>184.97678889334054</v>
      </c>
      <c r="AP1003" s="3">
        <f t="shared" ca="1" si="340"/>
        <v>0</v>
      </c>
      <c r="AQ1003" s="3">
        <f t="shared" ca="1" si="340"/>
        <v>0</v>
      </c>
      <c r="AR1003" s="3">
        <f t="shared" ca="1" si="340"/>
        <v>0</v>
      </c>
      <c r="AS1003" s="3">
        <f t="shared" ca="1" si="340"/>
        <v>0</v>
      </c>
      <c r="AT1003" s="3">
        <f t="shared" ca="1" si="340"/>
        <v>0</v>
      </c>
      <c r="AU1003" s="3">
        <f t="shared" ca="1" si="340"/>
        <v>0</v>
      </c>
      <c r="AV1003" s="3">
        <f t="shared" ca="1" si="340"/>
        <v>0</v>
      </c>
      <c r="AW1003" s="3">
        <f t="shared" ca="1" si="340"/>
        <v>0</v>
      </c>
      <c r="AX1003" s="3">
        <f t="shared" ca="1" si="340"/>
        <v>0</v>
      </c>
    </row>
    <row r="1004" spans="1:50" ht="15" customHeight="1" x14ac:dyDescent="0.25">
      <c r="A1004" s="86"/>
      <c r="D1004" s="44" t="str">
        <f>Translate!E530</f>
        <v>less</v>
      </c>
      <c r="E1004" s="48" t="str">
        <f t="shared" ref="E1004:AX1004" si="341" xml:space="preserve"> E$442</f>
        <v>T&amp;R: Royalty attributable to: IOC</v>
      </c>
      <c r="F1004" s="48">
        <f t="shared" si="341"/>
        <v>0</v>
      </c>
      <c r="G1004" s="48" t="str">
        <f t="shared" si="341"/>
        <v>US$ mn</v>
      </c>
      <c r="H1004" s="48">
        <f t="shared" si="341"/>
        <v>0</v>
      </c>
      <c r="I1004" s="48">
        <f t="shared" ca="1" si="341"/>
        <v>9146.9669629460022</v>
      </c>
      <c r="J1004" s="48">
        <f t="shared" si="341"/>
        <v>0</v>
      </c>
      <c r="K1004" s="48">
        <f t="shared" ca="1" si="341"/>
        <v>0</v>
      </c>
      <c r="L1004" s="48">
        <f t="shared" ca="1" si="341"/>
        <v>0</v>
      </c>
      <c r="M1004" s="48">
        <f t="shared" ca="1" si="341"/>
        <v>0</v>
      </c>
      <c r="N1004" s="48">
        <f t="shared" ca="1" si="341"/>
        <v>0</v>
      </c>
      <c r="O1004" s="48">
        <f t="shared" ca="1" si="341"/>
        <v>33.193147297575713</v>
      </c>
      <c r="P1004" s="48">
        <f t="shared" ca="1" si="341"/>
        <v>265.97306549088</v>
      </c>
      <c r="Q1004" s="48">
        <f t="shared" ca="1" si="341"/>
        <v>542.58505360139532</v>
      </c>
      <c r="R1004" s="48">
        <f t="shared" ca="1" si="341"/>
        <v>553.43675467342314</v>
      </c>
      <c r="S1004" s="48">
        <f t="shared" ca="1" si="341"/>
        <v>564.50548976689174</v>
      </c>
      <c r="T1004" s="48">
        <f t="shared" ca="1" si="341"/>
        <v>575.79559956222943</v>
      </c>
      <c r="U1004" s="48">
        <f t="shared" ca="1" si="341"/>
        <v>587.31151155347402</v>
      </c>
      <c r="V1004" s="48">
        <f t="shared" ca="1" si="341"/>
        <v>599.05774178454362</v>
      </c>
      <c r="W1004" s="48">
        <f t="shared" ca="1" si="341"/>
        <v>611.03889662023448</v>
      </c>
      <c r="X1004" s="48">
        <f t="shared" ca="1" si="341"/>
        <v>623.25967455263913</v>
      </c>
      <c r="Y1004" s="48">
        <f t="shared" ca="1" si="341"/>
        <v>635.72486804369191</v>
      </c>
      <c r="Z1004" s="48">
        <f t="shared" ca="1" si="341"/>
        <v>648.43936540456582</v>
      </c>
      <c r="AA1004" s="48">
        <f t="shared" ca="1" si="341"/>
        <v>535.74060369725237</v>
      </c>
      <c r="AB1004" s="48">
        <f t="shared" ca="1" si="341"/>
        <v>442.62888677466998</v>
      </c>
      <c r="AC1004" s="48">
        <f t="shared" ca="1" si="341"/>
        <v>365.6999862532324</v>
      </c>
      <c r="AD1004" s="48">
        <f t="shared" ca="1" si="341"/>
        <v>302.14132864242066</v>
      </c>
      <c r="AE1004" s="48">
        <f t="shared" ca="1" si="341"/>
        <v>249.62916572436794</v>
      </c>
      <c r="AF1004" s="48">
        <f t="shared" ca="1" si="341"/>
        <v>206.24361672147285</v>
      </c>
      <c r="AG1004" s="48">
        <f t="shared" ca="1" si="341"/>
        <v>170.39847613528087</v>
      </c>
      <c r="AH1004" s="48">
        <f t="shared" ca="1" si="341"/>
        <v>140.78322098296906</v>
      </c>
      <c r="AI1004" s="48">
        <f t="shared" ca="1" si="341"/>
        <v>116.31509717612906</v>
      </c>
      <c r="AJ1004" s="48">
        <f t="shared" ca="1" si="341"/>
        <v>96.099533286917818</v>
      </c>
      <c r="AK1004" s="48">
        <f t="shared" ca="1" si="341"/>
        <v>79.397434401651509</v>
      </c>
      <c r="AL1004" s="48">
        <f t="shared" ca="1" si="341"/>
        <v>65.598160302644459</v>
      </c>
      <c r="AM1004" s="48">
        <f t="shared" ca="1" si="341"/>
        <v>54.197200042044869</v>
      </c>
      <c r="AN1004" s="48">
        <f t="shared" ca="1" si="341"/>
        <v>44.777726674737472</v>
      </c>
      <c r="AO1004" s="48">
        <f t="shared" ca="1" si="341"/>
        <v>36.995357778668108</v>
      </c>
      <c r="AP1004" s="48">
        <f t="shared" ca="1" si="341"/>
        <v>0</v>
      </c>
      <c r="AQ1004" s="48">
        <f t="shared" ca="1" si="341"/>
        <v>0</v>
      </c>
      <c r="AR1004" s="48">
        <f t="shared" ca="1" si="341"/>
        <v>0</v>
      </c>
      <c r="AS1004" s="48">
        <f t="shared" ca="1" si="341"/>
        <v>0</v>
      </c>
      <c r="AT1004" s="48">
        <f t="shared" ca="1" si="341"/>
        <v>0</v>
      </c>
      <c r="AU1004" s="48">
        <f t="shared" ca="1" si="341"/>
        <v>0</v>
      </c>
      <c r="AV1004" s="48">
        <f t="shared" ca="1" si="341"/>
        <v>0</v>
      </c>
      <c r="AW1004" s="48">
        <f t="shared" ca="1" si="341"/>
        <v>0</v>
      </c>
      <c r="AX1004" s="48">
        <f t="shared" ca="1" si="341"/>
        <v>0</v>
      </c>
    </row>
    <row r="1005" spans="1:50" ht="15" customHeight="1" x14ac:dyDescent="0.25">
      <c r="A1005" s="241"/>
      <c r="B1005" s="675"/>
      <c r="C1005" s="615"/>
      <c r="D1005" s="64" t="str">
        <f>Translate!E530</f>
        <v>less</v>
      </c>
      <c r="E1005" s="55" t="str">
        <f t="shared" ref="E1005:AX1005" si="342" xml:space="preserve"> E$749</f>
        <v>Costs allocated to IOC (JV cashcalls)</v>
      </c>
      <c r="F1005" s="64">
        <f t="shared" si="342"/>
        <v>0</v>
      </c>
      <c r="G1005" s="55" t="str">
        <f t="shared" si="342"/>
        <v>US$ mn</v>
      </c>
      <c r="H1005" s="55">
        <f t="shared" si="342"/>
        <v>0</v>
      </c>
      <c r="I1005" s="55">
        <f t="shared" ca="1" si="342"/>
        <v>15494.453909721369</v>
      </c>
      <c r="J1005" s="55">
        <f t="shared" si="342"/>
        <v>0</v>
      </c>
      <c r="K1005" s="55">
        <f t="shared" ca="1" si="342"/>
        <v>430</v>
      </c>
      <c r="L1005" s="55">
        <f t="shared" ca="1" si="342"/>
        <v>40.799999999999997</v>
      </c>
      <c r="M1005" s="55">
        <f t="shared" ca="1" si="342"/>
        <v>249.696</v>
      </c>
      <c r="N1005" s="55">
        <f t="shared" ca="1" si="342"/>
        <v>1018.7596799999999</v>
      </c>
      <c r="O1005" s="55">
        <f t="shared" ca="1" si="342"/>
        <v>1135.9467421862532</v>
      </c>
      <c r="P1005" s="55">
        <f t="shared" ca="1" si="342"/>
        <v>2041.4531530367999</v>
      </c>
      <c r="Q1005" s="55">
        <f t="shared" ca="1" si="342"/>
        <v>1280.4842481592323</v>
      </c>
      <c r="R1005" s="55">
        <f t="shared" ca="1" si="342"/>
        <v>707.67299522479107</v>
      </c>
      <c r="S1005" s="55">
        <f t="shared" ca="1" si="342"/>
        <v>533.25656344892445</v>
      </c>
      <c r="T1005" s="55">
        <f t="shared" ca="1" si="342"/>
        <v>542.81730399790285</v>
      </c>
      <c r="U1005" s="55">
        <f t="shared" ca="1" si="342"/>
        <v>552.56925935786103</v>
      </c>
      <c r="V1005" s="55">
        <f t="shared" ca="1" si="342"/>
        <v>562.51625382501811</v>
      </c>
      <c r="W1005" s="55">
        <f t="shared" ca="1" si="342"/>
        <v>623.65696655382726</v>
      </c>
      <c r="X1005" s="55">
        <f t="shared" ca="1" si="342"/>
        <v>634.00581959745773</v>
      </c>
      <c r="Y1005" s="55">
        <f t="shared" ca="1" si="342"/>
        <v>644.56164970196073</v>
      </c>
      <c r="Z1005" s="55">
        <f t="shared" ca="1" si="342"/>
        <v>655.32859640855372</v>
      </c>
      <c r="AA1005" s="55">
        <f t="shared" ca="1" si="342"/>
        <v>655.81917020927881</v>
      </c>
      <c r="AB1005" s="55">
        <f t="shared" ca="1" si="342"/>
        <v>378.47453113393311</v>
      </c>
      <c r="AC1005" s="55">
        <f t="shared" ca="1" si="342"/>
        <v>251.73025351283761</v>
      </c>
      <c r="AD1005" s="55">
        <f t="shared" ca="1" si="342"/>
        <v>471.01761689928458</v>
      </c>
      <c r="AE1005" s="55">
        <f t="shared" ca="1" si="342"/>
        <v>450.65117341829341</v>
      </c>
      <c r="AF1005" s="55">
        <f t="shared" ca="1" si="342"/>
        <v>201.18157766762016</v>
      </c>
      <c r="AG1005" s="55">
        <f t="shared" ca="1" si="342"/>
        <v>187.30561067969171</v>
      </c>
      <c r="AH1005" s="55">
        <f t="shared" ca="1" si="342"/>
        <v>181.07141395355814</v>
      </c>
      <c r="AI1005" s="55">
        <f t="shared" ca="1" si="342"/>
        <v>175.09041645171456</v>
      </c>
      <c r="AJ1005" s="55">
        <f t="shared" ca="1" si="342"/>
        <v>169.26939245083398</v>
      </c>
      <c r="AK1005" s="55">
        <f t="shared" ca="1" si="342"/>
        <v>163.53139691945444</v>
      </c>
      <c r="AL1005" s="55">
        <f t="shared" ca="1" si="342"/>
        <v>157.8126329458504</v>
      </c>
      <c r="AM1005" s="55">
        <f t="shared" ca="1" si="342"/>
        <v>133.74497849493397</v>
      </c>
      <c r="AN1005" s="55">
        <f t="shared" ca="1" si="342"/>
        <v>135.01704751228468</v>
      </c>
      <c r="AO1005" s="55">
        <f t="shared" ca="1" si="342"/>
        <v>129.21146597321746</v>
      </c>
      <c r="AP1005" s="55">
        <f t="shared" ca="1" si="342"/>
        <v>0</v>
      </c>
      <c r="AQ1005" s="55">
        <f t="shared" ca="1" si="342"/>
        <v>0</v>
      </c>
      <c r="AR1005" s="55">
        <f t="shared" ca="1" si="342"/>
        <v>0</v>
      </c>
      <c r="AS1005" s="55">
        <f t="shared" ca="1" si="342"/>
        <v>0</v>
      </c>
      <c r="AT1005" s="55">
        <f t="shared" ca="1" si="342"/>
        <v>0</v>
      </c>
      <c r="AU1005" s="55">
        <f t="shared" ca="1" si="342"/>
        <v>0</v>
      </c>
      <c r="AV1005" s="55">
        <f t="shared" ca="1" si="342"/>
        <v>0</v>
      </c>
      <c r="AW1005" s="55">
        <f t="shared" ca="1" si="342"/>
        <v>0</v>
      </c>
      <c r="AX1005" s="55">
        <f t="shared" ca="1" si="342"/>
        <v>0</v>
      </c>
    </row>
    <row r="1006" spans="1:50" ht="15" customHeight="1" x14ac:dyDescent="0.25">
      <c r="A1006" s="241"/>
      <c r="B1006" s="675"/>
      <c r="C1006" s="615"/>
      <c r="D1006" s="64" t="str">
        <f>Translate!E530</f>
        <v>less</v>
      </c>
      <c r="E1006" s="55" t="str">
        <f t="shared" ref="E1006:AX1006" si="343" xml:space="preserve"> E$397</f>
        <v>Loan cashflows before interest withholding tax: IOC</v>
      </c>
      <c r="F1006" s="64">
        <f t="shared" si="343"/>
        <v>0</v>
      </c>
      <c r="G1006" s="55" t="str">
        <f t="shared" si="343"/>
        <v>US$ mn</v>
      </c>
      <c r="H1006" s="55">
        <f t="shared" si="343"/>
        <v>0</v>
      </c>
      <c r="I1006" s="55">
        <f t="shared" ca="1" si="343"/>
        <v>1103.945725965259</v>
      </c>
      <c r="J1006" s="55">
        <f t="shared" si="343"/>
        <v>0</v>
      </c>
      <c r="K1006" s="55">
        <f t="shared" ca="1" si="343"/>
        <v>0</v>
      </c>
      <c r="L1006" s="55">
        <f t="shared" ca="1" si="343"/>
        <v>-28.56</v>
      </c>
      <c r="M1006" s="55">
        <f t="shared" ca="1" si="343"/>
        <v>-174.78719999999998</v>
      </c>
      <c r="N1006" s="55">
        <f t="shared" ca="1" si="343"/>
        <v>-713.13177599999995</v>
      </c>
      <c r="O1006" s="55">
        <f t="shared" ca="1" si="343"/>
        <v>-727.39441151999995</v>
      </c>
      <c r="P1006" s="55">
        <f t="shared" ca="1" si="343"/>
        <v>-1298.3990245632001</v>
      </c>
      <c r="Q1006" s="55">
        <f t="shared" ca="1" si="343"/>
        <v>476.69596463279197</v>
      </c>
      <c r="R1006" s="55">
        <f t="shared" ca="1" si="343"/>
        <v>460.6794866710261</v>
      </c>
      <c r="S1006" s="55">
        <f t="shared" ca="1" si="343"/>
        <v>444.66300870926034</v>
      </c>
      <c r="T1006" s="55">
        <f t="shared" ca="1" si="343"/>
        <v>428.64653074749452</v>
      </c>
      <c r="U1006" s="55">
        <f t="shared" ca="1" si="343"/>
        <v>412.63005278572876</v>
      </c>
      <c r="V1006" s="55">
        <f t="shared" ca="1" si="343"/>
        <v>396.61357482396306</v>
      </c>
      <c r="W1006" s="55">
        <f t="shared" ca="1" si="343"/>
        <v>380.59709686219725</v>
      </c>
      <c r="X1006" s="55">
        <f t="shared" ca="1" si="343"/>
        <v>364.58061890043138</v>
      </c>
      <c r="Y1006" s="55">
        <f t="shared" ca="1" si="343"/>
        <v>348.56414093866567</v>
      </c>
      <c r="Z1006" s="55">
        <f t="shared" ca="1" si="343"/>
        <v>332.54766297689986</v>
      </c>
      <c r="AA1006" s="55">
        <f t="shared" ca="1" si="343"/>
        <v>0</v>
      </c>
      <c r="AB1006" s="55">
        <f t="shared" ca="1" si="343"/>
        <v>0</v>
      </c>
      <c r="AC1006" s="55">
        <f t="shared" ca="1" si="343"/>
        <v>0</v>
      </c>
      <c r="AD1006" s="55">
        <f t="shared" ca="1" si="343"/>
        <v>0</v>
      </c>
      <c r="AE1006" s="55">
        <f t="shared" ca="1" si="343"/>
        <v>0</v>
      </c>
      <c r="AF1006" s="55">
        <f t="shared" ca="1" si="343"/>
        <v>0</v>
      </c>
      <c r="AG1006" s="55">
        <f t="shared" ca="1" si="343"/>
        <v>0</v>
      </c>
      <c r="AH1006" s="55">
        <f t="shared" ca="1" si="343"/>
        <v>0</v>
      </c>
      <c r="AI1006" s="55">
        <f t="shared" ca="1" si="343"/>
        <v>0</v>
      </c>
      <c r="AJ1006" s="55">
        <f t="shared" ca="1" si="343"/>
        <v>0</v>
      </c>
      <c r="AK1006" s="55">
        <f t="shared" ca="1" si="343"/>
        <v>0</v>
      </c>
      <c r="AL1006" s="55">
        <f t="shared" ca="1" si="343"/>
        <v>0</v>
      </c>
      <c r="AM1006" s="55">
        <f t="shared" ca="1" si="343"/>
        <v>0</v>
      </c>
      <c r="AN1006" s="55">
        <f t="shared" ca="1" si="343"/>
        <v>0</v>
      </c>
      <c r="AO1006" s="55">
        <f t="shared" ca="1" si="343"/>
        <v>0</v>
      </c>
      <c r="AP1006" s="55">
        <f t="shared" ca="1" si="343"/>
        <v>0</v>
      </c>
      <c r="AQ1006" s="55">
        <f t="shared" ca="1" si="343"/>
        <v>0</v>
      </c>
      <c r="AR1006" s="55">
        <f t="shared" ca="1" si="343"/>
        <v>0</v>
      </c>
      <c r="AS1006" s="55">
        <f t="shared" ca="1" si="343"/>
        <v>0</v>
      </c>
      <c r="AT1006" s="55">
        <f t="shared" ca="1" si="343"/>
        <v>0</v>
      </c>
      <c r="AU1006" s="55">
        <f t="shared" ca="1" si="343"/>
        <v>0</v>
      </c>
      <c r="AV1006" s="55">
        <f t="shared" ca="1" si="343"/>
        <v>0</v>
      </c>
      <c r="AW1006" s="55">
        <f t="shared" ca="1" si="343"/>
        <v>0</v>
      </c>
      <c r="AX1006" s="55">
        <f t="shared" ca="1" si="343"/>
        <v>0</v>
      </c>
    </row>
    <row r="1007" spans="1:50" ht="15" customHeight="1" x14ac:dyDescent="0.25">
      <c r="A1007" s="241"/>
      <c r="B1007" s="675"/>
      <c r="C1007" s="615"/>
      <c r="D1007" s="64" t="str">
        <f>Translate!E529</f>
        <v>add</v>
      </c>
      <c r="E1007" s="434" t="str">
        <f t="shared" ref="E1007:AX1007" si="344" xml:space="preserve"> E$1081</f>
        <v>Carried interest loan cashflows: IOC</v>
      </c>
      <c r="F1007" s="589">
        <f t="shared" si="344"/>
        <v>0</v>
      </c>
      <c r="G1007" s="434" t="str">
        <f t="shared" si="344"/>
        <v>US$ mn</v>
      </c>
      <c r="H1007" s="434">
        <f t="shared" si="344"/>
        <v>0</v>
      </c>
      <c r="I1007" s="434">
        <f t="shared" ca="1" si="344"/>
        <v>23.133769451511185</v>
      </c>
      <c r="J1007" s="434">
        <f t="shared" si="344"/>
        <v>0</v>
      </c>
      <c r="K1007" s="434">
        <f ca="1" xml:space="preserve"> K$1081</f>
        <v>0</v>
      </c>
      <c r="L1007" s="434">
        <f t="shared" ca="1" si="344"/>
        <v>-3.0600000000000014</v>
      </c>
      <c r="M1007" s="434">
        <f t="shared" ca="1" si="344"/>
        <v>-18.727200000000011</v>
      </c>
      <c r="N1007" s="434">
        <f t="shared" ca="1" si="344"/>
        <v>-76.406976000000014</v>
      </c>
      <c r="O1007" s="434">
        <f t="shared" ca="1" si="344"/>
        <v>-56.444935368987615</v>
      </c>
      <c r="P1007" s="434">
        <f t="shared" ca="1" si="344"/>
        <v>80.209533372480053</v>
      </c>
      <c r="Q1007" s="434">
        <f t="shared" ca="1" si="344"/>
        <v>97.563347448018774</v>
      </c>
      <c r="R1007" s="434">
        <f t="shared" ca="1" si="344"/>
        <v>0</v>
      </c>
      <c r="S1007" s="434">
        <f t="shared" ca="1" si="344"/>
        <v>0</v>
      </c>
      <c r="T1007" s="434">
        <f t="shared" ca="1" si="344"/>
        <v>0</v>
      </c>
      <c r="U1007" s="434">
        <f t="shared" ca="1" si="344"/>
        <v>0</v>
      </c>
      <c r="V1007" s="434">
        <f t="shared" ca="1" si="344"/>
        <v>0</v>
      </c>
      <c r="W1007" s="434">
        <f t="shared" ca="1" si="344"/>
        <v>0</v>
      </c>
      <c r="X1007" s="434">
        <f t="shared" ca="1" si="344"/>
        <v>0</v>
      </c>
      <c r="Y1007" s="434">
        <f t="shared" ca="1" si="344"/>
        <v>0</v>
      </c>
      <c r="Z1007" s="434">
        <f t="shared" ca="1" si="344"/>
        <v>0</v>
      </c>
      <c r="AA1007" s="434">
        <f t="shared" ca="1" si="344"/>
        <v>0</v>
      </c>
      <c r="AB1007" s="434">
        <f t="shared" ca="1" si="344"/>
        <v>0</v>
      </c>
      <c r="AC1007" s="434">
        <f t="shared" ca="1" si="344"/>
        <v>0</v>
      </c>
      <c r="AD1007" s="434">
        <f t="shared" ca="1" si="344"/>
        <v>0</v>
      </c>
      <c r="AE1007" s="434">
        <f t="shared" ca="1" si="344"/>
        <v>0</v>
      </c>
      <c r="AF1007" s="434">
        <f t="shared" ca="1" si="344"/>
        <v>0</v>
      </c>
      <c r="AG1007" s="434">
        <f t="shared" ca="1" si="344"/>
        <v>0</v>
      </c>
      <c r="AH1007" s="434">
        <f t="shared" ca="1" si="344"/>
        <v>0</v>
      </c>
      <c r="AI1007" s="434">
        <f t="shared" ca="1" si="344"/>
        <v>0</v>
      </c>
      <c r="AJ1007" s="434">
        <f t="shared" ca="1" si="344"/>
        <v>0</v>
      </c>
      <c r="AK1007" s="434">
        <f t="shared" ca="1" si="344"/>
        <v>0</v>
      </c>
      <c r="AL1007" s="434">
        <f t="shared" ca="1" si="344"/>
        <v>0</v>
      </c>
      <c r="AM1007" s="434">
        <f t="shared" ca="1" si="344"/>
        <v>0</v>
      </c>
      <c r="AN1007" s="434">
        <f t="shared" ca="1" si="344"/>
        <v>0</v>
      </c>
      <c r="AO1007" s="434">
        <f t="shared" ca="1" si="344"/>
        <v>0</v>
      </c>
      <c r="AP1007" s="434">
        <f t="shared" ca="1" si="344"/>
        <v>0</v>
      </c>
      <c r="AQ1007" s="434">
        <f t="shared" ca="1" si="344"/>
        <v>0</v>
      </c>
      <c r="AR1007" s="434">
        <f t="shared" ca="1" si="344"/>
        <v>0</v>
      </c>
      <c r="AS1007" s="434">
        <f t="shared" ca="1" si="344"/>
        <v>0</v>
      </c>
      <c r="AT1007" s="434">
        <f t="shared" ca="1" si="344"/>
        <v>0</v>
      </c>
      <c r="AU1007" s="434">
        <f t="shared" ca="1" si="344"/>
        <v>0</v>
      </c>
      <c r="AV1007" s="434">
        <f t="shared" ca="1" si="344"/>
        <v>0</v>
      </c>
      <c r="AW1007" s="434">
        <f t="shared" ca="1" si="344"/>
        <v>0</v>
      </c>
      <c r="AX1007" s="434">
        <f t="shared" ca="1" si="344"/>
        <v>0</v>
      </c>
    </row>
    <row r="1008" spans="1:50" ht="15" customHeight="1" x14ac:dyDescent="0.25">
      <c r="A1008" s="241"/>
      <c r="B1008" s="675"/>
      <c r="C1008" s="615"/>
      <c r="D1008" s="64" t="str">
        <f>Translate!E530</f>
        <v>less</v>
      </c>
      <c r="E1008" s="55" t="str">
        <f t="shared" ref="E1008:AX1008" si="345" xml:space="preserve"> E$884</f>
        <v>CIT paid: IOC</v>
      </c>
      <c r="F1008" s="64">
        <f t="shared" si="345"/>
        <v>0</v>
      </c>
      <c r="G1008" s="55" t="str">
        <f t="shared" si="345"/>
        <v>US$ mn</v>
      </c>
      <c r="H1008" s="55">
        <f t="shared" si="345"/>
        <v>0</v>
      </c>
      <c r="I1008" s="55">
        <f t="shared" ca="1" si="345"/>
        <v>7025.4106949421139</v>
      </c>
      <c r="J1008" s="55">
        <f t="shared" si="345"/>
        <v>0</v>
      </c>
      <c r="K1008" s="55">
        <f t="shared" ca="1" si="345"/>
        <v>0</v>
      </c>
      <c r="L1008" s="55">
        <f t="shared" ca="1" si="345"/>
        <v>0</v>
      </c>
      <c r="M1008" s="55">
        <f t="shared" ca="1" si="345"/>
        <v>0</v>
      </c>
      <c r="N1008" s="55">
        <f t="shared" ca="1" si="345"/>
        <v>0</v>
      </c>
      <c r="O1008" s="55">
        <f t="shared" ca="1" si="345"/>
        <v>0</v>
      </c>
      <c r="P1008" s="55">
        <f t="shared" ca="1" si="345"/>
        <v>0</v>
      </c>
      <c r="Q1008" s="55">
        <f t="shared" ca="1" si="345"/>
        <v>0</v>
      </c>
      <c r="R1008" s="55">
        <f t="shared" ca="1" si="345"/>
        <v>131.54218410837188</v>
      </c>
      <c r="S1008" s="55">
        <f t="shared" ca="1" si="345"/>
        <v>229.41842089981012</v>
      </c>
      <c r="T1008" s="55">
        <f t="shared" ca="1" si="345"/>
        <v>399.25097818260241</v>
      </c>
      <c r="U1008" s="55">
        <f t="shared" ca="1" si="345"/>
        <v>532.0129480534423</v>
      </c>
      <c r="V1008" s="55">
        <f t="shared" ca="1" si="345"/>
        <v>604.25294649718239</v>
      </c>
      <c r="W1008" s="55">
        <f t="shared" ca="1" si="345"/>
        <v>618.1652988313233</v>
      </c>
      <c r="X1008" s="55">
        <f t="shared" ca="1" si="345"/>
        <v>637.3263336781032</v>
      </c>
      <c r="Y1008" s="55">
        <f t="shared" ca="1" si="345"/>
        <v>656.75847387608655</v>
      </c>
      <c r="Z1008" s="55">
        <f t="shared" ca="1" si="345"/>
        <v>676.46714153229732</v>
      </c>
      <c r="AA1008" s="55">
        <f t="shared" ca="1" si="345"/>
        <v>524.1953977183332</v>
      </c>
      <c r="AB1008" s="55">
        <f t="shared" ca="1" si="345"/>
        <v>412.57000347062149</v>
      </c>
      <c r="AC1008" s="55">
        <f t="shared" ca="1" si="345"/>
        <v>367.3405327343454</v>
      </c>
      <c r="AD1008" s="55">
        <f t="shared" ca="1" si="345"/>
        <v>285.3456781060782</v>
      </c>
      <c r="AE1008" s="55">
        <f t="shared" ca="1" si="345"/>
        <v>222.78807965396268</v>
      </c>
      <c r="AF1008" s="55">
        <f t="shared" ca="1" si="345"/>
        <v>185.3686152591259</v>
      </c>
      <c r="AG1008" s="55">
        <f t="shared" ca="1" si="345"/>
        <v>140.04200688423217</v>
      </c>
      <c r="AH1008" s="55">
        <f t="shared" ca="1" si="345"/>
        <v>100.76261852514234</v>
      </c>
      <c r="AI1008" s="55">
        <f t="shared" ca="1" si="345"/>
        <v>84.91687945352291</v>
      </c>
      <c r="AJ1008" s="55">
        <f t="shared" ca="1" si="345"/>
        <v>75.295059243892965</v>
      </c>
      <c r="AK1008" s="55">
        <f t="shared" ca="1" si="345"/>
        <v>53.920419240502994</v>
      </c>
      <c r="AL1008" s="55">
        <f t="shared" ca="1" si="345"/>
        <v>36.603002892654523</v>
      </c>
      <c r="AM1008" s="55">
        <f t="shared" ca="1" si="345"/>
        <v>29.065337585635856</v>
      </c>
      <c r="AN1008" s="55">
        <f t="shared" ca="1" si="345"/>
        <v>15.432850715332744</v>
      </c>
      <c r="AO1008" s="55">
        <f t="shared" ca="1" si="345"/>
        <v>6.5694877995107035</v>
      </c>
      <c r="AP1008" s="55">
        <f t="shared" ca="1" si="345"/>
        <v>0</v>
      </c>
      <c r="AQ1008" s="55">
        <f t="shared" ca="1" si="345"/>
        <v>0</v>
      </c>
      <c r="AR1008" s="55">
        <f t="shared" ca="1" si="345"/>
        <v>0</v>
      </c>
      <c r="AS1008" s="55">
        <f t="shared" ca="1" si="345"/>
        <v>0</v>
      </c>
      <c r="AT1008" s="55">
        <f t="shared" ca="1" si="345"/>
        <v>0</v>
      </c>
      <c r="AU1008" s="55">
        <f t="shared" ca="1" si="345"/>
        <v>0</v>
      </c>
      <c r="AV1008" s="55">
        <f t="shared" ca="1" si="345"/>
        <v>0</v>
      </c>
      <c r="AW1008" s="55">
        <f t="shared" ca="1" si="345"/>
        <v>0</v>
      </c>
      <c r="AX1008" s="55">
        <f t="shared" ca="1" si="345"/>
        <v>0</v>
      </c>
    </row>
    <row r="1009" spans="1:50" ht="15" customHeight="1" x14ac:dyDescent="0.25">
      <c r="A1009" s="241"/>
      <c r="B1009" s="675"/>
      <c r="C1009" s="615"/>
      <c r="D1009" s="64" t="str">
        <f>Translate!E530</f>
        <v>less</v>
      </c>
      <c r="E1009" s="55" t="str">
        <f t="shared" ref="E1009:AX1009" si="346" xml:space="preserve"> E$932</f>
        <v>Resource rent tax: IOC</v>
      </c>
      <c r="F1009" s="64">
        <f t="shared" si="346"/>
        <v>0</v>
      </c>
      <c r="G1009" s="55" t="str">
        <f t="shared" si="346"/>
        <v>US$ mn</v>
      </c>
      <c r="H1009" s="55">
        <f t="shared" si="346"/>
        <v>0</v>
      </c>
      <c r="I1009" s="55">
        <f t="shared" ca="1" si="346"/>
        <v>0</v>
      </c>
      <c r="J1009" s="55">
        <f t="shared" si="346"/>
        <v>0</v>
      </c>
      <c r="K1009" s="55">
        <f t="shared" ca="1" si="346"/>
        <v>0</v>
      </c>
      <c r="L1009" s="55">
        <f t="shared" ca="1" si="346"/>
        <v>0</v>
      </c>
      <c r="M1009" s="55">
        <f t="shared" ca="1" si="346"/>
        <v>0</v>
      </c>
      <c r="N1009" s="55">
        <f t="shared" ca="1" si="346"/>
        <v>0</v>
      </c>
      <c r="O1009" s="55">
        <f t="shared" ca="1" si="346"/>
        <v>0</v>
      </c>
      <c r="P1009" s="55">
        <f t="shared" ca="1" si="346"/>
        <v>0</v>
      </c>
      <c r="Q1009" s="55">
        <f t="shared" ca="1" si="346"/>
        <v>0</v>
      </c>
      <c r="R1009" s="55">
        <f t="shared" ca="1" si="346"/>
        <v>0</v>
      </c>
      <c r="S1009" s="55">
        <f t="shared" ca="1" si="346"/>
        <v>0</v>
      </c>
      <c r="T1009" s="55">
        <f t="shared" ca="1" si="346"/>
        <v>0</v>
      </c>
      <c r="U1009" s="55">
        <f t="shared" ca="1" si="346"/>
        <v>0</v>
      </c>
      <c r="V1009" s="55">
        <f t="shared" ca="1" si="346"/>
        <v>0</v>
      </c>
      <c r="W1009" s="55">
        <f t="shared" ca="1" si="346"/>
        <v>0</v>
      </c>
      <c r="X1009" s="55">
        <f t="shared" ca="1" si="346"/>
        <v>0</v>
      </c>
      <c r="Y1009" s="55">
        <f t="shared" ca="1" si="346"/>
        <v>0</v>
      </c>
      <c r="Z1009" s="55">
        <f t="shared" ca="1" si="346"/>
        <v>0</v>
      </c>
      <c r="AA1009" s="55">
        <f t="shared" ca="1" si="346"/>
        <v>0</v>
      </c>
      <c r="AB1009" s="55">
        <f t="shared" ca="1" si="346"/>
        <v>0</v>
      </c>
      <c r="AC1009" s="55">
        <f t="shared" ca="1" si="346"/>
        <v>0</v>
      </c>
      <c r="AD1009" s="55">
        <f t="shared" ca="1" si="346"/>
        <v>0</v>
      </c>
      <c r="AE1009" s="55">
        <f t="shared" ca="1" si="346"/>
        <v>0</v>
      </c>
      <c r="AF1009" s="55">
        <f t="shared" ca="1" si="346"/>
        <v>0</v>
      </c>
      <c r="AG1009" s="55">
        <f t="shared" ca="1" si="346"/>
        <v>0</v>
      </c>
      <c r="AH1009" s="55">
        <f t="shared" ca="1" si="346"/>
        <v>0</v>
      </c>
      <c r="AI1009" s="55">
        <f t="shared" ca="1" si="346"/>
        <v>0</v>
      </c>
      <c r="AJ1009" s="55">
        <f t="shared" ca="1" si="346"/>
        <v>0</v>
      </c>
      <c r="AK1009" s="55">
        <f t="shared" ca="1" si="346"/>
        <v>0</v>
      </c>
      <c r="AL1009" s="55">
        <f t="shared" ca="1" si="346"/>
        <v>0</v>
      </c>
      <c r="AM1009" s="55">
        <f t="shared" ca="1" si="346"/>
        <v>0</v>
      </c>
      <c r="AN1009" s="55">
        <f t="shared" ca="1" si="346"/>
        <v>0</v>
      </c>
      <c r="AO1009" s="55">
        <f t="shared" ca="1" si="346"/>
        <v>0</v>
      </c>
      <c r="AP1009" s="55">
        <f t="shared" ca="1" si="346"/>
        <v>0</v>
      </c>
      <c r="AQ1009" s="55">
        <f t="shared" ca="1" si="346"/>
        <v>0</v>
      </c>
      <c r="AR1009" s="55">
        <f t="shared" ca="1" si="346"/>
        <v>0</v>
      </c>
      <c r="AS1009" s="55">
        <f t="shared" ca="1" si="346"/>
        <v>0</v>
      </c>
      <c r="AT1009" s="55">
        <f t="shared" ca="1" si="346"/>
        <v>0</v>
      </c>
      <c r="AU1009" s="55">
        <f t="shared" ca="1" si="346"/>
        <v>0</v>
      </c>
      <c r="AV1009" s="55">
        <f t="shared" ca="1" si="346"/>
        <v>0</v>
      </c>
      <c r="AW1009" s="55">
        <f t="shared" ca="1" si="346"/>
        <v>0</v>
      </c>
      <c r="AX1009" s="55">
        <f t="shared" ca="1" si="346"/>
        <v>0</v>
      </c>
    </row>
    <row r="1010" spans="1:50" ht="15" customHeight="1" x14ac:dyDescent="0.25">
      <c r="A1010" s="45"/>
      <c r="B1010" s="675"/>
      <c r="C1010" s="629"/>
      <c r="D1010" s="242" t="str">
        <f>Translate!E529</f>
        <v>add</v>
      </c>
      <c r="E1010" s="190" t="str">
        <f t="shared" ref="E1010:AH1010" si="347" xml:space="preserve"> E$997</f>
        <v>VAT cashflow: investor</v>
      </c>
      <c r="F1010" s="242">
        <f t="shared" si="347"/>
        <v>0</v>
      </c>
      <c r="G1010" s="190" t="str">
        <f t="shared" si="347"/>
        <v>US$ mn</v>
      </c>
      <c r="H1010" s="190">
        <f t="shared" si="347"/>
        <v>0</v>
      </c>
      <c r="I1010" s="190">
        <f t="shared" ca="1" si="347"/>
        <v>0</v>
      </c>
      <c r="J1010" s="190">
        <f t="shared" si="347"/>
        <v>0</v>
      </c>
      <c r="K1010" s="190">
        <f t="shared" ca="1" si="347"/>
        <v>0</v>
      </c>
      <c r="L1010" s="190">
        <f t="shared" ca="1" si="347"/>
        <v>0</v>
      </c>
      <c r="M1010" s="190">
        <f t="shared" ca="1" si="347"/>
        <v>0</v>
      </c>
      <c r="N1010" s="190">
        <f t="shared" ca="1" si="347"/>
        <v>0</v>
      </c>
      <c r="O1010" s="190">
        <f t="shared" ca="1" si="347"/>
        <v>0</v>
      </c>
      <c r="P1010" s="190">
        <f t="shared" ca="1" si="347"/>
        <v>0</v>
      </c>
      <c r="Q1010" s="190">
        <f t="shared" ca="1" si="347"/>
        <v>0</v>
      </c>
      <c r="R1010" s="190">
        <f t="shared" ca="1" si="347"/>
        <v>0</v>
      </c>
      <c r="S1010" s="190">
        <f t="shared" ca="1" si="347"/>
        <v>0</v>
      </c>
      <c r="T1010" s="190">
        <f t="shared" ca="1" si="347"/>
        <v>0</v>
      </c>
      <c r="U1010" s="190">
        <f t="shared" ca="1" si="347"/>
        <v>0</v>
      </c>
      <c r="V1010" s="190">
        <f t="shared" ca="1" si="347"/>
        <v>0</v>
      </c>
      <c r="W1010" s="190">
        <f t="shared" ca="1" si="347"/>
        <v>0</v>
      </c>
      <c r="X1010" s="190">
        <f t="shared" ca="1" si="347"/>
        <v>0</v>
      </c>
      <c r="Y1010" s="190">
        <f t="shared" ca="1" si="347"/>
        <v>0</v>
      </c>
      <c r="Z1010" s="190">
        <f t="shared" ca="1" si="347"/>
        <v>0</v>
      </c>
      <c r="AA1010" s="190">
        <f t="shared" ca="1" si="347"/>
        <v>0</v>
      </c>
      <c r="AB1010" s="190">
        <f t="shared" ca="1" si="347"/>
        <v>0</v>
      </c>
      <c r="AC1010" s="190">
        <f t="shared" ca="1" si="347"/>
        <v>0</v>
      </c>
      <c r="AD1010" s="190">
        <f t="shared" ca="1" si="347"/>
        <v>0</v>
      </c>
      <c r="AE1010" s="190">
        <f t="shared" ca="1" si="347"/>
        <v>0</v>
      </c>
      <c r="AF1010" s="190">
        <f t="shared" ca="1" si="347"/>
        <v>0</v>
      </c>
      <c r="AG1010" s="190">
        <f t="shared" ca="1" si="347"/>
        <v>0</v>
      </c>
      <c r="AH1010" s="55">
        <f t="shared" ca="1" si="347"/>
        <v>0</v>
      </c>
      <c r="AI1010" s="55">
        <f t="shared" ref="AI1010:AX1010" ca="1" si="348">AI997</f>
        <v>0</v>
      </c>
      <c r="AJ1010" s="55">
        <f t="shared" ca="1" si="348"/>
        <v>0</v>
      </c>
      <c r="AK1010" s="55">
        <f t="shared" ca="1" si="348"/>
        <v>0</v>
      </c>
      <c r="AL1010" s="55">
        <f t="shared" ca="1" si="348"/>
        <v>0</v>
      </c>
      <c r="AM1010" s="55">
        <f t="shared" ca="1" si="348"/>
        <v>0</v>
      </c>
      <c r="AN1010" s="55">
        <f t="shared" ca="1" si="348"/>
        <v>0</v>
      </c>
      <c r="AO1010" s="55">
        <f t="shared" ca="1" si="348"/>
        <v>0</v>
      </c>
      <c r="AP1010" s="55">
        <f t="shared" ca="1" si="348"/>
        <v>0</v>
      </c>
      <c r="AQ1010" s="55">
        <f t="shared" ca="1" si="348"/>
        <v>0</v>
      </c>
      <c r="AR1010" s="55">
        <f t="shared" ca="1" si="348"/>
        <v>0</v>
      </c>
      <c r="AS1010" s="55">
        <f t="shared" ca="1" si="348"/>
        <v>0</v>
      </c>
      <c r="AT1010" s="55">
        <f t="shared" ca="1" si="348"/>
        <v>0</v>
      </c>
      <c r="AU1010" s="55">
        <f t="shared" ca="1" si="348"/>
        <v>0</v>
      </c>
      <c r="AV1010" s="55">
        <f t="shared" ca="1" si="348"/>
        <v>0</v>
      </c>
      <c r="AW1010" s="55">
        <f t="shared" ca="1" si="348"/>
        <v>0</v>
      </c>
      <c r="AX1010" s="55">
        <f t="shared" ca="1" si="348"/>
        <v>0</v>
      </c>
    </row>
    <row r="1011" spans="1:50" s="485" customFormat="1" ht="15" customHeight="1" x14ac:dyDescent="0.25">
      <c r="A1011" s="502"/>
      <c r="B1011" s="684"/>
      <c r="C1011" s="645"/>
      <c r="D1011" s="504"/>
      <c r="E1011" s="511" t="str">
        <f xml:space="preserve"> Translate!E$371</f>
        <v>IOC cash flow before distributions</v>
      </c>
      <c r="F1011" s="504"/>
      <c r="G1011" s="511" t="str">
        <f xml:space="preserve"> Translate!E$603</f>
        <v>US$ mn</v>
      </c>
      <c r="H1011" s="511"/>
      <c r="I1011" s="482">
        <f ca="1" xml:space="preserve"> SUM(K1011:AX1011)</f>
        <v>12987.191290606783</v>
      </c>
      <c r="J1011" s="482"/>
      <c r="K1011" s="482">
        <f t="shared" ref="K1011:AX1011" ca="1" si="349" xml:space="preserve"> K1003 - K1004 - K1005 - K1006 + K1007 - K1008 - K1009 + K1010</f>
        <v>-430</v>
      </c>
      <c r="L1011" s="482">
        <f t="shared" ca="1" si="349"/>
        <v>-15.3</v>
      </c>
      <c r="M1011" s="482">
        <f t="shared" ca="1" si="349"/>
        <v>-93.636000000000024</v>
      </c>
      <c r="N1011" s="482">
        <f t="shared" ca="1" si="349"/>
        <v>-382.03487999999993</v>
      </c>
      <c r="O1011" s="482">
        <f t="shared" ca="1" si="349"/>
        <v>-332.22467684493807</v>
      </c>
      <c r="P1011" s="482">
        <f t="shared" ca="1" si="349"/>
        <v>401.04766686240026</v>
      </c>
      <c r="Q1011" s="482">
        <f t="shared" ca="1" si="349"/>
        <v>510.72334906157579</v>
      </c>
      <c r="R1011" s="482">
        <f t="shared" ca="1" si="349"/>
        <v>913.8523526895035</v>
      </c>
      <c r="S1011" s="482">
        <f t="shared" ca="1" si="349"/>
        <v>1050.683966009572</v>
      </c>
      <c r="T1011" s="482">
        <f t="shared" ca="1" si="349"/>
        <v>932.46758532091781</v>
      </c>
      <c r="U1011" s="482">
        <f t="shared" ca="1" si="349"/>
        <v>852.03378601686393</v>
      </c>
      <c r="V1011" s="482">
        <f t="shared" ca="1" si="349"/>
        <v>832.84819199201092</v>
      </c>
      <c r="W1011" s="482">
        <f t="shared" ca="1" si="349"/>
        <v>821.73622423359006</v>
      </c>
      <c r="X1011" s="482">
        <f t="shared" ca="1" si="349"/>
        <v>857.12592603456426</v>
      </c>
      <c r="Y1011" s="482">
        <f t="shared" ca="1" si="349"/>
        <v>893.01520765805481</v>
      </c>
      <c r="Z1011" s="482">
        <f t="shared" ca="1" si="349"/>
        <v>929.41406070051244</v>
      </c>
      <c r="AA1011" s="482">
        <f t="shared" ca="1" si="349"/>
        <v>962.94784686139747</v>
      </c>
      <c r="AB1011" s="482">
        <f t="shared" ca="1" si="349"/>
        <v>979.47101249412526</v>
      </c>
      <c r="AC1011" s="482">
        <f t="shared" ca="1" si="349"/>
        <v>843.72915876574655</v>
      </c>
      <c r="AD1011" s="482">
        <f t="shared" ca="1" si="349"/>
        <v>452.20201956431987</v>
      </c>
      <c r="AE1011" s="482">
        <f t="shared" ca="1" si="349"/>
        <v>325.07740982521568</v>
      </c>
      <c r="AF1011" s="482">
        <f t="shared" ca="1" si="349"/>
        <v>438.42427395914535</v>
      </c>
      <c r="AG1011" s="482">
        <f t="shared" ca="1" si="349"/>
        <v>354.24628697719959</v>
      </c>
      <c r="AH1011" s="482">
        <f t="shared" ca="1" si="349"/>
        <v>281.29885145317576</v>
      </c>
      <c r="AI1011" s="482">
        <f t="shared" ca="1" si="349"/>
        <v>205.25309279927879</v>
      </c>
      <c r="AJ1011" s="482">
        <f t="shared" ca="1" si="349"/>
        <v>139.83368145294435</v>
      </c>
      <c r="AK1011" s="482">
        <f t="shared" ca="1" si="349"/>
        <v>100.1379214466486</v>
      </c>
      <c r="AL1011" s="482">
        <f t="shared" ca="1" si="349"/>
        <v>67.977005372072909</v>
      </c>
      <c r="AM1011" s="482">
        <f t="shared" ca="1" si="349"/>
        <v>53.978484087609644</v>
      </c>
      <c r="AN1011" s="482">
        <f t="shared" ca="1" si="349"/>
        <v>28.661008471332469</v>
      </c>
      <c r="AO1011" s="482">
        <f t="shared" ca="1" si="349"/>
        <v>12.200477341944271</v>
      </c>
      <c r="AP1011" s="482">
        <f t="shared" ca="1" si="349"/>
        <v>0</v>
      </c>
      <c r="AQ1011" s="482">
        <f t="shared" ca="1" si="349"/>
        <v>0</v>
      </c>
      <c r="AR1011" s="482">
        <f t="shared" ca="1" si="349"/>
        <v>0</v>
      </c>
      <c r="AS1011" s="482">
        <f t="shared" ca="1" si="349"/>
        <v>0</v>
      </c>
      <c r="AT1011" s="482">
        <f t="shared" ca="1" si="349"/>
        <v>0</v>
      </c>
      <c r="AU1011" s="482">
        <f t="shared" ca="1" si="349"/>
        <v>0</v>
      </c>
      <c r="AV1011" s="482">
        <f t="shared" ca="1" si="349"/>
        <v>0</v>
      </c>
      <c r="AW1011" s="482">
        <f t="shared" ca="1" si="349"/>
        <v>0</v>
      </c>
      <c r="AX1011" s="482">
        <f t="shared" ca="1" si="349"/>
        <v>0</v>
      </c>
    </row>
    <row r="1012" spans="1:50" ht="15" customHeight="1" x14ac:dyDescent="0.25">
      <c r="A1012" s="241"/>
      <c r="B1012" s="675"/>
      <c r="C1012" s="615"/>
      <c r="D1012" s="64"/>
      <c r="E1012" s="190" t="str">
        <f xml:space="preserve"> Translate!E$371 &amp; ": " &amp; Translate!E$811</f>
        <v>IOC cash flow before distributions: cumulative</v>
      </c>
      <c r="F1012" s="64"/>
      <c r="G1012" s="190" t="str">
        <f xml:space="preserve"> Translate!E$603</f>
        <v>US$ mn</v>
      </c>
      <c r="H1012" s="190"/>
      <c r="I1012" s="55"/>
      <c r="J1012" s="236"/>
      <c r="K1012" s="55">
        <f t="shared" ref="K1012:AX1012" ca="1" si="350" xml:space="preserve"> J1012 + K1011</f>
        <v>-430</v>
      </c>
      <c r="L1012" s="55">
        <f t="shared" ca="1" si="350"/>
        <v>-445.3</v>
      </c>
      <c r="M1012" s="55">
        <f t="shared" ca="1" si="350"/>
        <v>-538.93600000000004</v>
      </c>
      <c r="N1012" s="55">
        <f t="shared" ca="1" si="350"/>
        <v>-920.97087999999997</v>
      </c>
      <c r="O1012" s="55">
        <f t="shared" ca="1" si="350"/>
        <v>-1253.195556844938</v>
      </c>
      <c r="P1012" s="55">
        <f t="shared" ca="1" si="350"/>
        <v>-852.14788998253766</v>
      </c>
      <c r="Q1012" s="55">
        <f t="shared" ca="1" si="350"/>
        <v>-341.42454092096187</v>
      </c>
      <c r="R1012" s="55">
        <f t="shared" ca="1" si="350"/>
        <v>572.42781176854169</v>
      </c>
      <c r="S1012" s="55">
        <f t="shared" ca="1" si="350"/>
        <v>1623.1117777781137</v>
      </c>
      <c r="T1012" s="55">
        <f t="shared" ca="1" si="350"/>
        <v>2555.5793630990315</v>
      </c>
      <c r="U1012" s="55">
        <f t="shared" ca="1" si="350"/>
        <v>3407.6131491158953</v>
      </c>
      <c r="V1012" s="55">
        <f t="shared" ca="1" si="350"/>
        <v>4240.4613411079063</v>
      </c>
      <c r="W1012" s="55">
        <f t="shared" ca="1" si="350"/>
        <v>5062.1975653414966</v>
      </c>
      <c r="X1012" s="55">
        <f t="shared" ca="1" si="350"/>
        <v>5919.3234913760607</v>
      </c>
      <c r="Y1012" s="55">
        <f t="shared" ca="1" si="350"/>
        <v>6812.3386990341151</v>
      </c>
      <c r="Z1012" s="55">
        <f t="shared" ca="1" si="350"/>
        <v>7741.752759734627</v>
      </c>
      <c r="AA1012" s="55">
        <f t="shared" ca="1" si="350"/>
        <v>8704.700606596025</v>
      </c>
      <c r="AB1012" s="55">
        <f t="shared" ca="1" si="350"/>
        <v>9684.1716190901498</v>
      </c>
      <c r="AC1012" s="55">
        <f t="shared" ca="1" si="350"/>
        <v>10527.900777855897</v>
      </c>
      <c r="AD1012" s="55">
        <f t="shared" ca="1" si="350"/>
        <v>10980.102797420217</v>
      </c>
      <c r="AE1012" s="55">
        <f t="shared" ca="1" si="350"/>
        <v>11305.180207245432</v>
      </c>
      <c r="AF1012" s="55">
        <f t="shared" ca="1" si="350"/>
        <v>11743.604481204577</v>
      </c>
      <c r="AG1012" s="55">
        <f t="shared" ca="1" si="350"/>
        <v>12097.850768181775</v>
      </c>
      <c r="AH1012" s="55">
        <f t="shared" ca="1" si="350"/>
        <v>12379.149619634951</v>
      </c>
      <c r="AI1012" s="55">
        <f t="shared" ca="1" si="350"/>
        <v>12584.40271243423</v>
      </c>
      <c r="AJ1012" s="55">
        <f t="shared" ca="1" si="350"/>
        <v>12724.236393887175</v>
      </c>
      <c r="AK1012" s="55">
        <f t="shared" ca="1" si="350"/>
        <v>12824.374315333824</v>
      </c>
      <c r="AL1012" s="55">
        <f t="shared" ca="1" si="350"/>
        <v>12892.351320705897</v>
      </c>
      <c r="AM1012" s="55">
        <f t="shared" ca="1" si="350"/>
        <v>12946.329804793506</v>
      </c>
      <c r="AN1012" s="55">
        <f t="shared" ca="1" si="350"/>
        <v>12974.990813264838</v>
      </c>
      <c r="AO1012" s="55">
        <f t="shared" ca="1" si="350"/>
        <v>12987.191290606783</v>
      </c>
      <c r="AP1012" s="55">
        <f t="shared" ca="1" si="350"/>
        <v>12987.191290606783</v>
      </c>
      <c r="AQ1012" s="55">
        <f t="shared" ca="1" si="350"/>
        <v>12987.191290606783</v>
      </c>
      <c r="AR1012" s="55">
        <f t="shared" ca="1" si="350"/>
        <v>12987.191290606783</v>
      </c>
      <c r="AS1012" s="55">
        <f t="shared" ca="1" si="350"/>
        <v>12987.191290606783</v>
      </c>
      <c r="AT1012" s="55">
        <f t="shared" ca="1" si="350"/>
        <v>12987.191290606783</v>
      </c>
      <c r="AU1012" s="55">
        <f t="shared" ca="1" si="350"/>
        <v>12987.191290606783</v>
      </c>
      <c r="AV1012" s="55">
        <f t="shared" ca="1" si="350"/>
        <v>12987.191290606783</v>
      </c>
      <c r="AW1012" s="55">
        <f t="shared" ca="1" si="350"/>
        <v>12987.191290606783</v>
      </c>
      <c r="AX1012" s="55">
        <f t="shared" ca="1" si="350"/>
        <v>12987.191290606783</v>
      </c>
    </row>
    <row r="1013" spans="1:50" ht="15" customHeight="1" x14ac:dyDescent="0.25">
      <c r="A1013" s="241"/>
      <c r="B1013" s="675"/>
      <c r="C1013" s="615"/>
      <c r="D1013" s="64"/>
      <c r="E1013" s="190"/>
      <c r="F1013" s="64"/>
      <c r="G1013" s="190"/>
      <c r="H1013" s="190"/>
      <c r="I1013" s="55"/>
      <c r="J1013" s="55"/>
      <c r="K1013" s="55"/>
      <c r="L1013" s="55"/>
      <c r="M1013" s="55"/>
      <c r="N1013" s="55"/>
      <c r="O1013" s="55"/>
      <c r="P1013" s="55"/>
      <c r="Q1013" s="55"/>
      <c r="R1013" s="55"/>
      <c r="S1013" s="55"/>
      <c r="T1013" s="55"/>
      <c r="U1013" s="55"/>
      <c r="V1013" s="55"/>
      <c r="W1013" s="55"/>
      <c r="X1013" s="55"/>
      <c r="Y1013" s="55"/>
      <c r="Z1013" s="55"/>
      <c r="AA1013" s="55"/>
      <c r="AB1013" s="55"/>
      <c r="AC1013" s="55"/>
      <c r="AD1013" s="55"/>
      <c r="AE1013" s="55"/>
      <c r="AF1013" s="55"/>
      <c r="AG1013" s="55"/>
      <c r="AH1013" s="55"/>
      <c r="AI1013" s="55"/>
      <c r="AJ1013" s="55"/>
      <c r="AK1013" s="55"/>
      <c r="AL1013" s="55"/>
      <c r="AM1013" s="55"/>
      <c r="AN1013" s="55"/>
      <c r="AO1013" s="55"/>
      <c r="AP1013" s="55"/>
      <c r="AQ1013" s="55"/>
      <c r="AR1013" s="55"/>
      <c r="AS1013" s="55"/>
      <c r="AT1013" s="55"/>
      <c r="AU1013" s="55"/>
      <c r="AV1013" s="55"/>
      <c r="AW1013" s="55"/>
      <c r="AX1013" s="55"/>
    </row>
    <row r="1014" spans="1:50" ht="15" customHeight="1" x14ac:dyDescent="0.25">
      <c r="A1014" s="241"/>
      <c r="B1014" s="675"/>
      <c r="C1014" s="615"/>
      <c r="D1014" s="64"/>
      <c r="E1014" s="190" t="str">
        <f xml:space="preserve"> Translate!E$601 &amp; ": " &amp; Translate!E$372</f>
        <v>Total: Dividend distributions</v>
      </c>
      <c r="F1014" s="64">
        <f ca="1" xml:space="preserve"> SUM(K1011:AX1011)</f>
        <v>12987.191290606783</v>
      </c>
      <c r="G1014" s="190" t="str">
        <f xml:space="preserve"> Translate!E$603</f>
        <v>US$ mn</v>
      </c>
      <c r="H1014" s="190"/>
      <c r="I1014" s="55"/>
      <c r="J1014" s="55"/>
      <c r="K1014" s="55"/>
      <c r="L1014" s="55"/>
      <c r="M1014" s="55"/>
      <c r="N1014" s="55"/>
      <c r="O1014" s="55"/>
      <c r="P1014" s="55"/>
      <c r="Q1014" s="55"/>
      <c r="R1014" s="55"/>
      <c r="S1014" s="55"/>
      <c r="T1014" s="55"/>
      <c r="U1014" s="55"/>
      <c r="V1014" s="55"/>
      <c r="W1014" s="55"/>
      <c r="X1014" s="55"/>
      <c r="Y1014" s="55"/>
      <c r="Z1014" s="55"/>
      <c r="AA1014" s="55"/>
      <c r="AB1014" s="55"/>
      <c r="AC1014" s="55"/>
      <c r="AD1014" s="55"/>
      <c r="AE1014" s="55"/>
      <c r="AF1014" s="55"/>
      <c r="AG1014" s="55"/>
      <c r="AH1014" s="55"/>
      <c r="AI1014" s="55"/>
      <c r="AJ1014" s="55"/>
      <c r="AK1014" s="55"/>
      <c r="AL1014" s="55"/>
      <c r="AM1014" s="55"/>
      <c r="AN1014" s="55"/>
      <c r="AO1014" s="55"/>
      <c r="AP1014" s="55"/>
      <c r="AQ1014" s="55"/>
      <c r="AR1014" s="55"/>
      <c r="AS1014" s="55"/>
      <c r="AT1014" s="55"/>
      <c r="AU1014" s="55"/>
      <c r="AV1014" s="55"/>
      <c r="AW1014" s="55"/>
      <c r="AX1014" s="55"/>
    </row>
    <row r="1015" spans="1:50" ht="15" customHeight="1" x14ac:dyDescent="0.25">
      <c r="A1015" s="241"/>
      <c r="B1015" s="675"/>
      <c r="C1015" s="615"/>
      <c r="D1015" s="64"/>
      <c r="E1015" s="190"/>
      <c r="F1015" s="64"/>
      <c r="G1015" s="190"/>
      <c r="H1015" s="190"/>
      <c r="I1015" s="55"/>
      <c r="J1015" s="55"/>
      <c r="K1015" s="55"/>
      <c r="L1015" s="55"/>
      <c r="M1015" s="55"/>
      <c r="N1015" s="55"/>
      <c r="O1015" s="55"/>
      <c r="P1015" s="55"/>
      <c r="Q1015" s="55"/>
      <c r="R1015" s="55"/>
      <c r="S1015" s="55"/>
      <c r="T1015" s="55"/>
      <c r="U1015" s="55"/>
      <c r="V1015" s="55"/>
      <c r="W1015" s="55"/>
      <c r="X1015" s="55"/>
      <c r="Y1015" s="55"/>
      <c r="Z1015" s="55"/>
      <c r="AA1015" s="55"/>
      <c r="AB1015" s="55"/>
      <c r="AC1015" s="55"/>
      <c r="AD1015" s="55"/>
      <c r="AE1015" s="55"/>
      <c r="AF1015" s="55"/>
      <c r="AG1015" s="55"/>
      <c r="AH1015" s="55"/>
      <c r="AI1015" s="55"/>
      <c r="AJ1015" s="55"/>
      <c r="AK1015" s="55"/>
      <c r="AL1015" s="55"/>
      <c r="AM1015" s="55"/>
      <c r="AN1015" s="55"/>
      <c r="AO1015" s="55"/>
      <c r="AP1015" s="55"/>
      <c r="AQ1015" s="55"/>
      <c r="AR1015" s="55"/>
      <c r="AS1015" s="55"/>
      <c r="AT1015" s="55"/>
      <c r="AU1015" s="55"/>
      <c r="AV1015" s="55"/>
      <c r="AW1015" s="55"/>
      <c r="AX1015" s="55"/>
    </row>
    <row r="1016" spans="1:50" s="544" customFormat="1" ht="15" customHeight="1" x14ac:dyDescent="0.25">
      <c r="A1016" s="545"/>
      <c r="B1016" s="546"/>
      <c r="C1016" s="653"/>
      <c r="D1016" s="547"/>
      <c r="E1016" s="55" t="str">
        <f xml:space="preserve"> Translate!E$373</f>
        <v>Distributions to parent deemed to be dividends</v>
      </c>
      <c r="F1016" s="547"/>
      <c r="G1016" s="55" t="str">
        <f xml:space="preserve"> Translate!E$603</f>
        <v>US$ mn</v>
      </c>
      <c r="H1016" s="965" t="str">
        <f>Translate!E526</f>
        <v>Distributions are made once equity cashflows are positive. Distributions are deemed return of capital and do not attract withholding tax after the total positive post-tax cashflow has been distributed as dividends.</v>
      </c>
      <c r="I1016" s="543">
        <f ca="1" xml:space="preserve"> SUM(K1016:AX1016)</f>
        <v>12987.191290606783</v>
      </c>
      <c r="J1016" s="543"/>
      <c r="K1016" s="543">
        <f ca="1" xml:space="preserve"> MAX( 0, MIN(K1011, $F1014 - SUM($J1016:J1016)))</f>
        <v>0</v>
      </c>
      <c r="L1016" s="543">
        <f ca="1" xml:space="preserve"> MAX( 0, MIN(L1011, $F1014 - SUM($J1016:K1016)))</f>
        <v>0</v>
      </c>
      <c r="M1016" s="543">
        <f ca="1" xml:space="preserve"> MAX( 0, MIN(M1011, $F1014 - SUM($J1016:L1016)))</f>
        <v>0</v>
      </c>
      <c r="N1016" s="543">
        <f ca="1" xml:space="preserve"> MAX( 0, MIN(N1011, $F1014 - SUM($J1016:M1016)))</f>
        <v>0</v>
      </c>
      <c r="O1016" s="543">
        <f ca="1" xml:space="preserve"> MAX( 0, MIN(O1011, $F1014 - SUM($J1016:N1016)))</f>
        <v>0</v>
      </c>
      <c r="P1016" s="543">
        <f ca="1" xml:space="preserve"> MAX( 0, MIN(P1011, $F1014 - SUM($J1016:O1016)))</f>
        <v>401.04766686240026</v>
      </c>
      <c r="Q1016" s="543">
        <f ca="1" xml:space="preserve"> MAX( 0, MIN(Q1011, $F1014 - SUM($J1016:P1016)))</f>
        <v>510.72334906157579</v>
      </c>
      <c r="R1016" s="543">
        <f ca="1" xml:space="preserve"> MAX( 0, MIN(R1011, $F1014 - SUM($J1016:Q1016)))</f>
        <v>913.8523526895035</v>
      </c>
      <c r="S1016" s="543">
        <f ca="1" xml:space="preserve"> MAX( 0, MIN(S1011, $F1014 - SUM($J1016:R1016)))</f>
        <v>1050.683966009572</v>
      </c>
      <c r="T1016" s="543">
        <f ca="1" xml:space="preserve"> MAX( 0, MIN(T1011, $F1014 - SUM($J1016:S1016)))</f>
        <v>932.46758532091781</v>
      </c>
      <c r="U1016" s="543">
        <f ca="1" xml:space="preserve"> MAX( 0, MIN(U1011, $F1014 - SUM($J1016:T1016)))</f>
        <v>852.03378601686393</v>
      </c>
      <c r="V1016" s="543">
        <f ca="1" xml:space="preserve"> MAX( 0, MIN(V1011, $F1014 - SUM($J1016:U1016)))</f>
        <v>832.84819199201092</v>
      </c>
      <c r="W1016" s="543">
        <f ca="1" xml:space="preserve"> MAX( 0, MIN(W1011, $F1014 - SUM($J1016:V1016)))</f>
        <v>821.73622423359006</v>
      </c>
      <c r="X1016" s="543">
        <f ca="1" xml:space="preserve"> MAX( 0, MIN(X1011, $F1014 - SUM($J1016:W1016)))</f>
        <v>857.12592603456426</v>
      </c>
      <c r="Y1016" s="543">
        <f ca="1" xml:space="preserve"> MAX( 0, MIN(Y1011, $F1014 - SUM($J1016:X1016)))</f>
        <v>893.01520765805481</v>
      </c>
      <c r="Z1016" s="543">
        <f ca="1" xml:space="preserve"> MAX( 0, MIN(Z1011, $F1014 - SUM($J1016:Y1016)))</f>
        <v>929.41406070051244</v>
      </c>
      <c r="AA1016" s="543">
        <f ca="1" xml:space="preserve"> MAX( 0, MIN(AA1011, $F1014 - SUM($J1016:Z1016)))</f>
        <v>962.94784686139747</v>
      </c>
      <c r="AB1016" s="543">
        <f ca="1" xml:space="preserve"> MAX( 0, MIN(AB1011, $F1014 - SUM($J1016:AA1016)))</f>
        <v>979.47101249412526</v>
      </c>
      <c r="AC1016" s="543">
        <f ca="1" xml:space="preserve"> MAX( 0, MIN(AC1011, $F1014 - SUM($J1016:AB1016)))</f>
        <v>843.72915876574655</v>
      </c>
      <c r="AD1016" s="543">
        <f ca="1" xml:space="preserve"> MAX( 0, MIN(AD1011, $F1014 - SUM($J1016:AC1016)))</f>
        <v>452.20201956431987</v>
      </c>
      <c r="AE1016" s="543">
        <f ca="1" xml:space="preserve"> MAX( 0, MIN(AE1011, $F1014 - SUM($J1016:AD1016)))</f>
        <v>325.07740982521568</v>
      </c>
      <c r="AF1016" s="543">
        <f ca="1" xml:space="preserve"> MAX( 0, MIN(AF1011, $F1014 - SUM($J1016:AE1016)))</f>
        <v>428.81552651641323</v>
      </c>
      <c r="AG1016" s="543">
        <f ca="1" xml:space="preserve"> MAX( 0, MIN(AG1011, $F1014 - SUM($J1016:AF1016)))</f>
        <v>0</v>
      </c>
      <c r="AH1016" s="543">
        <f ca="1" xml:space="preserve"> MAX( 0, MIN(AH1011, $F1014 - SUM($J1016:AG1016)))</f>
        <v>0</v>
      </c>
      <c r="AI1016" s="543">
        <f ca="1" xml:space="preserve"> MAX( 0, MIN(AI1011, $F1014 - SUM($J1016:AH1016)))</f>
        <v>0</v>
      </c>
      <c r="AJ1016" s="543">
        <f ca="1" xml:space="preserve"> MAX( 0, MIN(AJ1011, $F1014 - SUM($J1016:AI1016)))</f>
        <v>0</v>
      </c>
      <c r="AK1016" s="543">
        <f ca="1" xml:space="preserve"> MAX( 0, MIN(AK1011, $F1014 - SUM($J1016:AJ1016)))</f>
        <v>0</v>
      </c>
      <c r="AL1016" s="543">
        <f ca="1" xml:space="preserve"> MAX( 0, MIN(AL1011, $F1014 - SUM($J1016:AK1016)))</f>
        <v>0</v>
      </c>
      <c r="AM1016" s="543">
        <f ca="1" xml:space="preserve"> MAX( 0, MIN(AM1011, $F1014 - SUM($J1016:AL1016)))</f>
        <v>0</v>
      </c>
      <c r="AN1016" s="543">
        <f ca="1" xml:space="preserve"> MAX( 0, MIN(AN1011, $F1014 - SUM($J1016:AM1016)))</f>
        <v>0</v>
      </c>
      <c r="AO1016" s="543">
        <f ca="1" xml:space="preserve"> MAX( 0, MIN(AO1011, $F1014 - SUM($J1016:AN1016)))</f>
        <v>0</v>
      </c>
      <c r="AP1016" s="543">
        <f ca="1" xml:space="preserve"> MAX( 0, MIN(AP1011, $F1014 - SUM($J1016:AO1016)))</f>
        <v>0</v>
      </c>
      <c r="AQ1016" s="543">
        <f ca="1" xml:space="preserve"> MAX( 0, MIN(AQ1011, $F1014 - SUM($J1016:AP1016)))</f>
        <v>0</v>
      </c>
      <c r="AR1016" s="543">
        <f ca="1" xml:space="preserve"> MAX( 0, MIN(AR1011, $F1014 - SUM($J1016:AQ1016)))</f>
        <v>0</v>
      </c>
      <c r="AS1016" s="543">
        <f ca="1" xml:space="preserve"> MAX( 0, MIN(AS1011, $F1014 - SUM($J1016:AR1016)))</f>
        <v>0</v>
      </c>
      <c r="AT1016" s="543">
        <f ca="1" xml:space="preserve"> MAX( 0, MIN(AT1011, $F1014 - SUM($J1016:AS1016)))</f>
        <v>0</v>
      </c>
      <c r="AU1016" s="543">
        <f ca="1" xml:space="preserve"> MAX( 0, MIN(AU1011, $F1014 - SUM($J1016:AT1016)))</f>
        <v>0</v>
      </c>
      <c r="AV1016" s="543">
        <f ca="1" xml:space="preserve"> MAX( 0, MIN(AV1011, $F1014 - SUM($J1016:AU1016)))</f>
        <v>0</v>
      </c>
      <c r="AW1016" s="543">
        <f ca="1" xml:space="preserve"> MAX( 0, MIN(AW1011, $F1014 - SUM($J1016:AV1016)))</f>
        <v>0</v>
      </c>
      <c r="AX1016" s="543">
        <f ca="1" xml:space="preserve"> MAX( 0, MIN(AX1011, $F1014 - SUM($J1016:AW1016)))</f>
        <v>0</v>
      </c>
    </row>
    <row r="1017" spans="1:50" s="544" customFormat="1" ht="15" customHeight="1" x14ac:dyDescent="0.25">
      <c r="A1017" s="545"/>
      <c r="B1017" s="546"/>
      <c r="C1017" s="653"/>
      <c r="D1017" s="547"/>
      <c r="E1017" s="55" t="str">
        <f xml:space="preserve"> Translate!E$374</f>
        <v>Distributions to parent deemed to be return of capital</v>
      </c>
      <c r="F1017" s="547"/>
      <c r="G1017" s="55" t="str">
        <f xml:space="preserve"> Translate!E$603</f>
        <v>US$ mn</v>
      </c>
      <c r="H1017" s="543"/>
      <c r="I1017" s="543">
        <f ca="1" xml:space="preserve"> SUM(K1017:AX1017)</f>
        <v>1253.1955568449382</v>
      </c>
      <c r="J1017" s="543"/>
      <c r="K1017" s="543">
        <f t="shared" ref="K1017:AX1017" ca="1" si="351" xml:space="preserve"> IF(K1011 &gt; 0, K1011 - K1016, 0)</f>
        <v>0</v>
      </c>
      <c r="L1017" s="543">
        <f t="shared" ca="1" si="351"/>
        <v>0</v>
      </c>
      <c r="M1017" s="543">
        <f t="shared" ca="1" si="351"/>
        <v>0</v>
      </c>
      <c r="N1017" s="543">
        <f t="shared" ca="1" si="351"/>
        <v>0</v>
      </c>
      <c r="O1017" s="543">
        <f t="shared" ca="1" si="351"/>
        <v>0</v>
      </c>
      <c r="P1017" s="543">
        <f t="shared" ca="1" si="351"/>
        <v>0</v>
      </c>
      <c r="Q1017" s="543">
        <f t="shared" ca="1" si="351"/>
        <v>0</v>
      </c>
      <c r="R1017" s="543">
        <f t="shared" ca="1" si="351"/>
        <v>0</v>
      </c>
      <c r="S1017" s="543">
        <f t="shared" ca="1" si="351"/>
        <v>0</v>
      </c>
      <c r="T1017" s="543">
        <f t="shared" ca="1" si="351"/>
        <v>0</v>
      </c>
      <c r="U1017" s="543">
        <f t="shared" ca="1" si="351"/>
        <v>0</v>
      </c>
      <c r="V1017" s="543">
        <f t="shared" ca="1" si="351"/>
        <v>0</v>
      </c>
      <c r="W1017" s="543">
        <f t="shared" ca="1" si="351"/>
        <v>0</v>
      </c>
      <c r="X1017" s="543">
        <f t="shared" ca="1" si="351"/>
        <v>0</v>
      </c>
      <c r="Y1017" s="543">
        <f t="shared" ca="1" si="351"/>
        <v>0</v>
      </c>
      <c r="Z1017" s="543">
        <f t="shared" ca="1" si="351"/>
        <v>0</v>
      </c>
      <c r="AA1017" s="543">
        <f t="shared" ca="1" si="351"/>
        <v>0</v>
      </c>
      <c r="AB1017" s="543">
        <f t="shared" ca="1" si="351"/>
        <v>0</v>
      </c>
      <c r="AC1017" s="543">
        <f t="shared" ca="1" si="351"/>
        <v>0</v>
      </c>
      <c r="AD1017" s="543">
        <f t="shared" ca="1" si="351"/>
        <v>0</v>
      </c>
      <c r="AE1017" s="543">
        <f t="shared" ca="1" si="351"/>
        <v>0</v>
      </c>
      <c r="AF1017" s="543">
        <f t="shared" ca="1" si="351"/>
        <v>9.608747442732124</v>
      </c>
      <c r="AG1017" s="543">
        <f t="shared" ca="1" si="351"/>
        <v>354.24628697719959</v>
      </c>
      <c r="AH1017" s="543">
        <f t="shared" ca="1" si="351"/>
        <v>281.29885145317576</v>
      </c>
      <c r="AI1017" s="543">
        <f t="shared" ca="1" si="351"/>
        <v>205.25309279927879</v>
      </c>
      <c r="AJ1017" s="543">
        <f t="shared" ca="1" si="351"/>
        <v>139.83368145294435</v>
      </c>
      <c r="AK1017" s="543">
        <f t="shared" ca="1" si="351"/>
        <v>100.1379214466486</v>
      </c>
      <c r="AL1017" s="543">
        <f t="shared" ca="1" si="351"/>
        <v>67.977005372072909</v>
      </c>
      <c r="AM1017" s="543">
        <f t="shared" ca="1" si="351"/>
        <v>53.978484087609644</v>
      </c>
      <c r="AN1017" s="543">
        <f t="shared" ca="1" si="351"/>
        <v>28.661008471332469</v>
      </c>
      <c r="AO1017" s="543">
        <f t="shared" ca="1" si="351"/>
        <v>12.200477341944271</v>
      </c>
      <c r="AP1017" s="543">
        <f t="shared" ca="1" si="351"/>
        <v>0</v>
      </c>
      <c r="AQ1017" s="543">
        <f t="shared" ca="1" si="351"/>
        <v>0</v>
      </c>
      <c r="AR1017" s="543">
        <f t="shared" ca="1" si="351"/>
        <v>0</v>
      </c>
      <c r="AS1017" s="543">
        <f t="shared" ca="1" si="351"/>
        <v>0</v>
      </c>
      <c r="AT1017" s="543">
        <f t="shared" ca="1" si="351"/>
        <v>0</v>
      </c>
      <c r="AU1017" s="543">
        <f t="shared" ca="1" si="351"/>
        <v>0</v>
      </c>
      <c r="AV1017" s="543">
        <f t="shared" ca="1" si="351"/>
        <v>0</v>
      </c>
      <c r="AW1017" s="543">
        <f t="shared" ca="1" si="351"/>
        <v>0</v>
      </c>
      <c r="AX1017" s="543">
        <f t="shared" ca="1" si="351"/>
        <v>0</v>
      </c>
    </row>
    <row r="1018" spans="1:50" ht="15" customHeight="1" x14ac:dyDescent="0.25">
      <c r="A1018" s="241"/>
      <c r="B1018" s="675"/>
      <c r="C1018" s="615"/>
      <c r="D1018" s="64"/>
      <c r="E1018" s="190"/>
      <c r="F1018" s="64"/>
      <c r="G1018" s="190"/>
      <c r="H1018" s="190"/>
      <c r="I1018" s="55"/>
      <c r="J1018" s="55"/>
      <c r="K1018" s="55"/>
      <c r="L1018" s="55"/>
      <c r="M1018" s="55"/>
      <c r="N1018" s="55"/>
      <c r="O1018" s="55"/>
      <c r="P1018" s="55"/>
      <c r="Q1018" s="55"/>
      <c r="R1018" s="55"/>
      <c r="S1018" s="55"/>
      <c r="T1018" s="55"/>
      <c r="U1018" s="55"/>
      <c r="V1018" s="55"/>
      <c r="W1018" s="55"/>
      <c r="X1018" s="55"/>
      <c r="Y1018" s="55"/>
      <c r="Z1018" s="55"/>
      <c r="AA1018" s="55"/>
      <c r="AB1018" s="55"/>
      <c r="AC1018" s="55"/>
      <c r="AD1018" s="55"/>
      <c r="AE1018" s="55"/>
      <c r="AF1018" s="55"/>
      <c r="AG1018" s="55"/>
      <c r="AH1018" s="55"/>
      <c r="AI1018" s="55"/>
      <c r="AJ1018" s="55"/>
      <c r="AK1018" s="55"/>
      <c r="AL1018" s="55"/>
      <c r="AM1018" s="55"/>
      <c r="AN1018" s="55"/>
      <c r="AO1018" s="55"/>
      <c r="AP1018" s="55"/>
      <c r="AQ1018" s="55"/>
      <c r="AR1018" s="55"/>
      <c r="AS1018" s="55"/>
      <c r="AT1018" s="55"/>
      <c r="AU1018" s="55"/>
      <c r="AV1018" s="55"/>
      <c r="AW1018" s="55"/>
      <c r="AX1018" s="55"/>
    </row>
    <row r="1019" spans="1:50" ht="15" customHeight="1" x14ac:dyDescent="0.25">
      <c r="A1019" s="86"/>
      <c r="B1019" s="677"/>
      <c r="C1019" s="604"/>
      <c r="D1019" s="217"/>
      <c r="E1019" s="402" t="str">
        <f xml:space="preserve"> FiscalModel!E$74</f>
        <v>Dividend withholding tax</v>
      </c>
      <c r="F1019" s="534">
        <f xml:space="preserve"> FiscalModel!F$74</f>
        <v>0.1</v>
      </c>
      <c r="G1019" s="402" t="str">
        <f xml:space="preserve"> FiscalModel!G$74</f>
        <v>%</v>
      </c>
      <c r="H1019" s="13"/>
      <c r="I1019" s="217"/>
      <c r="J1019" s="237"/>
      <c r="K1019" s="55"/>
      <c r="L1019" s="55"/>
      <c r="M1019" s="55"/>
      <c r="N1019" s="55"/>
      <c r="O1019" s="55"/>
      <c r="P1019" s="55"/>
      <c r="Q1019" s="55"/>
      <c r="R1019" s="55"/>
      <c r="S1019" s="55"/>
      <c r="T1019" s="55"/>
      <c r="U1019" s="55"/>
      <c r="V1019" s="55"/>
      <c r="W1019" s="55"/>
      <c r="X1019" s="55"/>
      <c r="Y1019" s="55"/>
      <c r="Z1019" s="55"/>
      <c r="AA1019" s="55"/>
      <c r="AB1019" s="55"/>
      <c r="AC1019" s="55"/>
      <c r="AD1019" s="55"/>
      <c r="AE1019" s="55"/>
      <c r="AF1019" s="55"/>
      <c r="AG1019" s="55"/>
      <c r="AH1019" s="55"/>
      <c r="AI1019" s="55"/>
      <c r="AJ1019" s="55"/>
      <c r="AK1019" s="55"/>
      <c r="AL1019" s="55"/>
      <c r="AM1019" s="55"/>
      <c r="AN1019" s="55"/>
      <c r="AO1019" s="55"/>
      <c r="AP1019" s="55"/>
      <c r="AQ1019" s="55"/>
      <c r="AR1019" s="55"/>
      <c r="AS1019" s="55"/>
      <c r="AT1019" s="55"/>
      <c r="AU1019" s="55"/>
      <c r="AV1019" s="55"/>
      <c r="AW1019" s="55"/>
      <c r="AX1019" s="55"/>
    </row>
    <row r="1020" spans="1:50" s="7" customFormat="1" ht="15" customHeight="1" x14ac:dyDescent="0.25">
      <c r="A1020" s="274"/>
      <c r="B1020" s="672"/>
      <c r="C1020" s="618"/>
      <c r="D1020" s="64"/>
      <c r="E1020" s="190" t="str">
        <f xml:space="preserve"> Translate!E$375</f>
        <v>Dividend withholding tax</v>
      </c>
      <c r="F1020" s="64"/>
      <c r="G1020" s="190" t="str">
        <f xml:space="preserve"> Translate!E$603</f>
        <v>US$ mn</v>
      </c>
      <c r="H1020" s="190"/>
      <c r="I1020" s="55">
        <f ca="1" xml:space="preserve"> SUM(K1020:AX1020)</f>
        <v>1298.7191290606788</v>
      </c>
      <c r="J1020" s="55"/>
      <c r="K1020" s="55">
        <f t="shared" ref="K1020:AX1020" ca="1" si="352" xml:space="preserve"> K1016 * $F1019</f>
        <v>0</v>
      </c>
      <c r="L1020" s="55">
        <f t="shared" ca="1" si="352"/>
        <v>0</v>
      </c>
      <c r="M1020" s="55">
        <f t="shared" ca="1" si="352"/>
        <v>0</v>
      </c>
      <c r="N1020" s="55">
        <f t="shared" ca="1" si="352"/>
        <v>0</v>
      </c>
      <c r="O1020" s="55">
        <f t="shared" ca="1" si="352"/>
        <v>0</v>
      </c>
      <c r="P1020" s="55">
        <f t="shared" ca="1" si="352"/>
        <v>40.104766686240026</v>
      </c>
      <c r="Q1020" s="55">
        <f t="shared" ca="1" si="352"/>
        <v>51.072334906157579</v>
      </c>
      <c r="R1020" s="55">
        <f t="shared" ca="1" si="352"/>
        <v>91.385235268950353</v>
      </c>
      <c r="S1020" s="55">
        <f t="shared" ca="1" si="352"/>
        <v>105.06839660095721</v>
      </c>
      <c r="T1020" s="55">
        <f t="shared" ca="1" si="352"/>
        <v>93.246758532091789</v>
      </c>
      <c r="U1020" s="55">
        <f t="shared" ca="1" si="352"/>
        <v>85.203378601686396</v>
      </c>
      <c r="V1020" s="55">
        <f t="shared" ca="1" si="352"/>
        <v>83.284819199201095</v>
      </c>
      <c r="W1020" s="55">
        <f t="shared" ca="1" si="352"/>
        <v>82.173622423359006</v>
      </c>
      <c r="X1020" s="55">
        <f t="shared" ca="1" si="352"/>
        <v>85.712592603456429</v>
      </c>
      <c r="Y1020" s="55">
        <f t="shared" ca="1" si="352"/>
        <v>89.301520765805492</v>
      </c>
      <c r="Z1020" s="55">
        <f t="shared" ca="1" si="352"/>
        <v>92.941406070051244</v>
      </c>
      <c r="AA1020" s="55">
        <f t="shared" ca="1" si="352"/>
        <v>96.294784686139749</v>
      </c>
      <c r="AB1020" s="55">
        <f t="shared" ca="1" si="352"/>
        <v>97.947101249412526</v>
      </c>
      <c r="AC1020" s="55">
        <f t="shared" ca="1" si="352"/>
        <v>84.372915876574666</v>
      </c>
      <c r="AD1020" s="55">
        <f t="shared" ca="1" si="352"/>
        <v>45.220201956431993</v>
      </c>
      <c r="AE1020" s="55">
        <f t="shared" ca="1" si="352"/>
        <v>32.507740982521568</v>
      </c>
      <c r="AF1020" s="55">
        <f t="shared" ca="1" si="352"/>
        <v>42.881552651641329</v>
      </c>
      <c r="AG1020" s="55">
        <f t="shared" ca="1" si="352"/>
        <v>0</v>
      </c>
      <c r="AH1020" s="55">
        <f t="shared" ca="1" si="352"/>
        <v>0</v>
      </c>
      <c r="AI1020" s="55">
        <f t="shared" ca="1" si="352"/>
        <v>0</v>
      </c>
      <c r="AJ1020" s="55">
        <f t="shared" ca="1" si="352"/>
        <v>0</v>
      </c>
      <c r="AK1020" s="55">
        <f t="shared" ca="1" si="352"/>
        <v>0</v>
      </c>
      <c r="AL1020" s="55">
        <f t="shared" ca="1" si="352"/>
        <v>0</v>
      </c>
      <c r="AM1020" s="55">
        <f t="shared" ca="1" si="352"/>
        <v>0</v>
      </c>
      <c r="AN1020" s="55">
        <f t="shared" ca="1" si="352"/>
        <v>0</v>
      </c>
      <c r="AO1020" s="55">
        <f t="shared" ca="1" si="352"/>
        <v>0</v>
      </c>
      <c r="AP1020" s="55">
        <f t="shared" ca="1" si="352"/>
        <v>0</v>
      </c>
      <c r="AQ1020" s="55">
        <f t="shared" ca="1" si="352"/>
        <v>0</v>
      </c>
      <c r="AR1020" s="55">
        <f t="shared" ca="1" si="352"/>
        <v>0</v>
      </c>
      <c r="AS1020" s="55">
        <f t="shared" ca="1" si="352"/>
        <v>0</v>
      </c>
      <c r="AT1020" s="55">
        <f t="shared" ca="1" si="352"/>
        <v>0</v>
      </c>
      <c r="AU1020" s="55">
        <f t="shared" ca="1" si="352"/>
        <v>0</v>
      </c>
      <c r="AV1020" s="55">
        <f t="shared" ca="1" si="352"/>
        <v>0</v>
      </c>
      <c r="AW1020" s="55">
        <f t="shared" ca="1" si="352"/>
        <v>0</v>
      </c>
      <c r="AX1020" s="55">
        <f t="shared" ca="1" si="352"/>
        <v>0</v>
      </c>
    </row>
    <row r="1021" spans="1:50" ht="15" customHeight="1" x14ac:dyDescent="0.25">
      <c r="A1021" s="86"/>
      <c r="B1021" s="677"/>
      <c r="C1021" s="604"/>
      <c r="D1021" s="217"/>
      <c r="E1021" s="13"/>
      <c r="F1021" s="151"/>
      <c r="G1021" s="13"/>
      <c r="H1021" s="13"/>
      <c r="I1021" s="217"/>
      <c r="J1021" s="237"/>
      <c r="K1021" s="98"/>
      <c r="L1021" s="98"/>
      <c r="M1021" s="98"/>
      <c r="N1021" s="98"/>
      <c r="O1021" s="98"/>
      <c r="P1021" s="98"/>
      <c r="Q1021" s="98"/>
      <c r="R1021" s="98"/>
      <c r="S1021" s="98"/>
      <c r="T1021" s="98"/>
      <c r="U1021" s="98"/>
      <c r="V1021" s="98"/>
      <c r="W1021" s="98"/>
      <c r="X1021" s="98"/>
      <c r="Y1021" s="98"/>
      <c r="Z1021" s="98"/>
      <c r="AA1021" s="98"/>
      <c r="AB1021" s="98"/>
      <c r="AC1021" s="98"/>
      <c r="AD1021" s="98"/>
      <c r="AE1021" s="98"/>
      <c r="AF1021" s="98"/>
      <c r="AG1021" s="98"/>
      <c r="AH1021" s="98"/>
      <c r="AI1021" s="98"/>
      <c r="AJ1021" s="98"/>
      <c r="AK1021" s="98"/>
      <c r="AL1021" s="98"/>
      <c r="AM1021" s="98"/>
      <c r="AN1021" s="98"/>
      <c r="AO1021" s="98"/>
      <c r="AP1021" s="98"/>
      <c r="AQ1021" s="98"/>
      <c r="AR1021" s="98"/>
      <c r="AS1021" s="98"/>
      <c r="AT1021" s="98"/>
      <c r="AU1021" s="98"/>
      <c r="AV1021" s="98"/>
      <c r="AW1021" s="98"/>
      <c r="AX1021" s="98"/>
    </row>
    <row r="1022" spans="1:50" ht="15" customHeight="1" x14ac:dyDescent="0.25">
      <c r="A1022" s="274"/>
      <c r="B1022" s="672"/>
      <c r="C1022" s="618"/>
      <c r="D1022" s="55"/>
      <c r="E1022" s="190" t="str">
        <f xml:space="preserve"> Translate!E$376</f>
        <v>Net cashflow after fiscal regime: IOC</v>
      </c>
      <c r="F1022" s="64"/>
      <c r="G1022" s="190" t="str">
        <f xml:space="preserve"> Translate!E$603</f>
        <v>US$ mn</v>
      </c>
      <c r="H1022" s="190"/>
      <c r="I1022" s="55">
        <f ca="1" xml:space="preserve"> SUM(K1022:AX1022)</f>
        <v>11688.472161546106</v>
      </c>
      <c r="J1022" s="55"/>
      <c r="K1022" s="55">
        <f t="shared" ref="K1022:AX1022" ca="1" si="353" xml:space="preserve"> K1011 - K1020</f>
        <v>-430</v>
      </c>
      <c r="L1022" s="55">
        <f t="shared" ca="1" si="353"/>
        <v>-15.3</v>
      </c>
      <c r="M1022" s="55">
        <f t="shared" ca="1" si="353"/>
        <v>-93.636000000000024</v>
      </c>
      <c r="N1022" s="55">
        <f t="shared" ca="1" si="353"/>
        <v>-382.03487999999993</v>
      </c>
      <c r="O1022" s="55">
        <f t="shared" ca="1" si="353"/>
        <v>-332.22467684493807</v>
      </c>
      <c r="P1022" s="55">
        <f t="shared" ca="1" si="353"/>
        <v>360.94290017616026</v>
      </c>
      <c r="Q1022" s="55">
        <f t="shared" ca="1" si="353"/>
        <v>459.65101415541824</v>
      </c>
      <c r="R1022" s="55">
        <f t="shared" ca="1" si="353"/>
        <v>822.46711742055311</v>
      </c>
      <c r="S1022" s="55">
        <f t="shared" ca="1" si="353"/>
        <v>945.61556940861487</v>
      </c>
      <c r="T1022" s="55">
        <f t="shared" ca="1" si="353"/>
        <v>839.220826788826</v>
      </c>
      <c r="U1022" s="55">
        <f t="shared" ca="1" si="353"/>
        <v>766.83040741517755</v>
      </c>
      <c r="V1022" s="55">
        <f t="shared" ca="1" si="353"/>
        <v>749.56337279280979</v>
      </c>
      <c r="W1022" s="55">
        <f t="shared" ca="1" si="353"/>
        <v>739.56260181023106</v>
      </c>
      <c r="X1022" s="55">
        <f t="shared" ca="1" si="353"/>
        <v>771.41333343110784</v>
      </c>
      <c r="Y1022" s="55">
        <f t="shared" ca="1" si="353"/>
        <v>803.71368689224937</v>
      </c>
      <c r="Z1022" s="55">
        <f t="shared" ca="1" si="353"/>
        <v>836.47265463046119</v>
      </c>
      <c r="AA1022" s="55">
        <f t="shared" ca="1" si="353"/>
        <v>866.65306217525767</v>
      </c>
      <c r="AB1022" s="55">
        <f t="shared" ca="1" si="353"/>
        <v>881.52391124471274</v>
      </c>
      <c r="AC1022" s="55">
        <f t="shared" ca="1" si="353"/>
        <v>759.35624288917188</v>
      </c>
      <c r="AD1022" s="55">
        <f t="shared" ca="1" si="353"/>
        <v>406.98181760788788</v>
      </c>
      <c r="AE1022" s="55">
        <f t="shared" ca="1" si="353"/>
        <v>292.56966884269411</v>
      </c>
      <c r="AF1022" s="55">
        <f t="shared" ca="1" si="353"/>
        <v>395.54272130750405</v>
      </c>
      <c r="AG1022" s="55">
        <f t="shared" ca="1" si="353"/>
        <v>354.24628697719959</v>
      </c>
      <c r="AH1022" s="55">
        <f t="shared" ca="1" si="353"/>
        <v>281.29885145317576</v>
      </c>
      <c r="AI1022" s="55">
        <f t="shared" ca="1" si="353"/>
        <v>205.25309279927879</v>
      </c>
      <c r="AJ1022" s="55">
        <f t="shared" ca="1" si="353"/>
        <v>139.83368145294435</v>
      </c>
      <c r="AK1022" s="55">
        <f t="shared" ca="1" si="353"/>
        <v>100.1379214466486</v>
      </c>
      <c r="AL1022" s="55">
        <f t="shared" ca="1" si="353"/>
        <v>67.977005372072909</v>
      </c>
      <c r="AM1022" s="55">
        <f t="shared" ca="1" si="353"/>
        <v>53.978484087609644</v>
      </c>
      <c r="AN1022" s="55">
        <f t="shared" ca="1" si="353"/>
        <v>28.661008471332469</v>
      </c>
      <c r="AO1022" s="55">
        <f t="shared" ca="1" si="353"/>
        <v>12.200477341944271</v>
      </c>
      <c r="AP1022" s="55">
        <f t="shared" ca="1" si="353"/>
        <v>0</v>
      </c>
      <c r="AQ1022" s="55">
        <f t="shared" ca="1" si="353"/>
        <v>0</v>
      </c>
      <c r="AR1022" s="55">
        <f t="shared" ca="1" si="353"/>
        <v>0</v>
      </c>
      <c r="AS1022" s="55">
        <f t="shared" ca="1" si="353"/>
        <v>0</v>
      </c>
      <c r="AT1022" s="55">
        <f t="shared" ca="1" si="353"/>
        <v>0</v>
      </c>
      <c r="AU1022" s="55">
        <f t="shared" ca="1" si="353"/>
        <v>0</v>
      </c>
      <c r="AV1022" s="55">
        <f t="shared" ca="1" si="353"/>
        <v>0</v>
      </c>
      <c r="AW1022" s="55">
        <f t="shared" ca="1" si="353"/>
        <v>0</v>
      </c>
      <c r="AX1022" s="55">
        <f t="shared" ca="1" si="353"/>
        <v>0</v>
      </c>
    </row>
    <row r="1023" spans="1:50" ht="15" customHeight="1" x14ac:dyDescent="0.25">
      <c r="A1023" s="178"/>
      <c r="B1023" s="689"/>
      <c r="C1023" s="127"/>
      <c r="D1023" s="217"/>
      <c r="E1023" s="13"/>
      <c r="F1023" s="151"/>
      <c r="G1023" s="13"/>
      <c r="H1023" s="13"/>
      <c r="I1023" s="217"/>
      <c r="J1023" s="237"/>
      <c r="K1023" s="98"/>
      <c r="L1023" s="98"/>
      <c r="M1023" s="98"/>
      <c r="N1023" s="98"/>
      <c r="O1023" s="98"/>
      <c r="P1023" s="98"/>
      <c r="Q1023" s="98"/>
      <c r="R1023" s="98"/>
      <c r="S1023" s="98"/>
      <c r="T1023" s="98"/>
      <c r="U1023" s="98"/>
      <c r="V1023" s="98"/>
      <c r="W1023" s="98"/>
      <c r="X1023" s="98"/>
      <c r="Y1023" s="98"/>
      <c r="Z1023" s="98"/>
      <c r="AA1023" s="98"/>
      <c r="AB1023" s="98"/>
      <c r="AC1023" s="98"/>
      <c r="AD1023" s="98"/>
      <c r="AE1023" s="98"/>
      <c r="AF1023" s="98"/>
      <c r="AG1023" s="98"/>
      <c r="AH1023" s="98"/>
      <c r="AI1023" s="98"/>
      <c r="AJ1023" s="98"/>
      <c r="AK1023" s="98"/>
      <c r="AL1023" s="98"/>
      <c r="AM1023" s="98"/>
      <c r="AN1023" s="98"/>
      <c r="AO1023" s="98"/>
      <c r="AP1023" s="98"/>
      <c r="AQ1023" s="98"/>
      <c r="AR1023" s="98"/>
      <c r="AS1023" s="98"/>
      <c r="AT1023" s="98"/>
      <c r="AU1023" s="98"/>
      <c r="AV1023" s="98"/>
      <c r="AW1023" s="98"/>
      <c r="AX1023" s="98"/>
    </row>
    <row r="1024" spans="1:50" s="544" customFormat="1" ht="15" customHeight="1" x14ac:dyDescent="0.25">
      <c r="A1024" s="901" t="str">
        <f xml:space="preserve"> Translate!E$378</f>
        <v>IOC economic limit</v>
      </c>
      <c r="B1024" s="902"/>
      <c r="C1024" s="903"/>
      <c r="D1024" s="904"/>
      <c r="E1024" s="901"/>
      <c r="F1024" s="901"/>
      <c r="G1024" s="901"/>
      <c r="H1024" s="901"/>
      <c r="I1024" s="901"/>
      <c r="J1024" s="901"/>
      <c r="K1024" s="901"/>
      <c r="L1024" s="901"/>
      <c r="M1024" s="901"/>
      <c r="N1024" s="901"/>
      <c r="O1024" s="901"/>
      <c r="P1024" s="901"/>
      <c r="Q1024" s="901"/>
      <c r="R1024" s="901"/>
      <c r="S1024" s="901"/>
      <c r="T1024" s="901"/>
      <c r="U1024" s="901"/>
      <c r="V1024" s="901"/>
      <c r="W1024" s="901"/>
      <c r="X1024" s="901"/>
      <c r="Y1024" s="901"/>
      <c r="Z1024" s="901"/>
      <c r="AA1024" s="901"/>
      <c r="AB1024" s="901"/>
      <c r="AC1024" s="901"/>
      <c r="AD1024" s="901"/>
      <c r="AE1024" s="901"/>
      <c r="AF1024" s="901"/>
      <c r="AG1024" s="901"/>
      <c r="AH1024" s="901"/>
      <c r="AI1024" s="901"/>
      <c r="AJ1024" s="901"/>
      <c r="AK1024" s="901"/>
      <c r="AL1024" s="901"/>
      <c r="AM1024" s="901"/>
      <c r="AN1024" s="901"/>
      <c r="AO1024" s="901"/>
      <c r="AP1024" s="901"/>
      <c r="AQ1024" s="901"/>
      <c r="AR1024" s="901"/>
      <c r="AS1024" s="901"/>
      <c r="AT1024" s="901"/>
      <c r="AU1024" s="901"/>
      <c r="AV1024" s="901"/>
      <c r="AW1024" s="901"/>
      <c r="AX1024" s="901"/>
    </row>
    <row r="1025" spans="1:50" s="544" customFormat="1" ht="15" customHeight="1" x14ac:dyDescent="0.25">
      <c r="A1025" s="545"/>
      <c r="B1025" s="905"/>
      <c r="C1025" s="906"/>
      <c r="D1025" s="547"/>
      <c r="E1025" s="26"/>
      <c r="F1025" s="543"/>
      <c r="G1025" s="26"/>
      <c r="H1025" s="26"/>
      <c r="I1025" s="543"/>
      <c r="J1025" s="543"/>
      <c r="K1025" s="543"/>
      <c r="L1025" s="543"/>
      <c r="M1025" s="543"/>
      <c r="N1025" s="543"/>
      <c r="O1025" s="543"/>
      <c r="P1025" s="543"/>
      <c r="Q1025" s="543"/>
      <c r="R1025" s="543"/>
      <c r="S1025" s="543"/>
      <c r="T1025" s="543"/>
      <c r="U1025" s="543"/>
      <c r="V1025" s="543"/>
      <c r="W1025" s="543"/>
      <c r="X1025" s="543"/>
      <c r="Y1025" s="543"/>
      <c r="Z1025" s="543"/>
      <c r="AA1025" s="543"/>
      <c r="AB1025" s="543"/>
      <c r="AC1025" s="543"/>
      <c r="AD1025" s="543"/>
      <c r="AE1025" s="543"/>
      <c r="AF1025" s="543"/>
      <c r="AG1025" s="543"/>
      <c r="AH1025" s="543"/>
      <c r="AI1025" s="543"/>
      <c r="AJ1025" s="543"/>
      <c r="AK1025" s="543"/>
      <c r="AL1025" s="543"/>
      <c r="AM1025" s="543"/>
      <c r="AN1025" s="543"/>
      <c r="AO1025" s="543"/>
      <c r="AP1025" s="543"/>
      <c r="AQ1025" s="543"/>
      <c r="AR1025" s="543"/>
      <c r="AS1025" s="543"/>
      <c r="AT1025" s="543"/>
      <c r="AU1025" s="543"/>
      <c r="AV1025" s="543"/>
      <c r="AW1025" s="543"/>
      <c r="AX1025" s="543"/>
    </row>
    <row r="1026" spans="1:50" s="544" customFormat="1" ht="15" customHeight="1" x14ac:dyDescent="0.25">
      <c r="A1026" s="545"/>
      <c r="B1026" s="905" t="str">
        <f>Translate!$E$461</f>
        <v>Project economic limit: pre-fiscal</v>
      </c>
      <c r="C1026" s="906"/>
      <c r="D1026" s="547"/>
      <c r="E1026" s="26"/>
      <c r="F1026" s="543"/>
      <c r="G1026" s="26"/>
      <c r="H1026" s="26"/>
      <c r="I1026" s="543"/>
      <c r="J1026" s="543"/>
      <c r="K1026" s="543"/>
      <c r="L1026" s="543"/>
      <c r="M1026" s="543"/>
      <c r="N1026" s="543"/>
      <c r="O1026" s="543"/>
      <c r="P1026" s="543"/>
      <c r="Q1026" s="543"/>
      <c r="R1026" s="543"/>
      <c r="S1026" s="543"/>
      <c r="T1026" s="543"/>
      <c r="U1026" s="543"/>
      <c r="V1026" s="543"/>
      <c r="W1026" s="543"/>
      <c r="X1026" s="543"/>
      <c r="Y1026" s="543"/>
      <c r="Z1026" s="543"/>
      <c r="AA1026" s="543"/>
      <c r="AB1026" s="543"/>
      <c r="AC1026" s="543"/>
      <c r="AD1026" s="543"/>
      <c r="AE1026" s="543"/>
      <c r="AF1026" s="543"/>
      <c r="AG1026" s="543"/>
      <c r="AH1026" s="543"/>
      <c r="AI1026" s="543"/>
      <c r="AJ1026" s="543"/>
      <c r="AK1026" s="543"/>
      <c r="AL1026" s="543"/>
      <c r="AM1026" s="543"/>
      <c r="AN1026" s="543"/>
      <c r="AO1026" s="543"/>
      <c r="AP1026" s="543"/>
      <c r="AQ1026" s="543"/>
      <c r="AR1026" s="543"/>
      <c r="AS1026" s="543"/>
      <c r="AT1026" s="543"/>
      <c r="AU1026" s="543"/>
      <c r="AV1026" s="543"/>
      <c r="AW1026" s="543"/>
      <c r="AX1026" s="543"/>
    </row>
    <row r="1027" spans="1:50" s="910" customFormat="1" ht="14.5" x14ac:dyDescent="0.25">
      <c r="A1027" s="907"/>
      <c r="B1027" s="908"/>
      <c r="C1027" s="909"/>
      <c r="D1027" s="907"/>
      <c r="E1027" s="907" t="str">
        <f xml:space="preserve"> ProjectCashflows!E$103</f>
        <v>Project economic limit</v>
      </c>
      <c r="F1027" s="907">
        <f ca="1" xml:space="preserve"> ProjectCashflows!F$103</f>
        <v>2051</v>
      </c>
      <c r="G1027" s="907" t="str">
        <f xml:space="preserve"> ProjectCashflows!G$103</f>
        <v>Year</v>
      </c>
      <c r="H1027" s="907"/>
      <c r="I1027" s="907"/>
      <c r="J1027" s="907"/>
      <c r="K1027" s="907"/>
      <c r="L1027" s="907"/>
      <c r="M1027" s="907"/>
      <c r="N1027" s="907"/>
      <c r="O1027" s="907"/>
      <c r="P1027" s="907"/>
      <c r="Q1027" s="907"/>
      <c r="R1027" s="907"/>
      <c r="S1027" s="907"/>
      <c r="T1027" s="907"/>
      <c r="U1027" s="907"/>
      <c r="V1027" s="907"/>
      <c r="W1027" s="907"/>
      <c r="X1027" s="907"/>
      <c r="Y1027" s="907"/>
      <c r="Z1027" s="907"/>
      <c r="AA1027" s="907"/>
      <c r="AB1027" s="907"/>
      <c r="AC1027" s="907"/>
      <c r="AD1027" s="907"/>
      <c r="AE1027" s="907"/>
      <c r="AF1027" s="907"/>
      <c r="AG1027" s="907"/>
      <c r="AH1027" s="907"/>
      <c r="AI1027" s="907"/>
      <c r="AJ1027" s="907"/>
      <c r="AK1027" s="907"/>
      <c r="AL1027" s="907"/>
      <c r="AM1027" s="907"/>
      <c r="AN1027" s="907"/>
      <c r="AO1027" s="907"/>
      <c r="AP1027" s="907"/>
      <c r="AQ1027" s="907"/>
      <c r="AR1027" s="907"/>
      <c r="AS1027" s="907"/>
      <c r="AT1027" s="907"/>
      <c r="AU1027" s="907"/>
      <c r="AV1027" s="907"/>
      <c r="AW1027" s="907"/>
      <c r="AX1027" s="907"/>
    </row>
    <row r="1028" spans="1:50" s="544" customFormat="1" ht="15" customHeight="1" x14ac:dyDescent="0.25">
      <c r="A1028" s="545"/>
      <c r="B1028" s="905"/>
      <c r="C1028" s="906"/>
      <c r="D1028" s="547"/>
      <c r="E1028" s="26"/>
      <c r="F1028" s="543"/>
      <c r="G1028" s="26"/>
      <c r="H1028" s="26"/>
      <c r="I1028" s="543"/>
      <c r="J1028" s="543"/>
      <c r="K1028" s="543"/>
      <c r="L1028" s="543"/>
      <c r="M1028" s="543"/>
      <c r="N1028" s="543"/>
      <c r="O1028" s="543"/>
      <c r="P1028" s="543"/>
      <c r="Q1028" s="543"/>
      <c r="R1028" s="543"/>
      <c r="S1028" s="543"/>
      <c r="T1028" s="543"/>
      <c r="U1028" s="543"/>
      <c r="V1028" s="543"/>
      <c r="W1028" s="543"/>
      <c r="X1028" s="543"/>
      <c r="Y1028" s="543"/>
      <c r="Z1028" s="543"/>
      <c r="AA1028" s="543"/>
      <c r="AB1028" s="543"/>
      <c r="AC1028" s="543"/>
      <c r="AD1028" s="543"/>
      <c r="AE1028" s="543"/>
      <c r="AF1028" s="543"/>
      <c r="AG1028" s="543"/>
      <c r="AH1028" s="543"/>
      <c r="AI1028" s="543"/>
      <c r="AJ1028" s="543"/>
      <c r="AK1028" s="543"/>
      <c r="AL1028" s="543"/>
      <c r="AM1028" s="543"/>
      <c r="AN1028" s="543"/>
      <c r="AO1028" s="543"/>
      <c r="AP1028" s="543"/>
      <c r="AQ1028" s="543"/>
      <c r="AR1028" s="543"/>
      <c r="AS1028" s="543"/>
      <c r="AT1028" s="543"/>
      <c r="AU1028" s="543"/>
      <c r="AV1028" s="543"/>
      <c r="AW1028" s="543"/>
      <c r="AX1028" s="543"/>
    </row>
    <row r="1029" spans="1:50" s="544" customFormat="1" ht="15" customHeight="1" x14ac:dyDescent="0.25">
      <c r="A1029" s="545"/>
      <c r="B1029" s="905" t="str">
        <f>Translate!$E$462</f>
        <v>IOC economic limit: post-fiscal</v>
      </c>
      <c r="C1029" s="906"/>
      <c r="D1029" s="547"/>
      <c r="E1029" s="26"/>
      <c r="F1029" s="543"/>
      <c r="G1029" s="26"/>
      <c r="H1029" s="26"/>
      <c r="I1029" s="543"/>
      <c r="J1029" s="543"/>
      <c r="K1029" s="543"/>
      <c r="L1029" s="543"/>
      <c r="M1029" s="543"/>
      <c r="N1029" s="543"/>
      <c r="O1029" s="543"/>
      <c r="P1029" s="543"/>
      <c r="Q1029" s="543"/>
      <c r="R1029" s="543"/>
      <c r="S1029" s="543"/>
      <c r="T1029" s="543"/>
      <c r="U1029" s="543"/>
      <c r="V1029" s="543"/>
      <c r="W1029" s="543"/>
      <c r="X1029" s="543"/>
      <c r="Y1029" s="543"/>
      <c r="Z1029" s="543"/>
      <c r="AA1029" s="543"/>
      <c r="AB1029" s="543"/>
      <c r="AC1029" s="543"/>
      <c r="AD1029" s="543"/>
      <c r="AE1029" s="543"/>
      <c r="AF1029" s="543"/>
      <c r="AG1029" s="543"/>
      <c r="AH1029" s="543"/>
      <c r="AI1029" s="543"/>
      <c r="AJ1029" s="543"/>
      <c r="AK1029" s="543"/>
      <c r="AL1029" s="543"/>
      <c r="AM1029" s="543"/>
      <c r="AN1029" s="543"/>
      <c r="AO1029" s="543"/>
      <c r="AP1029" s="543"/>
      <c r="AQ1029" s="543"/>
      <c r="AR1029" s="543"/>
      <c r="AS1029" s="543"/>
      <c r="AT1029" s="543"/>
      <c r="AU1029" s="543"/>
      <c r="AV1029" s="543"/>
      <c r="AW1029" s="543"/>
      <c r="AX1029" s="543"/>
    </row>
    <row r="1030" spans="1:50" s="910" customFormat="1" ht="14.5" x14ac:dyDescent="0.25">
      <c r="A1030" s="907"/>
      <c r="B1030" s="908"/>
      <c r="C1030" s="909"/>
      <c r="D1030" s="907"/>
      <c r="E1030" s="907" t="str">
        <f xml:space="preserve"> ProjectCashflows!E$34</f>
        <v>Model calendar years</v>
      </c>
      <c r="F1030" s="907">
        <f xml:space="preserve"> ProjectCashflows!F$34</f>
        <v>0</v>
      </c>
      <c r="G1030" s="907" t="str">
        <f xml:space="preserve"> ProjectCashflows!G$34</f>
        <v>Year</v>
      </c>
      <c r="H1030" s="907">
        <f xml:space="preserve"> ProjectCashflows!H$34</f>
        <v>0</v>
      </c>
      <c r="I1030" s="907">
        <f xml:space="preserve"> ProjectCashflows!I$34</f>
        <v>0</v>
      </c>
      <c r="J1030" s="907">
        <f xml:space="preserve"> ProjectCashflows!J$34</f>
        <v>0</v>
      </c>
      <c r="K1030" s="907">
        <f xml:space="preserve"> ProjectCashflows!K$34</f>
        <v>2021</v>
      </c>
      <c r="L1030" s="907">
        <f xml:space="preserve"> ProjectCashflows!L$34</f>
        <v>2022</v>
      </c>
      <c r="M1030" s="907">
        <f xml:space="preserve"> ProjectCashflows!M$34</f>
        <v>2023</v>
      </c>
      <c r="N1030" s="907">
        <f xml:space="preserve"> ProjectCashflows!N$34</f>
        <v>2024</v>
      </c>
      <c r="O1030" s="907">
        <f xml:space="preserve"> ProjectCashflows!O$34</f>
        <v>2025</v>
      </c>
      <c r="P1030" s="907">
        <f xml:space="preserve"> ProjectCashflows!P$34</f>
        <v>2026</v>
      </c>
      <c r="Q1030" s="907">
        <f xml:space="preserve"> ProjectCashflows!Q$34</f>
        <v>2027</v>
      </c>
      <c r="R1030" s="907">
        <f xml:space="preserve"> ProjectCashflows!R$34</f>
        <v>2028</v>
      </c>
      <c r="S1030" s="907">
        <f xml:space="preserve"> ProjectCashflows!S$34</f>
        <v>2029</v>
      </c>
      <c r="T1030" s="907">
        <f xml:space="preserve"> ProjectCashflows!T$34</f>
        <v>2030</v>
      </c>
      <c r="U1030" s="907">
        <f xml:space="preserve"> ProjectCashflows!U$34</f>
        <v>2031</v>
      </c>
      <c r="V1030" s="907">
        <f xml:space="preserve"> ProjectCashflows!V$34</f>
        <v>2032</v>
      </c>
      <c r="W1030" s="907">
        <f xml:space="preserve"> ProjectCashflows!W$34</f>
        <v>2033</v>
      </c>
      <c r="X1030" s="907">
        <f xml:space="preserve"> ProjectCashflows!X$34</f>
        <v>2034</v>
      </c>
      <c r="Y1030" s="907">
        <f xml:space="preserve"> ProjectCashflows!Y$34</f>
        <v>2035</v>
      </c>
      <c r="Z1030" s="907">
        <f xml:space="preserve"> ProjectCashflows!Z$34</f>
        <v>2036</v>
      </c>
      <c r="AA1030" s="907">
        <f xml:space="preserve"> ProjectCashflows!AA$34</f>
        <v>2037</v>
      </c>
      <c r="AB1030" s="907">
        <f xml:space="preserve"> ProjectCashflows!AB$34</f>
        <v>2038</v>
      </c>
      <c r="AC1030" s="907">
        <f xml:space="preserve"> ProjectCashflows!AC$34</f>
        <v>2039</v>
      </c>
      <c r="AD1030" s="907">
        <f xml:space="preserve"> ProjectCashflows!AD$34</f>
        <v>2040</v>
      </c>
      <c r="AE1030" s="907">
        <f xml:space="preserve"> ProjectCashflows!AE$34</f>
        <v>2041</v>
      </c>
      <c r="AF1030" s="907">
        <f xml:space="preserve"> ProjectCashflows!AF$34</f>
        <v>2042</v>
      </c>
      <c r="AG1030" s="907">
        <f xml:space="preserve"> ProjectCashflows!AG$34</f>
        <v>2043</v>
      </c>
      <c r="AH1030" s="907">
        <f xml:space="preserve"> ProjectCashflows!AH$34</f>
        <v>2044</v>
      </c>
      <c r="AI1030" s="907">
        <f xml:space="preserve"> ProjectCashflows!AI$34</f>
        <v>2045</v>
      </c>
      <c r="AJ1030" s="907">
        <f xml:space="preserve"> ProjectCashflows!AJ$34</f>
        <v>2046</v>
      </c>
      <c r="AK1030" s="907">
        <f xml:space="preserve"> ProjectCashflows!AK$34</f>
        <v>2047</v>
      </c>
      <c r="AL1030" s="907">
        <f xml:space="preserve"> ProjectCashflows!AL$34</f>
        <v>2048</v>
      </c>
      <c r="AM1030" s="907">
        <f xml:space="preserve"> ProjectCashflows!AM$34</f>
        <v>2049</v>
      </c>
      <c r="AN1030" s="907">
        <f xml:space="preserve"> ProjectCashflows!AN$34</f>
        <v>2050</v>
      </c>
      <c r="AO1030" s="907">
        <f xml:space="preserve"> ProjectCashflows!AO$34</f>
        <v>2051</v>
      </c>
      <c r="AP1030" s="907">
        <f xml:space="preserve"> ProjectCashflows!AP$34</f>
        <v>2052</v>
      </c>
      <c r="AQ1030" s="907">
        <f xml:space="preserve"> ProjectCashflows!AQ$34</f>
        <v>2053</v>
      </c>
      <c r="AR1030" s="907">
        <f xml:space="preserve"> ProjectCashflows!AR$34</f>
        <v>2054</v>
      </c>
      <c r="AS1030" s="907">
        <f xml:space="preserve"> ProjectCashflows!AS$34</f>
        <v>2055</v>
      </c>
      <c r="AT1030" s="907">
        <f xml:space="preserve"> ProjectCashflows!AT$34</f>
        <v>2056</v>
      </c>
      <c r="AU1030" s="907">
        <f xml:space="preserve"> ProjectCashflows!AU$34</f>
        <v>2057</v>
      </c>
      <c r="AV1030" s="907">
        <f xml:space="preserve"> ProjectCashflows!AV$34</f>
        <v>2058</v>
      </c>
      <c r="AW1030" s="907">
        <f xml:space="preserve"> ProjectCashflows!AW$34</f>
        <v>2059</v>
      </c>
      <c r="AX1030" s="907">
        <f xml:space="preserve"> ProjectCashflows!AX$34</f>
        <v>2060</v>
      </c>
    </row>
    <row r="1031" spans="1:50" s="544" customFormat="1" ht="15" customHeight="1" x14ac:dyDescent="0.25">
      <c r="A1031" s="545"/>
      <c r="B1031" s="905"/>
      <c r="C1031" s="906"/>
      <c r="D1031" s="547"/>
      <c r="E1031" s="543" t="str">
        <f>E$1012</f>
        <v>IOC cash flow before distributions: cumulative</v>
      </c>
      <c r="F1031" s="543">
        <f t="shared" ref="F1031:AX1031" si="354">F$1012</f>
        <v>0</v>
      </c>
      <c r="G1031" s="543" t="str">
        <f t="shared" si="354"/>
        <v>US$ mn</v>
      </c>
      <c r="H1031" s="543">
        <f t="shared" si="354"/>
        <v>0</v>
      </c>
      <c r="I1031" s="543">
        <f t="shared" si="354"/>
        <v>0</v>
      </c>
      <c r="J1031" s="543">
        <f t="shared" si="354"/>
        <v>0</v>
      </c>
      <c r="K1031" s="543">
        <f t="shared" ca="1" si="354"/>
        <v>-430</v>
      </c>
      <c r="L1031" s="543">
        <f t="shared" ca="1" si="354"/>
        <v>-445.3</v>
      </c>
      <c r="M1031" s="543">
        <f t="shared" ca="1" si="354"/>
        <v>-538.93600000000004</v>
      </c>
      <c r="N1031" s="543">
        <f t="shared" ca="1" si="354"/>
        <v>-920.97087999999997</v>
      </c>
      <c r="O1031" s="543">
        <f t="shared" ca="1" si="354"/>
        <v>-1253.195556844938</v>
      </c>
      <c r="P1031" s="543">
        <f t="shared" ca="1" si="354"/>
        <v>-852.14788998253766</v>
      </c>
      <c r="Q1031" s="543">
        <f t="shared" ca="1" si="354"/>
        <v>-341.42454092096187</v>
      </c>
      <c r="R1031" s="543">
        <f t="shared" ca="1" si="354"/>
        <v>572.42781176854169</v>
      </c>
      <c r="S1031" s="543">
        <f t="shared" ca="1" si="354"/>
        <v>1623.1117777781137</v>
      </c>
      <c r="T1031" s="543">
        <f t="shared" ca="1" si="354"/>
        <v>2555.5793630990315</v>
      </c>
      <c r="U1031" s="543">
        <f t="shared" ca="1" si="354"/>
        <v>3407.6131491158953</v>
      </c>
      <c r="V1031" s="543">
        <f t="shared" ca="1" si="354"/>
        <v>4240.4613411079063</v>
      </c>
      <c r="W1031" s="543">
        <f t="shared" ca="1" si="354"/>
        <v>5062.1975653414966</v>
      </c>
      <c r="X1031" s="543">
        <f t="shared" ca="1" si="354"/>
        <v>5919.3234913760607</v>
      </c>
      <c r="Y1031" s="543">
        <f t="shared" ca="1" si="354"/>
        <v>6812.3386990341151</v>
      </c>
      <c r="Z1031" s="543">
        <f t="shared" ca="1" si="354"/>
        <v>7741.752759734627</v>
      </c>
      <c r="AA1031" s="543">
        <f t="shared" ca="1" si="354"/>
        <v>8704.700606596025</v>
      </c>
      <c r="AB1031" s="543">
        <f t="shared" ca="1" si="354"/>
        <v>9684.1716190901498</v>
      </c>
      <c r="AC1031" s="543">
        <f t="shared" ca="1" si="354"/>
        <v>10527.900777855897</v>
      </c>
      <c r="AD1031" s="543">
        <f t="shared" ca="1" si="354"/>
        <v>10980.102797420217</v>
      </c>
      <c r="AE1031" s="543">
        <f t="shared" ca="1" si="354"/>
        <v>11305.180207245432</v>
      </c>
      <c r="AF1031" s="543">
        <f t="shared" ca="1" si="354"/>
        <v>11743.604481204577</v>
      </c>
      <c r="AG1031" s="543">
        <f t="shared" ca="1" si="354"/>
        <v>12097.850768181775</v>
      </c>
      <c r="AH1031" s="543">
        <f t="shared" ca="1" si="354"/>
        <v>12379.149619634951</v>
      </c>
      <c r="AI1031" s="543">
        <f t="shared" ca="1" si="354"/>
        <v>12584.40271243423</v>
      </c>
      <c r="AJ1031" s="543">
        <f t="shared" ca="1" si="354"/>
        <v>12724.236393887175</v>
      </c>
      <c r="AK1031" s="543">
        <f t="shared" ca="1" si="354"/>
        <v>12824.374315333824</v>
      </c>
      <c r="AL1031" s="543">
        <f t="shared" ca="1" si="354"/>
        <v>12892.351320705897</v>
      </c>
      <c r="AM1031" s="543">
        <f t="shared" ca="1" si="354"/>
        <v>12946.329804793506</v>
      </c>
      <c r="AN1031" s="543">
        <f t="shared" ca="1" si="354"/>
        <v>12974.990813264838</v>
      </c>
      <c r="AO1031" s="543">
        <f t="shared" ca="1" si="354"/>
        <v>12987.191290606783</v>
      </c>
      <c r="AP1031" s="543">
        <f t="shared" ca="1" si="354"/>
        <v>12987.191290606783</v>
      </c>
      <c r="AQ1031" s="543">
        <f t="shared" ca="1" si="354"/>
        <v>12987.191290606783</v>
      </c>
      <c r="AR1031" s="543">
        <f t="shared" ca="1" si="354"/>
        <v>12987.191290606783</v>
      </c>
      <c r="AS1031" s="543">
        <f t="shared" ca="1" si="354"/>
        <v>12987.191290606783</v>
      </c>
      <c r="AT1031" s="543">
        <f t="shared" ca="1" si="354"/>
        <v>12987.191290606783</v>
      </c>
      <c r="AU1031" s="543">
        <f t="shared" ca="1" si="354"/>
        <v>12987.191290606783</v>
      </c>
      <c r="AV1031" s="543">
        <f t="shared" ca="1" si="354"/>
        <v>12987.191290606783</v>
      </c>
      <c r="AW1031" s="543">
        <f t="shared" ca="1" si="354"/>
        <v>12987.191290606783</v>
      </c>
      <c r="AX1031" s="543">
        <f t="shared" ca="1" si="354"/>
        <v>12987.191290606783</v>
      </c>
    </row>
    <row r="1032" spans="1:50" s="544" customFormat="1" ht="15" customHeight="1" x14ac:dyDescent="0.25">
      <c r="A1032" s="545"/>
      <c r="B1032" s="905"/>
      <c r="C1032" s="906"/>
      <c r="D1032" s="547"/>
      <c r="E1032" s="543" t="str">
        <f xml:space="preserve"> Translate!E$377</f>
        <v>Maximum cumulative cashflow</v>
      </c>
      <c r="F1032" s="543">
        <f ca="1" xml:space="preserve"> MAX(K1031:AX1031)</f>
        <v>12987.191290606783</v>
      </c>
      <c r="G1032" s="543" t="str">
        <f>G1031</f>
        <v>US$ mn</v>
      </c>
      <c r="H1032" s="543"/>
      <c r="I1032" s="543"/>
      <c r="J1032" s="543"/>
      <c r="K1032" s="543"/>
      <c r="L1032" s="543"/>
      <c r="M1032" s="543"/>
      <c r="N1032" s="543"/>
      <c r="O1032" s="543"/>
      <c r="P1032" s="543"/>
      <c r="Q1032" s="543"/>
      <c r="R1032" s="543"/>
      <c r="S1032" s="543"/>
      <c r="T1032" s="543"/>
      <c r="U1032" s="543"/>
      <c r="V1032" s="543"/>
      <c r="W1032" s="543"/>
      <c r="X1032" s="543"/>
      <c r="Y1032" s="543"/>
      <c r="Z1032" s="543"/>
      <c r="AA1032" s="543"/>
      <c r="AB1032" s="543"/>
      <c r="AC1032" s="543"/>
      <c r="AD1032" s="543"/>
      <c r="AE1032" s="543"/>
      <c r="AF1032" s="543"/>
      <c r="AG1032" s="543"/>
      <c r="AH1032" s="543"/>
      <c r="AI1032" s="543"/>
      <c r="AJ1032" s="543"/>
      <c r="AK1032" s="543"/>
      <c r="AL1032" s="543"/>
      <c r="AM1032" s="543"/>
      <c r="AN1032" s="543"/>
      <c r="AO1032" s="543"/>
      <c r="AP1032" s="543"/>
      <c r="AQ1032" s="543"/>
      <c r="AR1032" s="543"/>
      <c r="AS1032" s="543"/>
      <c r="AT1032" s="543"/>
      <c r="AU1032" s="543"/>
      <c r="AV1032" s="543"/>
      <c r="AW1032" s="543"/>
      <c r="AX1032" s="543"/>
    </row>
    <row r="1033" spans="1:50" s="757" customFormat="1" ht="15" customHeight="1" x14ac:dyDescent="0.25">
      <c r="A1033" s="911"/>
      <c r="B1033" s="912"/>
      <c r="C1033" s="913"/>
      <c r="D1033" s="767"/>
      <c r="E1033" s="767" t="str">
        <f xml:space="preserve"> Translate!E$378</f>
        <v>IOC economic limit</v>
      </c>
      <c r="F1033" s="767" cm="1">
        <f t="array" aca="1" ref="F1033" ca="1" xml:space="preserve"> INDEX(K1030:AX1030, , MATCH(F1032, K1031:AX1031, 0))</f>
        <v>2051</v>
      </c>
      <c r="G1033" s="767" t="str">
        <f>Translate!$E$608</f>
        <v>Year</v>
      </c>
      <c r="H1033" s="767"/>
      <c r="I1033" s="767"/>
      <c r="J1033" s="767"/>
      <c r="K1033" s="767"/>
      <c r="L1033" s="767"/>
      <c r="M1033" s="767"/>
      <c r="N1033" s="767"/>
      <c r="O1033" s="767"/>
      <c r="P1033" s="767"/>
      <c r="Q1033" s="767"/>
      <c r="R1033" s="767"/>
      <c r="S1033" s="767"/>
      <c r="T1033" s="767"/>
      <c r="U1033" s="767"/>
      <c r="V1033" s="767"/>
      <c r="W1033" s="767"/>
      <c r="X1033" s="767"/>
      <c r="Y1033" s="767"/>
      <c r="Z1033" s="767"/>
      <c r="AA1033" s="767"/>
      <c r="AB1033" s="767"/>
      <c r="AC1033" s="767"/>
      <c r="AD1033" s="767"/>
      <c r="AE1033" s="767"/>
      <c r="AF1033" s="767"/>
      <c r="AG1033" s="767"/>
      <c r="AH1033" s="767"/>
      <c r="AI1033" s="767"/>
      <c r="AJ1033" s="767"/>
      <c r="AK1033" s="767"/>
      <c r="AL1033" s="767"/>
      <c r="AM1033" s="767"/>
      <c r="AN1033" s="767"/>
      <c r="AO1033" s="767"/>
      <c r="AP1033" s="767"/>
      <c r="AQ1033" s="767"/>
      <c r="AR1033" s="767"/>
      <c r="AS1033" s="767"/>
      <c r="AT1033" s="767"/>
      <c r="AU1033" s="767"/>
      <c r="AV1033" s="767"/>
      <c r="AW1033" s="767"/>
      <c r="AX1033" s="767"/>
    </row>
    <row r="1034" spans="1:50" s="544" customFormat="1" ht="15" customHeight="1" x14ac:dyDescent="0.25">
      <c r="A1034" s="545"/>
      <c r="B1034" s="905"/>
      <c r="C1034" s="906"/>
      <c r="D1034" s="547"/>
      <c r="H1034" s="543"/>
      <c r="I1034" s="543"/>
      <c r="J1034" s="543"/>
      <c r="K1034" s="543"/>
      <c r="L1034" s="543"/>
      <c r="M1034" s="543"/>
      <c r="N1034" s="543"/>
      <c r="O1034" s="543"/>
      <c r="P1034" s="543"/>
      <c r="Q1034" s="543"/>
      <c r="R1034" s="543"/>
      <c r="S1034" s="543"/>
      <c r="T1034" s="543"/>
      <c r="U1034" s="543"/>
      <c r="V1034" s="543"/>
      <c r="W1034" s="543"/>
      <c r="X1034" s="543"/>
      <c r="Y1034" s="543"/>
      <c r="Z1034" s="543"/>
      <c r="AA1034" s="543"/>
      <c r="AB1034" s="543"/>
      <c r="AC1034" s="543"/>
      <c r="AD1034" s="543"/>
      <c r="AE1034" s="543"/>
      <c r="AF1034" s="543"/>
      <c r="AG1034" s="543"/>
      <c r="AH1034" s="543"/>
      <c r="AI1034" s="543"/>
      <c r="AJ1034" s="543"/>
      <c r="AK1034" s="543"/>
      <c r="AL1034" s="543"/>
      <c r="AM1034" s="543"/>
      <c r="AN1034" s="543"/>
      <c r="AO1034" s="543"/>
      <c r="AP1034" s="543"/>
      <c r="AQ1034" s="543"/>
      <c r="AR1034" s="543"/>
      <c r="AS1034" s="543"/>
      <c r="AT1034" s="543"/>
      <c r="AU1034" s="543"/>
      <c r="AV1034" s="543"/>
      <c r="AW1034" s="543"/>
      <c r="AX1034" s="543"/>
    </row>
    <row r="1035" spans="1:50" s="544" customFormat="1" ht="15" customHeight="1" x14ac:dyDescent="0.25">
      <c r="A1035" s="545"/>
      <c r="B1035" s="905" t="str">
        <f>Translate!$E$463</f>
        <v>Post-fiscal ELT versus pre-fiscal ELT</v>
      </c>
      <c r="C1035" s="906"/>
      <c r="D1035" s="547"/>
      <c r="H1035" s="543"/>
      <c r="I1035" s="543"/>
      <c r="J1035" s="543"/>
      <c r="K1035" s="543"/>
      <c r="L1035" s="543"/>
      <c r="M1035" s="543"/>
      <c r="N1035" s="543"/>
      <c r="O1035" s="543"/>
      <c r="P1035" s="543"/>
      <c r="Q1035" s="543"/>
      <c r="R1035" s="543"/>
      <c r="S1035" s="543"/>
      <c r="T1035" s="543"/>
      <c r="U1035" s="543"/>
      <c r="V1035" s="543"/>
      <c r="W1035" s="543"/>
      <c r="X1035" s="543"/>
      <c r="Y1035" s="543"/>
      <c r="Z1035" s="543"/>
      <c r="AA1035" s="543"/>
      <c r="AB1035" s="543"/>
      <c r="AC1035" s="543"/>
      <c r="AD1035" s="543"/>
      <c r="AE1035" s="543"/>
      <c r="AF1035" s="543"/>
      <c r="AG1035" s="543"/>
      <c r="AH1035" s="543"/>
      <c r="AI1035" s="543"/>
      <c r="AJ1035" s="543"/>
      <c r="AK1035" s="543"/>
      <c r="AL1035" s="543"/>
      <c r="AM1035" s="543"/>
      <c r="AN1035" s="543"/>
      <c r="AO1035" s="543"/>
      <c r="AP1035" s="543"/>
      <c r="AQ1035" s="543"/>
      <c r="AR1035" s="543"/>
      <c r="AS1035" s="543"/>
      <c r="AT1035" s="543"/>
      <c r="AU1035" s="543"/>
      <c r="AV1035" s="543"/>
      <c r="AW1035" s="543"/>
      <c r="AX1035" s="543"/>
    </row>
    <row r="1036" spans="1:50" s="757" customFormat="1" ht="15" customHeight="1" x14ac:dyDescent="0.25">
      <c r="A1036" s="911"/>
      <c r="B1036" s="912"/>
      <c r="C1036" s="913"/>
      <c r="D1036" s="767"/>
      <c r="E1036" s="914" t="str">
        <f xml:space="preserve"> Translate!E$379</f>
        <v>IOC EL after tax reached before project EL</v>
      </c>
      <c r="F1036" s="914">
        <f ca="1" xml:space="preserve"> F1027 - F1033</f>
        <v>0</v>
      </c>
      <c r="G1036" s="914" t="str">
        <f xml:space="preserve"> Translate!E$608</f>
        <v>Year</v>
      </c>
      <c r="H1036" s="767"/>
      <c r="I1036" s="767"/>
      <c r="J1036" s="767"/>
      <c r="K1036" s="767"/>
      <c r="L1036" s="767"/>
      <c r="M1036" s="767"/>
      <c r="N1036" s="767"/>
      <c r="O1036" s="767"/>
      <c r="P1036" s="767"/>
      <c r="Q1036" s="767"/>
      <c r="R1036" s="767"/>
      <c r="S1036" s="767"/>
      <c r="T1036" s="767"/>
      <c r="U1036" s="767"/>
      <c r="V1036" s="767"/>
      <c r="W1036" s="767"/>
      <c r="X1036" s="767"/>
      <c r="Y1036" s="767"/>
      <c r="Z1036" s="767"/>
      <c r="AA1036" s="767"/>
      <c r="AB1036" s="767"/>
      <c r="AC1036" s="767"/>
      <c r="AD1036" s="767"/>
      <c r="AE1036" s="767"/>
      <c r="AF1036" s="767"/>
      <c r="AG1036" s="767"/>
      <c r="AH1036" s="767"/>
      <c r="AI1036" s="767"/>
      <c r="AJ1036" s="767"/>
      <c r="AK1036" s="767"/>
      <c r="AL1036" s="767"/>
      <c r="AM1036" s="767"/>
      <c r="AN1036" s="767"/>
      <c r="AO1036" s="767"/>
      <c r="AP1036" s="767"/>
      <c r="AQ1036" s="767"/>
      <c r="AR1036" s="767"/>
      <c r="AS1036" s="767"/>
      <c r="AT1036" s="767"/>
      <c r="AU1036" s="767"/>
      <c r="AV1036" s="767"/>
      <c r="AW1036" s="767"/>
      <c r="AX1036" s="767"/>
    </row>
    <row r="1037" spans="1:50" s="544" customFormat="1" ht="15" customHeight="1" x14ac:dyDescent="0.25">
      <c r="A1037" s="545"/>
      <c r="B1037" s="905"/>
      <c r="C1037" s="906"/>
      <c r="D1037" s="547"/>
      <c r="E1037" s="26"/>
      <c r="F1037" s="543"/>
      <c r="G1037" s="26"/>
      <c r="H1037" s="26"/>
      <c r="I1037" s="543"/>
      <c r="J1037" s="543"/>
      <c r="K1037" s="543"/>
      <c r="L1037" s="543"/>
      <c r="M1037" s="543"/>
      <c r="N1037" s="543"/>
      <c r="O1037" s="543"/>
      <c r="P1037" s="543"/>
      <c r="Q1037" s="543"/>
      <c r="R1037" s="543"/>
      <c r="S1037" s="543"/>
      <c r="T1037" s="543"/>
      <c r="U1037" s="543"/>
      <c r="V1037" s="543"/>
      <c r="W1037" s="543"/>
      <c r="X1037" s="543"/>
      <c r="Y1037" s="543"/>
      <c r="Z1037" s="543"/>
      <c r="AA1037" s="543"/>
      <c r="AB1037" s="543"/>
      <c r="AC1037" s="543"/>
      <c r="AD1037" s="543"/>
      <c r="AE1037" s="543"/>
      <c r="AF1037" s="543"/>
      <c r="AG1037" s="543"/>
      <c r="AH1037" s="543"/>
      <c r="AI1037" s="543"/>
      <c r="AJ1037" s="543"/>
      <c r="AK1037" s="543"/>
      <c r="AL1037" s="543"/>
      <c r="AM1037" s="543"/>
      <c r="AN1037" s="543"/>
      <c r="AO1037" s="543"/>
      <c r="AP1037" s="543"/>
      <c r="AQ1037" s="543"/>
      <c r="AR1037" s="543"/>
      <c r="AS1037" s="543"/>
      <c r="AT1037" s="543"/>
      <c r="AU1037" s="543"/>
      <c r="AV1037" s="543"/>
      <c r="AW1037" s="543"/>
      <c r="AX1037" s="543"/>
    </row>
    <row r="1038" spans="1:50" ht="15" customHeight="1" x14ac:dyDescent="0.25">
      <c r="A1038" s="202" t="str">
        <f>Translate!$E$480</f>
        <v>SOC cashflows</v>
      </c>
      <c r="B1038" s="781"/>
      <c r="C1038" s="610"/>
      <c r="D1038" s="204"/>
      <c r="E1038" s="202"/>
      <c r="F1038" s="204"/>
      <c r="G1038" s="202"/>
      <c r="H1038" s="284"/>
      <c r="I1038" s="202"/>
      <c r="J1038" s="202"/>
      <c r="K1038" s="202"/>
      <c r="L1038" s="202"/>
      <c r="M1038" s="202"/>
      <c r="N1038" s="202"/>
      <c r="O1038" s="202"/>
      <c r="P1038" s="202"/>
      <c r="Q1038" s="202"/>
      <c r="R1038" s="202"/>
      <c r="S1038" s="202"/>
      <c r="T1038" s="202"/>
      <c r="U1038" s="202"/>
      <c r="V1038" s="202"/>
      <c r="W1038" s="202"/>
      <c r="X1038" s="202"/>
      <c r="Y1038" s="202"/>
      <c r="Z1038" s="202"/>
      <c r="AA1038" s="202"/>
      <c r="AB1038" s="202"/>
      <c r="AC1038" s="202"/>
      <c r="AD1038" s="202"/>
      <c r="AE1038" s="202"/>
      <c r="AF1038" s="202"/>
      <c r="AG1038" s="202"/>
      <c r="AH1038" s="202"/>
      <c r="AI1038" s="202"/>
      <c r="AJ1038" s="202"/>
      <c r="AK1038" s="202"/>
      <c r="AL1038" s="202"/>
      <c r="AM1038" s="202"/>
      <c r="AN1038" s="202"/>
      <c r="AO1038" s="202"/>
      <c r="AP1038" s="202"/>
      <c r="AQ1038" s="202"/>
      <c r="AR1038" s="202"/>
      <c r="AS1038" s="202"/>
      <c r="AT1038" s="202"/>
      <c r="AU1038" s="202"/>
      <c r="AV1038" s="202"/>
      <c r="AW1038" s="202"/>
      <c r="AX1038" s="202"/>
    </row>
    <row r="1039" spans="1:50" ht="15" customHeight="1" x14ac:dyDescent="0.25">
      <c r="A1039" s="178"/>
      <c r="B1039" s="689"/>
      <c r="C1039" s="127"/>
      <c r="D1039" s="217"/>
      <c r="E1039" s="13"/>
      <c r="F1039" s="560"/>
      <c r="G1039" s="13"/>
      <c r="H1039" s="13"/>
      <c r="I1039" s="217"/>
      <c r="J1039" s="237"/>
      <c r="K1039" s="98"/>
      <c r="L1039" s="98"/>
      <c r="M1039" s="98"/>
      <c r="N1039" s="98"/>
      <c r="O1039" s="98"/>
      <c r="P1039" s="98"/>
      <c r="Q1039" s="98"/>
      <c r="R1039" s="98"/>
      <c r="S1039" s="98"/>
      <c r="T1039" s="98"/>
      <c r="U1039" s="98"/>
      <c r="V1039" s="98"/>
      <c r="W1039" s="98"/>
      <c r="X1039" s="98"/>
      <c r="Y1039" s="98"/>
      <c r="Z1039" s="98"/>
      <c r="AA1039" s="98"/>
      <c r="AB1039" s="98"/>
      <c r="AC1039" s="98"/>
      <c r="AD1039" s="98"/>
      <c r="AE1039" s="98"/>
      <c r="AF1039" s="98"/>
      <c r="AG1039" s="98"/>
      <c r="AH1039" s="98"/>
      <c r="AI1039" s="98"/>
      <c r="AJ1039" s="98"/>
      <c r="AK1039" s="98"/>
      <c r="AL1039" s="98"/>
      <c r="AM1039" s="98"/>
      <c r="AN1039" s="98"/>
      <c r="AO1039" s="98"/>
      <c r="AP1039" s="98"/>
      <c r="AQ1039" s="98"/>
      <c r="AR1039" s="98"/>
      <c r="AS1039" s="98"/>
      <c r="AT1039" s="98"/>
      <c r="AU1039" s="98"/>
      <c r="AV1039" s="98"/>
      <c r="AW1039" s="98"/>
      <c r="AX1039" s="98"/>
    </row>
    <row r="1040" spans="1:50" ht="15" customHeight="1" x14ac:dyDescent="0.25">
      <c r="A1040" s="178"/>
      <c r="B1040" s="689" t="str">
        <f>Translate!$E$464</f>
        <v>SOC cashflows before carried interest financing</v>
      </c>
      <c r="C1040" s="127"/>
      <c r="D1040" s="217"/>
      <c r="E1040" s="13"/>
      <c r="F1040" s="560"/>
      <c r="G1040" s="13"/>
      <c r="H1040" s="13"/>
      <c r="I1040" s="217"/>
      <c r="J1040" s="237"/>
      <c r="K1040" s="98"/>
      <c r="L1040" s="98"/>
      <c r="M1040" s="98"/>
      <c r="N1040" s="98"/>
      <c r="O1040" s="98"/>
      <c r="P1040" s="98"/>
      <c r="Q1040" s="98"/>
      <c r="R1040" s="98"/>
      <c r="S1040" s="98"/>
      <c r="T1040" s="98"/>
      <c r="U1040" s="98"/>
      <c r="V1040" s="98"/>
      <c r="W1040" s="98"/>
      <c r="X1040" s="98"/>
      <c r="Y1040" s="98"/>
      <c r="Z1040" s="98"/>
      <c r="AA1040" s="98"/>
      <c r="AB1040" s="98"/>
      <c r="AC1040" s="98"/>
      <c r="AD1040" s="98"/>
      <c r="AE1040" s="98"/>
      <c r="AF1040" s="98"/>
      <c r="AG1040" s="98"/>
      <c r="AH1040" s="98"/>
      <c r="AI1040" s="98"/>
      <c r="AJ1040" s="98"/>
      <c r="AK1040" s="98"/>
      <c r="AL1040" s="98"/>
      <c r="AM1040" s="98"/>
      <c r="AN1040" s="98"/>
      <c r="AO1040" s="98"/>
      <c r="AP1040" s="98"/>
      <c r="AQ1040" s="98"/>
      <c r="AR1040" s="98"/>
      <c r="AS1040" s="98"/>
      <c r="AT1040" s="98"/>
      <c r="AU1040" s="98"/>
      <c r="AV1040" s="98"/>
      <c r="AW1040" s="98"/>
      <c r="AX1040" s="98"/>
    </row>
    <row r="1041" spans="1:50" ht="15" customHeight="1" x14ac:dyDescent="0.25">
      <c r="A1041" s="241"/>
      <c r="B1041" s="675"/>
      <c r="C1041" s="615"/>
      <c r="D1041" s="64" t="str">
        <f>Translate!E529</f>
        <v>add</v>
      </c>
      <c r="E1041" s="55" t="str">
        <f>E$695</f>
        <v>SOC share of revenues</v>
      </c>
      <c r="F1041" s="64">
        <f t="shared" ref="F1041:AX1041" si="355">F$695</f>
        <v>0</v>
      </c>
      <c r="G1041" s="55" t="str">
        <f t="shared" si="355"/>
        <v>US$ mn</v>
      </c>
      <c r="H1041" s="55">
        <f t="shared" si="355"/>
        <v>0</v>
      </c>
      <c r="I1041" s="55">
        <f t="shared" ca="1" si="355"/>
        <v>11433.708703682507</v>
      </c>
      <c r="J1041" s="55">
        <f t="shared" si="355"/>
        <v>0</v>
      </c>
      <c r="K1041" s="55">
        <f ca="1">K$695</f>
        <v>0</v>
      </c>
      <c r="L1041" s="55">
        <f t="shared" ca="1" si="355"/>
        <v>0</v>
      </c>
      <c r="M1041" s="55">
        <f t="shared" ca="1" si="355"/>
        <v>0</v>
      </c>
      <c r="N1041" s="55">
        <f t="shared" ca="1" si="355"/>
        <v>0</v>
      </c>
      <c r="O1041" s="55">
        <f t="shared" ca="1" si="355"/>
        <v>41.49143412196964</v>
      </c>
      <c r="P1041" s="55">
        <f t="shared" ca="1" si="355"/>
        <v>332.46633186360003</v>
      </c>
      <c r="Q1041" s="55">
        <f t="shared" ca="1" si="355"/>
        <v>678.23131700174417</v>
      </c>
      <c r="R1041" s="55">
        <f t="shared" ca="1" si="355"/>
        <v>691.79594334177898</v>
      </c>
      <c r="S1041" s="55">
        <f t="shared" ca="1" si="355"/>
        <v>705.63186220861462</v>
      </c>
      <c r="T1041" s="55">
        <f t="shared" ca="1" si="355"/>
        <v>719.74449945278684</v>
      </c>
      <c r="U1041" s="55">
        <f t="shared" ca="1" si="355"/>
        <v>734.13938944184258</v>
      </c>
      <c r="V1041" s="55">
        <f t="shared" ca="1" si="355"/>
        <v>748.82217723067947</v>
      </c>
      <c r="W1041" s="55">
        <f t="shared" ca="1" si="355"/>
        <v>763.7986207752931</v>
      </c>
      <c r="X1041" s="55">
        <f t="shared" ca="1" si="355"/>
        <v>779.07459319079885</v>
      </c>
      <c r="Y1041" s="55">
        <f t="shared" ca="1" si="355"/>
        <v>794.65608505461489</v>
      </c>
      <c r="Z1041" s="55">
        <f t="shared" ca="1" si="355"/>
        <v>810.54920675570725</v>
      </c>
      <c r="AA1041" s="55">
        <f t="shared" ca="1" si="355"/>
        <v>669.67575462156549</v>
      </c>
      <c r="AB1041" s="55">
        <f t="shared" ca="1" si="355"/>
        <v>553.28610846833749</v>
      </c>
      <c r="AC1041" s="55">
        <f t="shared" ca="1" si="355"/>
        <v>457.12498281654047</v>
      </c>
      <c r="AD1041" s="55">
        <f t="shared" ca="1" si="355"/>
        <v>377.67666080302581</v>
      </c>
      <c r="AE1041" s="55">
        <f t="shared" ca="1" si="355"/>
        <v>312.03645715545991</v>
      </c>
      <c r="AF1041" s="55">
        <f t="shared" ca="1" si="355"/>
        <v>257.80452090184104</v>
      </c>
      <c r="AG1041" s="55">
        <f t="shared" ca="1" si="355"/>
        <v>212.99809516910111</v>
      </c>
      <c r="AH1041" s="55">
        <f t="shared" ca="1" si="355"/>
        <v>175.97902622871132</v>
      </c>
      <c r="AI1041" s="55">
        <f t="shared" ca="1" si="355"/>
        <v>145.39387147016132</v>
      </c>
      <c r="AJ1041" s="55">
        <f t="shared" ca="1" si="355"/>
        <v>120.12441660864727</v>
      </c>
      <c r="AK1041" s="55">
        <f t="shared" ca="1" si="355"/>
        <v>99.246793002064393</v>
      </c>
      <c r="AL1041" s="55">
        <f t="shared" ca="1" si="355"/>
        <v>81.997700378305581</v>
      </c>
      <c r="AM1041" s="55">
        <f t="shared" ca="1" si="355"/>
        <v>67.746500052556087</v>
      </c>
      <c r="AN1041" s="55">
        <f t="shared" ca="1" si="355"/>
        <v>55.972158343421839</v>
      </c>
      <c r="AO1041" s="55">
        <f t="shared" ca="1" si="355"/>
        <v>46.244197223335135</v>
      </c>
      <c r="AP1041" s="55">
        <f t="shared" ca="1" si="355"/>
        <v>0</v>
      </c>
      <c r="AQ1041" s="55">
        <f t="shared" ca="1" si="355"/>
        <v>0</v>
      </c>
      <c r="AR1041" s="55">
        <f t="shared" ca="1" si="355"/>
        <v>0</v>
      </c>
      <c r="AS1041" s="55">
        <f t="shared" ca="1" si="355"/>
        <v>0</v>
      </c>
      <c r="AT1041" s="55">
        <f t="shared" ca="1" si="355"/>
        <v>0</v>
      </c>
      <c r="AU1041" s="55">
        <f t="shared" ca="1" si="355"/>
        <v>0</v>
      </c>
      <c r="AV1041" s="55">
        <f t="shared" ca="1" si="355"/>
        <v>0</v>
      </c>
      <c r="AW1041" s="55">
        <f t="shared" ca="1" si="355"/>
        <v>0</v>
      </c>
      <c r="AX1041" s="55">
        <f t="shared" ca="1" si="355"/>
        <v>0</v>
      </c>
    </row>
    <row r="1042" spans="1:50" ht="15" customHeight="1" x14ac:dyDescent="0.25">
      <c r="A1042" s="241"/>
      <c r="B1042" s="675"/>
      <c r="C1042" s="615"/>
      <c r="D1042" s="64" t="str">
        <f>Translate!E530</f>
        <v>less</v>
      </c>
      <c r="E1042" s="48" t="str">
        <f t="shared" ref="E1042:AX1042" si="356" xml:space="preserve"> E$441</f>
        <v>T&amp;R: Royalty attributable to: SOC</v>
      </c>
      <c r="F1042" s="48">
        <f t="shared" si="356"/>
        <v>0</v>
      </c>
      <c r="G1042" s="48" t="str">
        <f t="shared" si="356"/>
        <v>US$ mn</v>
      </c>
      <c r="H1042" s="48">
        <f t="shared" si="356"/>
        <v>0</v>
      </c>
      <c r="I1042" s="48">
        <f t="shared" ca="1" si="356"/>
        <v>2286.7417407365006</v>
      </c>
      <c r="J1042" s="48">
        <f t="shared" si="356"/>
        <v>0</v>
      </c>
      <c r="K1042" s="48">
        <f t="shared" ca="1" si="356"/>
        <v>0</v>
      </c>
      <c r="L1042" s="48">
        <f t="shared" ca="1" si="356"/>
        <v>0</v>
      </c>
      <c r="M1042" s="48">
        <f t="shared" ca="1" si="356"/>
        <v>0</v>
      </c>
      <c r="N1042" s="48">
        <f t="shared" ca="1" si="356"/>
        <v>0</v>
      </c>
      <c r="O1042" s="48">
        <f t="shared" ca="1" si="356"/>
        <v>8.2982868243939283</v>
      </c>
      <c r="P1042" s="48">
        <f t="shared" ca="1" si="356"/>
        <v>66.493266372720015</v>
      </c>
      <c r="Q1042" s="48">
        <f t="shared" ca="1" si="356"/>
        <v>135.64626340034883</v>
      </c>
      <c r="R1042" s="48">
        <f t="shared" ca="1" si="356"/>
        <v>138.35918866835581</v>
      </c>
      <c r="S1042" s="48">
        <f t="shared" ca="1" si="356"/>
        <v>141.12637244172294</v>
      </c>
      <c r="T1042" s="48">
        <f t="shared" ca="1" si="356"/>
        <v>143.94889989055739</v>
      </c>
      <c r="U1042" s="48">
        <f t="shared" ca="1" si="356"/>
        <v>146.82787788836853</v>
      </c>
      <c r="V1042" s="48">
        <f t="shared" ca="1" si="356"/>
        <v>149.76443544613591</v>
      </c>
      <c r="W1042" s="48">
        <f t="shared" ca="1" si="356"/>
        <v>152.75972415505862</v>
      </c>
      <c r="X1042" s="48">
        <f t="shared" ca="1" si="356"/>
        <v>155.81491863815978</v>
      </c>
      <c r="Y1042" s="48">
        <f t="shared" ca="1" si="356"/>
        <v>158.93121701092298</v>
      </c>
      <c r="Z1042" s="48">
        <f t="shared" ca="1" si="356"/>
        <v>162.10984135114145</v>
      </c>
      <c r="AA1042" s="48">
        <f t="shared" ca="1" si="356"/>
        <v>133.93515092431309</v>
      </c>
      <c r="AB1042" s="48">
        <f t="shared" ca="1" si="356"/>
        <v>110.65722169366751</v>
      </c>
      <c r="AC1042" s="48">
        <f t="shared" ca="1" si="356"/>
        <v>91.424996563308099</v>
      </c>
      <c r="AD1042" s="48">
        <f t="shared" ca="1" si="356"/>
        <v>75.535332160605165</v>
      </c>
      <c r="AE1042" s="48">
        <f t="shared" ca="1" si="356"/>
        <v>62.407291431091984</v>
      </c>
      <c r="AF1042" s="48">
        <f t="shared" ca="1" si="356"/>
        <v>51.560904180368212</v>
      </c>
      <c r="AG1042" s="48">
        <f t="shared" ca="1" si="356"/>
        <v>42.599619033820225</v>
      </c>
      <c r="AH1042" s="48">
        <f t="shared" ca="1" si="356"/>
        <v>35.195805245742264</v>
      </c>
      <c r="AI1042" s="48">
        <f t="shared" ca="1" si="356"/>
        <v>29.078774294032264</v>
      </c>
      <c r="AJ1042" s="48">
        <f t="shared" ca="1" si="356"/>
        <v>24.024883321729455</v>
      </c>
      <c r="AK1042" s="48">
        <f t="shared" ca="1" si="356"/>
        <v>19.849358600412881</v>
      </c>
      <c r="AL1042" s="48">
        <f t="shared" ca="1" si="356"/>
        <v>16.399540075661118</v>
      </c>
      <c r="AM1042" s="48">
        <f t="shared" ca="1" si="356"/>
        <v>13.549300010511217</v>
      </c>
      <c r="AN1042" s="48">
        <f t="shared" ca="1" si="356"/>
        <v>11.194431668684368</v>
      </c>
      <c r="AO1042" s="48">
        <f t="shared" ca="1" si="356"/>
        <v>9.248839444667027</v>
      </c>
      <c r="AP1042" s="48">
        <f t="shared" ca="1" si="356"/>
        <v>0</v>
      </c>
      <c r="AQ1042" s="48">
        <f t="shared" ca="1" si="356"/>
        <v>0</v>
      </c>
      <c r="AR1042" s="48">
        <f t="shared" ca="1" si="356"/>
        <v>0</v>
      </c>
      <c r="AS1042" s="48">
        <f t="shared" ca="1" si="356"/>
        <v>0</v>
      </c>
      <c r="AT1042" s="48">
        <f t="shared" ca="1" si="356"/>
        <v>0</v>
      </c>
      <c r="AU1042" s="48">
        <f t="shared" ca="1" si="356"/>
        <v>0</v>
      </c>
      <c r="AV1042" s="48">
        <f t="shared" ca="1" si="356"/>
        <v>0</v>
      </c>
      <c r="AW1042" s="48">
        <f t="shared" ca="1" si="356"/>
        <v>0</v>
      </c>
      <c r="AX1042" s="48">
        <f t="shared" ca="1" si="356"/>
        <v>0</v>
      </c>
    </row>
    <row r="1043" spans="1:50" ht="15" customHeight="1" x14ac:dyDescent="0.25">
      <c r="A1043" s="241"/>
      <c r="B1043" s="675"/>
      <c r="C1043" s="615"/>
      <c r="D1043" s="64" t="str">
        <f>Translate!E530</f>
        <v>less</v>
      </c>
      <c r="E1043" s="55" t="str">
        <f t="shared" ref="E1043:AX1043" si="357" xml:space="preserve"> E$739</f>
        <v>Costs allocated to SOC (JV cashcalls)</v>
      </c>
      <c r="F1043" s="64">
        <f t="shared" si="357"/>
        <v>0</v>
      </c>
      <c r="G1043" s="55" t="str">
        <f t="shared" si="357"/>
        <v>US$ mn</v>
      </c>
      <c r="H1043" s="55">
        <f t="shared" si="357"/>
        <v>0</v>
      </c>
      <c r="I1043" s="55">
        <f t="shared" ca="1" si="357"/>
        <v>3753.6134774303423</v>
      </c>
      <c r="J1043" s="55">
        <f t="shared" si="357"/>
        <v>0</v>
      </c>
      <c r="K1043" s="55">
        <f t="shared" ca="1" si="357"/>
        <v>0</v>
      </c>
      <c r="L1043" s="55">
        <f t="shared" ca="1" si="357"/>
        <v>10.200000000000001</v>
      </c>
      <c r="M1043" s="55">
        <f t="shared" ca="1" si="357"/>
        <v>62.424000000000007</v>
      </c>
      <c r="N1043" s="55">
        <f t="shared" ca="1" si="357"/>
        <v>254.68992</v>
      </c>
      <c r="O1043" s="55">
        <f t="shared" ca="1" si="357"/>
        <v>271.48668554656331</v>
      </c>
      <c r="P1043" s="55">
        <f t="shared" ca="1" si="357"/>
        <v>510.36328825919998</v>
      </c>
      <c r="Q1043" s="55">
        <f t="shared" ca="1" si="357"/>
        <v>320.12106203980807</v>
      </c>
      <c r="R1043" s="55">
        <f t="shared" ca="1" si="357"/>
        <v>176.91824880619777</v>
      </c>
      <c r="S1043" s="55">
        <f t="shared" ca="1" si="357"/>
        <v>133.31414086223111</v>
      </c>
      <c r="T1043" s="55">
        <f t="shared" ca="1" si="357"/>
        <v>135.70432599947571</v>
      </c>
      <c r="U1043" s="55">
        <f t="shared" ca="1" si="357"/>
        <v>138.14231483946526</v>
      </c>
      <c r="V1043" s="55">
        <f t="shared" ca="1" si="357"/>
        <v>140.62906345625456</v>
      </c>
      <c r="W1043" s="55">
        <f t="shared" ca="1" si="357"/>
        <v>155.91424163845687</v>
      </c>
      <c r="X1043" s="55">
        <f t="shared" ca="1" si="357"/>
        <v>158.50145489936443</v>
      </c>
      <c r="Y1043" s="55">
        <f t="shared" ca="1" si="357"/>
        <v>161.14041242549018</v>
      </c>
      <c r="Z1043" s="55">
        <f t="shared" ca="1" si="357"/>
        <v>163.83214910213843</v>
      </c>
      <c r="AA1043" s="55">
        <f t="shared" ca="1" si="357"/>
        <v>163.9547925523197</v>
      </c>
      <c r="AB1043" s="55">
        <f t="shared" ca="1" si="357"/>
        <v>94.618632783483278</v>
      </c>
      <c r="AC1043" s="55">
        <f t="shared" ca="1" si="357"/>
        <v>62.932563378209402</v>
      </c>
      <c r="AD1043" s="55">
        <f t="shared" ca="1" si="357"/>
        <v>117.75440422482116</v>
      </c>
      <c r="AE1043" s="55">
        <f t="shared" ca="1" si="357"/>
        <v>112.66279335457335</v>
      </c>
      <c r="AF1043" s="55">
        <f t="shared" ca="1" si="357"/>
        <v>50.29539441690504</v>
      </c>
      <c r="AG1043" s="55">
        <f t="shared" ca="1" si="357"/>
        <v>46.826402669922928</v>
      </c>
      <c r="AH1043" s="55">
        <f t="shared" ca="1" si="357"/>
        <v>45.267853488389534</v>
      </c>
      <c r="AI1043" s="55">
        <f t="shared" ca="1" si="357"/>
        <v>43.77260411292864</v>
      </c>
      <c r="AJ1043" s="55">
        <f t="shared" ca="1" si="357"/>
        <v>42.317348112708494</v>
      </c>
      <c r="AK1043" s="55">
        <f t="shared" ca="1" si="357"/>
        <v>40.882849229863609</v>
      </c>
      <c r="AL1043" s="55">
        <f t="shared" ca="1" si="357"/>
        <v>39.453158236462606</v>
      </c>
      <c r="AM1043" s="55">
        <f t="shared" ca="1" si="357"/>
        <v>33.436244623733494</v>
      </c>
      <c r="AN1043" s="55">
        <f t="shared" ca="1" si="357"/>
        <v>33.754261878071169</v>
      </c>
      <c r="AO1043" s="55">
        <f t="shared" ca="1" si="357"/>
        <v>32.302866493304364</v>
      </c>
      <c r="AP1043" s="55">
        <f t="shared" ca="1" si="357"/>
        <v>0</v>
      </c>
      <c r="AQ1043" s="55">
        <f t="shared" ca="1" si="357"/>
        <v>0</v>
      </c>
      <c r="AR1043" s="55">
        <f t="shared" ca="1" si="357"/>
        <v>0</v>
      </c>
      <c r="AS1043" s="55">
        <f t="shared" ca="1" si="357"/>
        <v>0</v>
      </c>
      <c r="AT1043" s="55">
        <f t="shared" ca="1" si="357"/>
        <v>0</v>
      </c>
      <c r="AU1043" s="55">
        <f t="shared" ca="1" si="357"/>
        <v>0</v>
      </c>
      <c r="AV1043" s="55">
        <f t="shared" ca="1" si="357"/>
        <v>0</v>
      </c>
      <c r="AW1043" s="55">
        <f t="shared" ca="1" si="357"/>
        <v>0</v>
      </c>
      <c r="AX1043" s="55">
        <f t="shared" ca="1" si="357"/>
        <v>0</v>
      </c>
    </row>
    <row r="1044" spans="1:50" ht="15" customHeight="1" x14ac:dyDescent="0.25">
      <c r="A1044" s="241"/>
      <c r="B1044" s="675"/>
      <c r="C1044" s="615"/>
      <c r="D1044" s="64" t="str">
        <f>Translate!E530</f>
        <v>less</v>
      </c>
      <c r="E1044" s="55" t="str">
        <f t="shared" ref="E1044:AX1044" si="358" xml:space="preserve"> E$393</f>
        <v>Loan cashflows before interest withholding tax: SOC</v>
      </c>
      <c r="F1044" s="64">
        <f t="shared" si="358"/>
        <v>0</v>
      </c>
      <c r="G1044" s="55" t="str">
        <f t="shared" si="358"/>
        <v>US$ mn</v>
      </c>
      <c r="H1044" s="55">
        <f t="shared" si="358"/>
        <v>0</v>
      </c>
      <c r="I1044" s="55">
        <f t="shared" ca="1" si="358"/>
        <v>275.98643149131476</v>
      </c>
      <c r="J1044" s="55">
        <f t="shared" si="358"/>
        <v>0</v>
      </c>
      <c r="K1044" s="55">
        <f t="shared" ca="1" si="358"/>
        <v>0</v>
      </c>
      <c r="L1044" s="55">
        <f t="shared" ca="1" si="358"/>
        <v>-7.14</v>
      </c>
      <c r="M1044" s="55">
        <f t="shared" ca="1" si="358"/>
        <v>-43.696799999999996</v>
      </c>
      <c r="N1044" s="55">
        <f t="shared" ca="1" si="358"/>
        <v>-178.28294399999999</v>
      </c>
      <c r="O1044" s="55">
        <f t="shared" ca="1" si="358"/>
        <v>-181.84860287999999</v>
      </c>
      <c r="P1044" s="55">
        <f t="shared" ca="1" si="358"/>
        <v>-324.59975614080003</v>
      </c>
      <c r="Q1044" s="55">
        <f t="shared" ca="1" si="358"/>
        <v>119.17399115819799</v>
      </c>
      <c r="R1044" s="55">
        <f t="shared" ca="1" si="358"/>
        <v>115.16987166775652</v>
      </c>
      <c r="S1044" s="55">
        <f t="shared" ca="1" si="358"/>
        <v>111.16575217731508</v>
      </c>
      <c r="T1044" s="55">
        <f t="shared" ca="1" si="358"/>
        <v>107.16163268687363</v>
      </c>
      <c r="U1044" s="55">
        <f t="shared" ca="1" si="358"/>
        <v>103.15751319643219</v>
      </c>
      <c r="V1044" s="55">
        <f t="shared" ca="1" si="358"/>
        <v>99.153393705990766</v>
      </c>
      <c r="W1044" s="55">
        <f t="shared" ca="1" si="358"/>
        <v>95.149274215549312</v>
      </c>
      <c r="X1044" s="55">
        <f t="shared" ca="1" si="358"/>
        <v>91.145154725107844</v>
      </c>
      <c r="Y1044" s="55">
        <f t="shared" ca="1" si="358"/>
        <v>87.141035234666418</v>
      </c>
      <c r="Z1044" s="55">
        <f t="shared" ca="1" si="358"/>
        <v>83.136915744224964</v>
      </c>
      <c r="AA1044" s="55">
        <f t="shared" ca="1" si="358"/>
        <v>0</v>
      </c>
      <c r="AB1044" s="55">
        <f t="shared" ca="1" si="358"/>
        <v>0</v>
      </c>
      <c r="AC1044" s="55">
        <f t="shared" ca="1" si="358"/>
        <v>0</v>
      </c>
      <c r="AD1044" s="55">
        <f t="shared" ca="1" si="358"/>
        <v>0</v>
      </c>
      <c r="AE1044" s="55">
        <f t="shared" ca="1" si="358"/>
        <v>0</v>
      </c>
      <c r="AF1044" s="55">
        <f t="shared" ca="1" si="358"/>
        <v>0</v>
      </c>
      <c r="AG1044" s="55">
        <f t="shared" ca="1" si="358"/>
        <v>0</v>
      </c>
      <c r="AH1044" s="55">
        <f t="shared" ca="1" si="358"/>
        <v>0</v>
      </c>
      <c r="AI1044" s="55">
        <f t="shared" ca="1" si="358"/>
        <v>0</v>
      </c>
      <c r="AJ1044" s="55">
        <f t="shared" ca="1" si="358"/>
        <v>0</v>
      </c>
      <c r="AK1044" s="55">
        <f t="shared" ca="1" si="358"/>
        <v>0</v>
      </c>
      <c r="AL1044" s="55">
        <f t="shared" ca="1" si="358"/>
        <v>0</v>
      </c>
      <c r="AM1044" s="55">
        <f t="shared" ca="1" si="358"/>
        <v>0</v>
      </c>
      <c r="AN1044" s="55">
        <f t="shared" ca="1" si="358"/>
        <v>0</v>
      </c>
      <c r="AO1044" s="55">
        <f t="shared" ca="1" si="358"/>
        <v>0</v>
      </c>
      <c r="AP1044" s="55">
        <f t="shared" ca="1" si="358"/>
        <v>0</v>
      </c>
      <c r="AQ1044" s="55">
        <f t="shared" ca="1" si="358"/>
        <v>0</v>
      </c>
      <c r="AR1044" s="55">
        <f t="shared" ca="1" si="358"/>
        <v>0</v>
      </c>
      <c r="AS1044" s="55">
        <f t="shared" ca="1" si="358"/>
        <v>0</v>
      </c>
      <c r="AT1044" s="55">
        <f t="shared" ca="1" si="358"/>
        <v>0</v>
      </c>
      <c r="AU1044" s="55">
        <f t="shared" ca="1" si="358"/>
        <v>0</v>
      </c>
      <c r="AV1044" s="55">
        <f t="shared" ca="1" si="358"/>
        <v>0</v>
      </c>
      <c r="AW1044" s="55">
        <f t="shared" ca="1" si="358"/>
        <v>0</v>
      </c>
      <c r="AX1044" s="55">
        <f t="shared" ca="1" si="358"/>
        <v>0</v>
      </c>
    </row>
    <row r="1045" spans="1:50" s="518" customFormat="1" ht="15" customHeight="1" x14ac:dyDescent="0.25">
      <c r="A1045" s="499"/>
      <c r="B1045" s="684"/>
      <c r="C1045" s="654"/>
      <c r="D1045" s="517"/>
      <c r="E1045" s="499" t="str">
        <f xml:space="preserve"> Translate!E$380</f>
        <v>SOC net cash flow before tax</v>
      </c>
      <c r="F1045" s="517"/>
      <c r="G1045" s="499" t="str">
        <f xml:space="preserve"> Translate!E$603</f>
        <v>US$ mn</v>
      </c>
      <c r="H1045" s="499"/>
      <c r="I1045" s="499">
        <f ca="1" xml:space="preserve"> SUM(K1045:AX1045)</f>
        <v>5117.3670540243475</v>
      </c>
      <c r="J1045" s="499"/>
      <c r="K1045" s="499">
        <f t="shared" ref="K1045:AX1045" ca="1" si="359" xml:space="preserve"> K1041 - K1042 - K1043 - K1044</f>
        <v>0</v>
      </c>
      <c r="L1045" s="499">
        <f t="shared" ca="1" si="359"/>
        <v>-3.0600000000000014</v>
      </c>
      <c r="M1045" s="499">
        <f t="shared" ca="1" si="359"/>
        <v>-18.727200000000011</v>
      </c>
      <c r="N1045" s="499">
        <f t="shared" ca="1" si="359"/>
        <v>-76.406976000000014</v>
      </c>
      <c r="O1045" s="499">
        <f t="shared" ca="1" si="359"/>
        <v>-56.444935368987615</v>
      </c>
      <c r="P1045" s="499">
        <f t="shared" ca="1" si="359"/>
        <v>80.209533372480053</v>
      </c>
      <c r="Q1045" s="499">
        <f t="shared" ca="1" si="359"/>
        <v>103.29000040338926</v>
      </c>
      <c r="R1045" s="499">
        <f t="shared" ca="1" si="359"/>
        <v>261.34863419946885</v>
      </c>
      <c r="S1045" s="499">
        <f t="shared" ca="1" si="359"/>
        <v>320.02559672734554</v>
      </c>
      <c r="T1045" s="499">
        <f t="shared" ca="1" si="359"/>
        <v>332.92964087588007</v>
      </c>
      <c r="U1045" s="499">
        <f t="shared" ca="1" si="359"/>
        <v>346.01168351757656</v>
      </c>
      <c r="V1045" s="499">
        <f t="shared" ca="1" si="359"/>
        <v>359.27528462229827</v>
      </c>
      <c r="W1045" s="499">
        <f t="shared" ca="1" si="359"/>
        <v>359.97538076622828</v>
      </c>
      <c r="X1045" s="499">
        <f t="shared" ca="1" si="359"/>
        <v>373.61306492816686</v>
      </c>
      <c r="Y1045" s="499">
        <f t="shared" ca="1" si="359"/>
        <v>387.44342038353534</v>
      </c>
      <c r="Z1045" s="499">
        <f t="shared" ca="1" si="359"/>
        <v>401.47030055820244</v>
      </c>
      <c r="AA1045" s="499">
        <f t="shared" ca="1" si="359"/>
        <v>371.78581114493267</v>
      </c>
      <c r="AB1045" s="499">
        <f t="shared" ca="1" si="359"/>
        <v>348.01025399118669</v>
      </c>
      <c r="AC1045" s="499">
        <f t="shared" ca="1" si="359"/>
        <v>302.76742287502299</v>
      </c>
      <c r="AD1045" s="499">
        <f t="shared" ca="1" si="359"/>
        <v>184.38692441759952</v>
      </c>
      <c r="AE1045" s="499">
        <f t="shared" ca="1" si="359"/>
        <v>136.96637236979458</v>
      </c>
      <c r="AF1045" s="499">
        <f t="shared" ca="1" si="359"/>
        <v>155.94822230456782</v>
      </c>
      <c r="AG1045" s="499">
        <f t="shared" ca="1" si="359"/>
        <v>123.57207346535795</v>
      </c>
      <c r="AH1045" s="499">
        <f t="shared" ca="1" si="359"/>
        <v>95.515367494579522</v>
      </c>
      <c r="AI1045" s="499">
        <f t="shared" ca="1" si="359"/>
        <v>72.542493063200425</v>
      </c>
      <c r="AJ1045" s="499">
        <f t="shared" ca="1" si="359"/>
        <v>53.782185174209324</v>
      </c>
      <c r="AK1045" s="499">
        <f t="shared" ca="1" si="359"/>
        <v>38.5145851717879</v>
      </c>
      <c r="AL1045" s="499">
        <f t="shared" ca="1" si="359"/>
        <v>26.145002066181853</v>
      </c>
      <c r="AM1045" s="499">
        <f t="shared" ca="1" si="359"/>
        <v>20.760955418311376</v>
      </c>
      <c r="AN1045" s="499">
        <f t="shared" ca="1" si="359"/>
        <v>11.023464796666303</v>
      </c>
      <c r="AO1045" s="499">
        <f t="shared" ca="1" si="359"/>
        <v>4.6924912853637437</v>
      </c>
      <c r="AP1045" s="499">
        <f t="shared" ca="1" si="359"/>
        <v>0</v>
      </c>
      <c r="AQ1045" s="499">
        <f t="shared" ca="1" si="359"/>
        <v>0</v>
      </c>
      <c r="AR1045" s="499">
        <f t="shared" ca="1" si="359"/>
        <v>0</v>
      </c>
      <c r="AS1045" s="499">
        <f t="shared" ca="1" si="359"/>
        <v>0</v>
      </c>
      <c r="AT1045" s="499">
        <f t="shared" ca="1" si="359"/>
        <v>0</v>
      </c>
      <c r="AU1045" s="499">
        <f t="shared" ca="1" si="359"/>
        <v>0</v>
      </c>
      <c r="AV1045" s="499">
        <f t="shared" ca="1" si="359"/>
        <v>0</v>
      </c>
      <c r="AW1045" s="499">
        <f t="shared" ca="1" si="359"/>
        <v>0</v>
      </c>
      <c r="AX1045" s="499">
        <f t="shared" ca="1" si="359"/>
        <v>0</v>
      </c>
    </row>
    <row r="1046" spans="1:50" s="77" customFormat="1" ht="15" customHeight="1" x14ac:dyDescent="0.25">
      <c r="A1046" s="206"/>
      <c r="B1046" s="675"/>
      <c r="C1046" s="648"/>
      <c r="D1046" s="329"/>
      <c r="E1046" s="176"/>
      <c r="F1046" s="590"/>
      <c r="G1046" s="176"/>
      <c r="H1046" s="176"/>
      <c r="I1046" s="176"/>
      <c r="J1046" s="176"/>
      <c r="K1046" s="176"/>
      <c r="L1046" s="176"/>
      <c r="M1046" s="176"/>
      <c r="N1046" s="176"/>
      <c r="O1046" s="176"/>
      <c r="P1046" s="176"/>
      <c r="Q1046" s="176"/>
      <c r="R1046" s="176"/>
      <c r="S1046" s="176"/>
      <c r="T1046" s="176"/>
      <c r="U1046" s="176"/>
      <c r="V1046" s="176"/>
      <c r="W1046" s="176"/>
      <c r="X1046" s="176"/>
      <c r="Y1046" s="176"/>
      <c r="Z1046" s="176"/>
      <c r="AA1046" s="176"/>
      <c r="AB1046" s="176"/>
      <c r="AC1046" s="176"/>
      <c r="AD1046" s="176"/>
      <c r="AE1046" s="176"/>
      <c r="AF1046" s="176"/>
      <c r="AG1046" s="176"/>
      <c r="AH1046" s="176"/>
      <c r="AI1046" s="176"/>
      <c r="AJ1046" s="176"/>
      <c r="AK1046" s="176"/>
      <c r="AL1046" s="176"/>
      <c r="AM1046" s="176"/>
      <c r="AN1046" s="176"/>
      <c r="AO1046" s="176"/>
      <c r="AP1046" s="176"/>
      <c r="AQ1046" s="176"/>
      <c r="AR1046" s="176"/>
      <c r="AS1046" s="176"/>
      <c r="AT1046" s="176"/>
      <c r="AU1046" s="176"/>
      <c r="AV1046" s="176"/>
      <c r="AW1046" s="176"/>
      <c r="AX1046" s="176"/>
    </row>
    <row r="1047" spans="1:50" s="412" customFormat="1" ht="15" customHeight="1" x14ac:dyDescent="0.25">
      <c r="A1047" s="398"/>
      <c r="B1047" s="675" t="str">
        <f>Translate!$E$465</f>
        <v>Carried interest financing</v>
      </c>
      <c r="C1047" s="625"/>
      <c r="D1047" s="410"/>
      <c r="E1047" s="411"/>
      <c r="F1047" s="506"/>
      <c r="G1047" s="411"/>
      <c r="H1047" s="1059" t="str">
        <f xml:space="preserve"> Translate!E$930</f>
        <v>Carry is treated as a loan to SOC. Alternative treatment where costs are met by IOC and recovered from SOC revenues is not modelled.</v>
      </c>
      <c r="I1047" s="411"/>
      <c r="J1047" s="411"/>
      <c r="K1047" s="411"/>
      <c r="L1047" s="411"/>
      <c r="M1047" s="411"/>
      <c r="N1047" s="411"/>
      <c r="O1047" s="411"/>
      <c r="P1047" s="411"/>
      <c r="Q1047" s="411"/>
      <c r="R1047" s="411"/>
      <c r="S1047" s="411"/>
      <c r="T1047" s="411"/>
      <c r="U1047" s="411"/>
      <c r="V1047" s="411"/>
      <c r="W1047" s="411"/>
      <c r="X1047" s="411"/>
      <c r="Y1047" s="411"/>
      <c r="Z1047" s="411"/>
      <c r="AA1047" s="411"/>
      <c r="AB1047" s="411"/>
      <c r="AC1047" s="411"/>
      <c r="AD1047" s="411"/>
      <c r="AE1047" s="411"/>
      <c r="AF1047" s="411"/>
      <c r="AG1047" s="411"/>
      <c r="AH1047" s="411"/>
      <c r="AI1047" s="411"/>
      <c r="AJ1047" s="411"/>
      <c r="AK1047" s="411"/>
      <c r="AL1047" s="411"/>
      <c r="AM1047" s="411"/>
      <c r="AN1047" s="411"/>
      <c r="AO1047" s="411"/>
      <c r="AP1047" s="411"/>
      <c r="AQ1047" s="411"/>
      <c r="AR1047" s="411"/>
      <c r="AS1047" s="411"/>
      <c r="AT1047" s="411"/>
      <c r="AU1047" s="411"/>
      <c r="AV1047" s="411"/>
      <c r="AW1047" s="411"/>
      <c r="AX1047" s="411"/>
    </row>
    <row r="1048" spans="1:50" s="412" customFormat="1" ht="15" customHeight="1" x14ac:dyDescent="0.25">
      <c r="A1048" s="398"/>
      <c r="B1048" s="675"/>
      <c r="C1048" s="625" t="str">
        <f>Translate!$E$512</f>
        <v>Loan available until</v>
      </c>
      <c r="D1048" s="410"/>
      <c r="F1048" s="591"/>
      <c r="H1048" s="411"/>
      <c r="I1048" s="411"/>
      <c r="J1048" s="411"/>
      <c r="K1048" s="411"/>
      <c r="L1048" s="411"/>
      <c r="M1048" s="411"/>
      <c r="N1048" s="411"/>
      <c r="O1048" s="411"/>
      <c r="P1048" s="411"/>
      <c r="Q1048" s="411"/>
      <c r="R1048" s="411"/>
      <c r="S1048" s="411"/>
      <c r="T1048" s="411"/>
      <c r="U1048" s="411"/>
      <c r="V1048" s="411"/>
      <c r="W1048" s="411"/>
      <c r="X1048" s="411"/>
      <c r="Y1048" s="411"/>
      <c r="Z1048" s="411"/>
      <c r="AA1048" s="411"/>
      <c r="AB1048" s="411"/>
      <c r="AC1048" s="411"/>
      <c r="AD1048" s="411"/>
      <c r="AE1048" s="411"/>
      <c r="AF1048" s="411"/>
      <c r="AG1048" s="411"/>
      <c r="AH1048" s="411"/>
      <c r="AI1048" s="411"/>
      <c r="AJ1048" s="411"/>
      <c r="AK1048" s="411"/>
      <c r="AL1048" s="411"/>
      <c r="AM1048" s="411"/>
      <c r="AN1048" s="411"/>
      <c r="AO1048" s="411"/>
      <c r="AP1048" s="411"/>
      <c r="AQ1048" s="411"/>
      <c r="AR1048" s="411"/>
      <c r="AS1048" s="411"/>
      <c r="AT1048" s="411"/>
      <c r="AU1048" s="411"/>
      <c r="AV1048" s="411"/>
      <c r="AW1048" s="411"/>
      <c r="AX1048" s="411"/>
    </row>
    <row r="1049" spans="1:50" s="412" customFormat="1" ht="15" customHeight="1" x14ac:dyDescent="0.25">
      <c r="A1049" s="398"/>
      <c r="B1049" s="675"/>
      <c r="C1049" s="625"/>
      <c r="D1049" s="410"/>
      <c r="E1049" s="40" t="str">
        <f xml:space="preserve"> ProjectCashflows!E$181</f>
        <v>Cumulative production years</v>
      </c>
      <c r="F1049" s="283">
        <f xml:space="preserve"> ProjectCashflows!F$181</f>
        <v>0</v>
      </c>
      <c r="G1049" s="40" t="str">
        <f xml:space="preserve"> ProjectCashflows!G$181</f>
        <v>Year</v>
      </c>
      <c r="H1049" s="40">
        <f xml:space="preserve"> ProjectCashflows!H$181</f>
        <v>0</v>
      </c>
      <c r="I1049" s="40">
        <f xml:space="preserve"> ProjectCashflows!I$181</f>
        <v>0</v>
      </c>
      <c r="J1049" s="40">
        <f xml:space="preserve"> ProjectCashflows!J$181</f>
        <v>0</v>
      </c>
      <c r="K1049" s="40">
        <f ca="1" xml:space="preserve"> ProjectCashflows!K$181</f>
        <v>0</v>
      </c>
      <c r="L1049" s="40">
        <f ca="1" xml:space="preserve"> ProjectCashflows!L$181</f>
        <v>0</v>
      </c>
      <c r="M1049" s="40">
        <f ca="1" xml:space="preserve"> ProjectCashflows!M$181</f>
        <v>0</v>
      </c>
      <c r="N1049" s="40">
        <f ca="1" xml:space="preserve"> ProjectCashflows!N$181</f>
        <v>0</v>
      </c>
      <c r="O1049" s="40">
        <f ca="1" xml:space="preserve"> ProjectCashflows!O$181</f>
        <v>1</v>
      </c>
      <c r="P1049" s="40">
        <f ca="1" xml:space="preserve"> ProjectCashflows!P$181</f>
        <v>2</v>
      </c>
      <c r="Q1049" s="40">
        <f ca="1" xml:space="preserve"> ProjectCashflows!Q$181</f>
        <v>3</v>
      </c>
      <c r="R1049" s="40">
        <f ca="1" xml:space="preserve"> ProjectCashflows!R$181</f>
        <v>4</v>
      </c>
      <c r="S1049" s="40">
        <f ca="1" xml:space="preserve"> ProjectCashflows!S$181</f>
        <v>5</v>
      </c>
      <c r="T1049" s="40">
        <f ca="1" xml:space="preserve"> ProjectCashflows!T$181</f>
        <v>6</v>
      </c>
      <c r="U1049" s="40">
        <f ca="1" xml:space="preserve"> ProjectCashflows!U$181</f>
        <v>7</v>
      </c>
      <c r="V1049" s="40">
        <f ca="1" xml:space="preserve"> ProjectCashflows!V$181</f>
        <v>8</v>
      </c>
      <c r="W1049" s="40">
        <f ca="1" xml:space="preserve"> ProjectCashflows!W$181</f>
        <v>9</v>
      </c>
      <c r="X1049" s="40">
        <f ca="1" xml:space="preserve"> ProjectCashflows!X$181</f>
        <v>10</v>
      </c>
      <c r="Y1049" s="40">
        <f ca="1" xml:space="preserve"> ProjectCashflows!Y$181</f>
        <v>11</v>
      </c>
      <c r="Z1049" s="40">
        <f ca="1" xml:space="preserve"> ProjectCashflows!Z$181</f>
        <v>12</v>
      </c>
      <c r="AA1049" s="40">
        <f ca="1" xml:space="preserve"> ProjectCashflows!AA$181</f>
        <v>13</v>
      </c>
      <c r="AB1049" s="40">
        <f ca="1" xml:space="preserve"> ProjectCashflows!AB$181</f>
        <v>14</v>
      </c>
      <c r="AC1049" s="40">
        <f ca="1" xml:space="preserve"> ProjectCashflows!AC$181</f>
        <v>15</v>
      </c>
      <c r="AD1049" s="40">
        <f ca="1" xml:space="preserve"> ProjectCashflows!AD$181</f>
        <v>16</v>
      </c>
      <c r="AE1049" s="40">
        <f ca="1" xml:space="preserve"> ProjectCashflows!AE$181</f>
        <v>17</v>
      </c>
      <c r="AF1049" s="40">
        <f ca="1" xml:space="preserve"> ProjectCashflows!AF$181</f>
        <v>18</v>
      </c>
      <c r="AG1049" s="40">
        <f ca="1" xml:space="preserve"> ProjectCashflows!AG$181</f>
        <v>19</v>
      </c>
      <c r="AH1049" s="40">
        <f ca="1" xml:space="preserve"> ProjectCashflows!AH$181</f>
        <v>20</v>
      </c>
      <c r="AI1049" s="40">
        <f ca="1" xml:space="preserve"> ProjectCashflows!AI$181</f>
        <v>21</v>
      </c>
      <c r="AJ1049" s="40">
        <f ca="1" xml:space="preserve"> ProjectCashflows!AJ$181</f>
        <v>22</v>
      </c>
      <c r="AK1049" s="40">
        <f ca="1" xml:space="preserve"> ProjectCashflows!AK$181</f>
        <v>23</v>
      </c>
      <c r="AL1049" s="40">
        <f ca="1" xml:space="preserve"> ProjectCashflows!AL$181</f>
        <v>24</v>
      </c>
      <c r="AM1049" s="40">
        <f ca="1" xml:space="preserve"> ProjectCashflows!AM$181</f>
        <v>25</v>
      </c>
      <c r="AN1049" s="40">
        <f ca="1" xml:space="preserve"> ProjectCashflows!AN$181</f>
        <v>26</v>
      </c>
      <c r="AO1049" s="40">
        <f ca="1" xml:space="preserve"> ProjectCashflows!AO$181</f>
        <v>27</v>
      </c>
      <c r="AP1049" s="40">
        <f ca="1" xml:space="preserve"> ProjectCashflows!AP$181</f>
        <v>0</v>
      </c>
      <c r="AQ1049" s="40">
        <f ca="1" xml:space="preserve"> ProjectCashflows!AQ$181</f>
        <v>0</v>
      </c>
      <c r="AR1049" s="40">
        <f ca="1" xml:space="preserve"> ProjectCashflows!AR$181</f>
        <v>0</v>
      </c>
      <c r="AS1049" s="40">
        <f ca="1" xml:space="preserve"> ProjectCashflows!AS$181</f>
        <v>0</v>
      </c>
      <c r="AT1049" s="40">
        <f ca="1" xml:space="preserve"> ProjectCashflows!AT$181</f>
        <v>0</v>
      </c>
      <c r="AU1049" s="40">
        <f ca="1" xml:space="preserve"> ProjectCashflows!AU$181</f>
        <v>0</v>
      </c>
      <c r="AV1049" s="40">
        <f ca="1" xml:space="preserve"> ProjectCashflows!AV$181</f>
        <v>0</v>
      </c>
      <c r="AW1049" s="40">
        <f ca="1" xml:space="preserve"> ProjectCashflows!AW$181</f>
        <v>0</v>
      </c>
      <c r="AX1049" s="40">
        <f ca="1" xml:space="preserve"> ProjectCashflows!AX$181</f>
        <v>0</v>
      </c>
    </row>
    <row r="1050" spans="1:50" s="412" customFormat="1" ht="15" customHeight="1" x14ac:dyDescent="0.25">
      <c r="A1050" s="398"/>
      <c r="B1050" s="675"/>
      <c r="C1050" s="625"/>
      <c r="D1050" s="410"/>
      <c r="E1050" s="407" t="str">
        <f xml:space="preserve"> E$82</f>
        <v>Carried interest: financing by IOC till prod. year</v>
      </c>
      <c r="F1050" s="404">
        <f xml:space="preserve"> F$82</f>
        <v>2</v>
      </c>
      <c r="G1050" s="407" t="str">
        <f xml:space="preserve"> G$82</f>
        <v>Year</v>
      </c>
      <c r="H1050" s="40"/>
      <c r="I1050" s="40"/>
      <c r="J1050" s="40"/>
      <c r="K1050" s="40"/>
      <c r="L1050" s="40"/>
      <c r="M1050" s="40"/>
      <c r="N1050" s="40"/>
      <c r="O1050" s="40"/>
      <c r="P1050" s="40"/>
      <c r="Q1050" s="40"/>
      <c r="R1050" s="40"/>
      <c r="S1050" s="40"/>
      <c r="T1050" s="40"/>
      <c r="U1050" s="40"/>
      <c r="V1050" s="40"/>
      <c r="W1050" s="40"/>
      <c r="X1050" s="40"/>
      <c r="Y1050" s="40"/>
      <c r="Z1050" s="40"/>
      <c r="AA1050" s="40"/>
      <c r="AB1050" s="40"/>
      <c r="AC1050" s="40"/>
      <c r="AD1050" s="40"/>
      <c r="AE1050" s="40"/>
      <c r="AF1050" s="40"/>
      <c r="AG1050" s="40"/>
      <c r="AH1050" s="40"/>
      <c r="AI1050" s="40"/>
      <c r="AJ1050" s="40"/>
      <c r="AK1050" s="40"/>
      <c r="AL1050" s="40"/>
      <c r="AM1050" s="40"/>
      <c r="AN1050" s="40"/>
      <c r="AO1050" s="40"/>
      <c r="AP1050" s="40"/>
      <c r="AQ1050" s="40"/>
      <c r="AR1050" s="40"/>
      <c r="AS1050" s="40"/>
      <c r="AT1050" s="40"/>
      <c r="AU1050" s="40"/>
      <c r="AV1050" s="40"/>
      <c r="AW1050" s="40"/>
      <c r="AX1050" s="40"/>
    </row>
    <row r="1051" spans="1:50" s="40" customFormat="1" ht="15" customHeight="1" x14ac:dyDescent="0.25">
      <c r="A1051" s="222"/>
      <c r="B1051" s="675"/>
      <c r="C1051" s="634"/>
      <c r="D1051" s="540"/>
      <c r="E1051" s="222" t="str">
        <f xml:space="preserve"> ProjectCashflows!E$177</f>
        <v>Project activity (excl. decommissioning)</v>
      </c>
      <c r="F1051" s="222">
        <f xml:space="preserve"> ProjectCashflows!F$177</f>
        <v>0</v>
      </c>
      <c r="G1051" s="222" t="str">
        <f xml:space="preserve"> ProjectCashflows!G$177</f>
        <v>Flag</v>
      </c>
      <c r="H1051" s="222">
        <f xml:space="preserve"> ProjectCashflows!H$177</f>
        <v>0</v>
      </c>
      <c r="I1051" s="222">
        <f ca="1" xml:space="preserve"> ProjectCashflows!I$177</f>
        <v>31</v>
      </c>
      <c r="J1051" s="222">
        <f xml:space="preserve"> ProjectCashflows!J$177</f>
        <v>0</v>
      </c>
      <c r="K1051" s="222">
        <f ca="1" xml:space="preserve"> ProjectCashflows!K$177</f>
        <v>1</v>
      </c>
      <c r="L1051" s="222">
        <f ca="1" xml:space="preserve"> ProjectCashflows!L$177</f>
        <v>1</v>
      </c>
      <c r="M1051" s="222">
        <f ca="1" xml:space="preserve"> ProjectCashflows!M$177</f>
        <v>1</v>
      </c>
      <c r="N1051" s="222">
        <f ca="1" xml:space="preserve"> ProjectCashflows!N$177</f>
        <v>1</v>
      </c>
      <c r="O1051" s="222">
        <f ca="1" xml:space="preserve"> ProjectCashflows!O$177</f>
        <v>1</v>
      </c>
      <c r="P1051" s="222">
        <f ca="1" xml:space="preserve"> ProjectCashflows!P$177</f>
        <v>1</v>
      </c>
      <c r="Q1051" s="222">
        <f ca="1" xml:space="preserve"> ProjectCashflows!Q$177</f>
        <v>1</v>
      </c>
      <c r="R1051" s="222">
        <f ca="1" xml:space="preserve"> ProjectCashflows!R$177</f>
        <v>1</v>
      </c>
      <c r="S1051" s="222">
        <f ca="1" xml:space="preserve"> ProjectCashflows!S$177</f>
        <v>1</v>
      </c>
      <c r="T1051" s="222">
        <f ca="1" xml:space="preserve"> ProjectCashflows!T$177</f>
        <v>1</v>
      </c>
      <c r="U1051" s="222">
        <f ca="1" xml:space="preserve"> ProjectCashflows!U$177</f>
        <v>1</v>
      </c>
      <c r="V1051" s="222">
        <f ca="1" xml:space="preserve"> ProjectCashflows!V$177</f>
        <v>1</v>
      </c>
      <c r="W1051" s="222">
        <f ca="1" xml:space="preserve"> ProjectCashflows!W$177</f>
        <v>1</v>
      </c>
      <c r="X1051" s="222">
        <f ca="1" xml:space="preserve"> ProjectCashflows!X$177</f>
        <v>1</v>
      </c>
      <c r="Y1051" s="222">
        <f ca="1" xml:space="preserve"> ProjectCashflows!Y$177</f>
        <v>1</v>
      </c>
      <c r="Z1051" s="222">
        <f ca="1" xml:space="preserve"> ProjectCashflows!Z$177</f>
        <v>1</v>
      </c>
      <c r="AA1051" s="222">
        <f ca="1" xml:space="preserve"> ProjectCashflows!AA$177</f>
        <v>1</v>
      </c>
      <c r="AB1051" s="222">
        <f ca="1" xml:space="preserve"> ProjectCashflows!AB$177</f>
        <v>1</v>
      </c>
      <c r="AC1051" s="222">
        <f ca="1" xml:space="preserve"> ProjectCashflows!AC$177</f>
        <v>1</v>
      </c>
      <c r="AD1051" s="222">
        <f ca="1" xml:space="preserve"> ProjectCashflows!AD$177</f>
        <v>1</v>
      </c>
      <c r="AE1051" s="222">
        <f ca="1" xml:space="preserve"> ProjectCashflows!AE$177</f>
        <v>1</v>
      </c>
      <c r="AF1051" s="222">
        <f ca="1" xml:space="preserve"> ProjectCashflows!AF$177</f>
        <v>1</v>
      </c>
      <c r="AG1051" s="222">
        <f ca="1" xml:space="preserve"> ProjectCashflows!AG$177</f>
        <v>1</v>
      </c>
      <c r="AH1051" s="222">
        <f ca="1" xml:space="preserve"> ProjectCashflows!AH$177</f>
        <v>1</v>
      </c>
      <c r="AI1051" s="222">
        <f ca="1" xml:space="preserve"> ProjectCashflows!AI$177</f>
        <v>1</v>
      </c>
      <c r="AJ1051" s="222">
        <f ca="1" xml:space="preserve"> ProjectCashflows!AJ$177</f>
        <v>1</v>
      </c>
      <c r="AK1051" s="222">
        <f ca="1" xml:space="preserve"> ProjectCashflows!AK$177</f>
        <v>1</v>
      </c>
      <c r="AL1051" s="222">
        <f ca="1" xml:space="preserve"> ProjectCashflows!AL$177</f>
        <v>1</v>
      </c>
      <c r="AM1051" s="222">
        <f ca="1" xml:space="preserve"> ProjectCashflows!AM$177</f>
        <v>1</v>
      </c>
      <c r="AN1051" s="222">
        <f ca="1" xml:space="preserve"> ProjectCashflows!AN$177</f>
        <v>1</v>
      </c>
      <c r="AO1051" s="222">
        <f ca="1" xml:space="preserve"> ProjectCashflows!AO$177</f>
        <v>1</v>
      </c>
      <c r="AP1051" s="222">
        <f ca="1" xml:space="preserve"> ProjectCashflows!AP$177</f>
        <v>0</v>
      </c>
      <c r="AQ1051" s="222">
        <f ca="1" xml:space="preserve"> ProjectCashflows!AQ$177</f>
        <v>0</v>
      </c>
      <c r="AR1051" s="222">
        <f ca="1" xml:space="preserve"> ProjectCashflows!AR$177</f>
        <v>0</v>
      </c>
      <c r="AS1051" s="222">
        <f ca="1" xml:space="preserve"> ProjectCashflows!AS$177</f>
        <v>0</v>
      </c>
      <c r="AT1051" s="222">
        <f ca="1" xml:space="preserve"> ProjectCashflows!AT$177</f>
        <v>0</v>
      </c>
      <c r="AU1051" s="222">
        <f ca="1" xml:space="preserve"> ProjectCashflows!AU$177</f>
        <v>0</v>
      </c>
      <c r="AV1051" s="222">
        <f ca="1" xml:space="preserve"> ProjectCashflows!AV$177</f>
        <v>0</v>
      </c>
      <c r="AW1051" s="222">
        <f ca="1" xml:space="preserve"> ProjectCashflows!AW$177</f>
        <v>0</v>
      </c>
      <c r="AX1051" s="222">
        <f ca="1" xml:space="preserve"> ProjectCashflows!AX$177</f>
        <v>0</v>
      </c>
    </row>
    <row r="1052" spans="1:50" s="412" customFormat="1" ht="15" customHeight="1" x14ac:dyDescent="0.25">
      <c r="A1052" s="398"/>
      <c r="B1052" s="675"/>
      <c r="C1052" s="625"/>
      <c r="D1052" s="410"/>
      <c r="E1052" s="412" t="str">
        <f xml:space="preserve"> Translate!E$381</f>
        <v>Carried interest financing available</v>
      </c>
      <c r="F1052" s="591"/>
      <c r="G1052" s="412" t="str">
        <f>Translate!$E$405</f>
        <v>Flag</v>
      </c>
      <c r="I1052" s="412">
        <f ca="1" xml:space="preserve"> SUM(K1052:AX1052)</f>
        <v>6</v>
      </c>
      <c r="K1052" s="412">
        <f t="shared" ref="K1052:AX1052" ca="1" si="360" xml:space="preserve"> (K1049 &lt;= $F1050) * K1051 * 1</f>
        <v>1</v>
      </c>
      <c r="L1052" s="412">
        <f t="shared" ca="1" si="360"/>
        <v>1</v>
      </c>
      <c r="M1052" s="412">
        <f t="shared" ca="1" si="360"/>
        <v>1</v>
      </c>
      <c r="N1052" s="412">
        <f t="shared" ca="1" si="360"/>
        <v>1</v>
      </c>
      <c r="O1052" s="412">
        <f t="shared" ca="1" si="360"/>
        <v>1</v>
      </c>
      <c r="P1052" s="412">
        <f t="shared" ca="1" si="360"/>
        <v>1</v>
      </c>
      <c r="Q1052" s="412">
        <f t="shared" ca="1" si="360"/>
        <v>0</v>
      </c>
      <c r="R1052" s="412">
        <f t="shared" ca="1" si="360"/>
        <v>0</v>
      </c>
      <c r="S1052" s="412">
        <f t="shared" ca="1" si="360"/>
        <v>0</v>
      </c>
      <c r="T1052" s="412">
        <f t="shared" ca="1" si="360"/>
        <v>0</v>
      </c>
      <c r="U1052" s="412">
        <f t="shared" ca="1" si="360"/>
        <v>0</v>
      </c>
      <c r="V1052" s="412">
        <f t="shared" ca="1" si="360"/>
        <v>0</v>
      </c>
      <c r="W1052" s="412">
        <f t="shared" ca="1" si="360"/>
        <v>0</v>
      </c>
      <c r="X1052" s="412">
        <f t="shared" ca="1" si="360"/>
        <v>0</v>
      </c>
      <c r="Y1052" s="412">
        <f t="shared" ca="1" si="360"/>
        <v>0</v>
      </c>
      <c r="Z1052" s="412">
        <f t="shared" ca="1" si="360"/>
        <v>0</v>
      </c>
      <c r="AA1052" s="412">
        <f t="shared" ca="1" si="360"/>
        <v>0</v>
      </c>
      <c r="AB1052" s="412">
        <f t="shared" ca="1" si="360"/>
        <v>0</v>
      </c>
      <c r="AC1052" s="412">
        <f t="shared" ca="1" si="360"/>
        <v>0</v>
      </c>
      <c r="AD1052" s="412">
        <f t="shared" ca="1" si="360"/>
        <v>0</v>
      </c>
      <c r="AE1052" s="412">
        <f t="shared" ca="1" si="360"/>
        <v>0</v>
      </c>
      <c r="AF1052" s="412">
        <f t="shared" ca="1" si="360"/>
        <v>0</v>
      </c>
      <c r="AG1052" s="412">
        <f t="shared" ca="1" si="360"/>
        <v>0</v>
      </c>
      <c r="AH1052" s="412">
        <f t="shared" ca="1" si="360"/>
        <v>0</v>
      </c>
      <c r="AI1052" s="412">
        <f t="shared" ca="1" si="360"/>
        <v>0</v>
      </c>
      <c r="AJ1052" s="412">
        <f t="shared" ca="1" si="360"/>
        <v>0</v>
      </c>
      <c r="AK1052" s="412">
        <f t="shared" ca="1" si="360"/>
        <v>0</v>
      </c>
      <c r="AL1052" s="412">
        <f t="shared" ca="1" si="360"/>
        <v>0</v>
      </c>
      <c r="AM1052" s="412">
        <f t="shared" ca="1" si="360"/>
        <v>0</v>
      </c>
      <c r="AN1052" s="412">
        <f t="shared" ca="1" si="360"/>
        <v>0</v>
      </c>
      <c r="AO1052" s="412">
        <f t="shared" ca="1" si="360"/>
        <v>0</v>
      </c>
      <c r="AP1052" s="412">
        <f t="shared" ca="1" si="360"/>
        <v>0</v>
      </c>
      <c r="AQ1052" s="412">
        <f t="shared" ca="1" si="360"/>
        <v>0</v>
      </c>
      <c r="AR1052" s="412">
        <f t="shared" ca="1" si="360"/>
        <v>0</v>
      </c>
      <c r="AS1052" s="412">
        <f t="shared" ca="1" si="360"/>
        <v>0</v>
      </c>
      <c r="AT1052" s="412">
        <f t="shared" ca="1" si="360"/>
        <v>0</v>
      </c>
      <c r="AU1052" s="412">
        <f t="shared" ca="1" si="360"/>
        <v>0</v>
      </c>
      <c r="AV1052" s="412">
        <f t="shared" ca="1" si="360"/>
        <v>0</v>
      </c>
      <c r="AW1052" s="412">
        <f t="shared" ca="1" si="360"/>
        <v>0</v>
      </c>
      <c r="AX1052" s="412">
        <f t="shared" ca="1" si="360"/>
        <v>0</v>
      </c>
    </row>
    <row r="1053" spans="1:50" s="412" customFormat="1" ht="15" customHeight="1" x14ac:dyDescent="0.25">
      <c r="A1053" s="398"/>
      <c r="B1053" s="675"/>
      <c r="C1053" s="625"/>
      <c r="D1053" s="410"/>
      <c r="F1053" s="591"/>
      <c r="H1053" s="411"/>
      <c r="I1053" s="411"/>
      <c r="J1053" s="411"/>
      <c r="K1053" s="411"/>
      <c r="L1053" s="411"/>
      <c r="M1053" s="411"/>
      <c r="N1053" s="411"/>
      <c r="O1053" s="411"/>
      <c r="P1053" s="411"/>
      <c r="Q1053" s="411"/>
      <c r="R1053" s="411"/>
      <c r="S1053" s="411"/>
      <c r="T1053" s="411"/>
      <c r="U1053" s="411"/>
      <c r="V1053" s="411"/>
      <c r="W1053" s="411"/>
      <c r="X1053" s="411"/>
      <c r="Y1053" s="411"/>
      <c r="Z1053" s="411"/>
      <c r="AA1053" s="411"/>
      <c r="AB1053" s="411"/>
      <c r="AC1053" s="411"/>
      <c r="AD1053" s="411"/>
      <c r="AE1053" s="411"/>
      <c r="AF1053" s="411"/>
      <c r="AG1053" s="411"/>
      <c r="AH1053" s="411"/>
      <c r="AI1053" s="411"/>
      <c r="AJ1053" s="411"/>
      <c r="AK1053" s="411"/>
      <c r="AL1053" s="411"/>
      <c r="AM1053" s="411"/>
      <c r="AN1053" s="411"/>
      <c r="AO1053" s="411"/>
      <c r="AP1053" s="411"/>
      <c r="AQ1053" s="411"/>
      <c r="AR1053" s="411"/>
      <c r="AS1053" s="411"/>
      <c r="AT1053" s="411"/>
      <c r="AU1053" s="411"/>
      <c r="AV1053" s="411"/>
      <c r="AW1053" s="411"/>
      <c r="AX1053" s="411"/>
    </row>
    <row r="1054" spans="1:50" s="412" customFormat="1" ht="15" customHeight="1" x14ac:dyDescent="0.25">
      <c r="A1054" s="398"/>
      <c r="B1054" s="675"/>
      <c r="C1054" s="625" t="str">
        <f>Translate!$E$513</f>
        <v xml:space="preserve">Drawdowns </v>
      </c>
      <c r="D1054" s="410"/>
      <c r="E1054" s="411"/>
      <c r="F1054" s="506"/>
      <c r="G1054" s="411"/>
      <c r="H1054" s="411"/>
      <c r="I1054" s="411"/>
      <c r="J1054" s="411"/>
      <c r="K1054" s="411"/>
      <c r="L1054" s="411"/>
      <c r="M1054" s="411"/>
      <c r="N1054" s="411"/>
      <c r="O1054" s="411"/>
      <c r="P1054" s="411"/>
      <c r="Q1054" s="411"/>
      <c r="R1054" s="411"/>
      <c r="S1054" s="411"/>
      <c r="T1054" s="411"/>
      <c r="U1054" s="411"/>
      <c r="V1054" s="411"/>
      <c r="W1054" s="411"/>
      <c r="X1054" s="411"/>
      <c r="Y1054" s="411"/>
      <c r="Z1054" s="411"/>
      <c r="AA1054" s="411"/>
      <c r="AB1054" s="411"/>
      <c r="AC1054" s="411"/>
      <c r="AD1054" s="411"/>
      <c r="AE1054" s="411"/>
      <c r="AF1054" s="411"/>
      <c r="AG1054" s="411"/>
      <c r="AH1054" s="411"/>
      <c r="AI1054" s="411"/>
      <c r="AJ1054" s="411"/>
      <c r="AK1054" s="411"/>
      <c r="AL1054" s="411"/>
      <c r="AM1054" s="411"/>
      <c r="AN1054" s="411"/>
      <c r="AO1054" s="411"/>
      <c r="AP1054" s="411"/>
      <c r="AQ1054" s="411"/>
      <c r="AR1054" s="411"/>
      <c r="AS1054" s="411"/>
      <c r="AT1054" s="411"/>
      <c r="AU1054" s="411"/>
      <c r="AV1054" s="411"/>
      <c r="AW1054" s="411"/>
      <c r="AX1054" s="411"/>
    </row>
    <row r="1055" spans="1:50" s="412" customFormat="1" ht="15" customHeight="1" x14ac:dyDescent="0.25">
      <c r="A1055" s="398"/>
      <c r="B1055" s="675"/>
      <c r="C1055" s="625"/>
      <c r="D1055" s="410"/>
      <c r="E1055" s="398" t="str">
        <f t="shared" ref="E1055:AX1055" si="361" xml:space="preserve"> E$1045</f>
        <v>SOC net cash flow before tax</v>
      </c>
      <c r="F1055" s="506">
        <f t="shared" si="361"/>
        <v>0</v>
      </c>
      <c r="G1055" s="398" t="str">
        <f t="shared" si="361"/>
        <v>US$ mn</v>
      </c>
      <c r="H1055" s="398">
        <f t="shared" si="361"/>
        <v>0</v>
      </c>
      <c r="I1055" s="398">
        <f t="shared" ca="1" si="361"/>
        <v>5117.3670540243475</v>
      </c>
      <c r="J1055" s="398">
        <f t="shared" si="361"/>
        <v>0</v>
      </c>
      <c r="K1055" s="398">
        <f t="shared" ca="1" si="361"/>
        <v>0</v>
      </c>
      <c r="L1055" s="398">
        <f t="shared" ca="1" si="361"/>
        <v>-3.0600000000000014</v>
      </c>
      <c r="M1055" s="398">
        <f t="shared" ca="1" si="361"/>
        <v>-18.727200000000011</v>
      </c>
      <c r="N1055" s="398">
        <f t="shared" ca="1" si="361"/>
        <v>-76.406976000000014</v>
      </c>
      <c r="O1055" s="398">
        <f t="shared" ca="1" si="361"/>
        <v>-56.444935368987615</v>
      </c>
      <c r="P1055" s="398">
        <f t="shared" ca="1" si="361"/>
        <v>80.209533372480053</v>
      </c>
      <c r="Q1055" s="398">
        <f t="shared" ca="1" si="361"/>
        <v>103.29000040338926</v>
      </c>
      <c r="R1055" s="398">
        <f t="shared" ca="1" si="361"/>
        <v>261.34863419946885</v>
      </c>
      <c r="S1055" s="398">
        <f t="shared" ca="1" si="361"/>
        <v>320.02559672734554</v>
      </c>
      <c r="T1055" s="398">
        <f t="shared" ca="1" si="361"/>
        <v>332.92964087588007</v>
      </c>
      <c r="U1055" s="398">
        <f t="shared" ca="1" si="361"/>
        <v>346.01168351757656</v>
      </c>
      <c r="V1055" s="398">
        <f t="shared" ca="1" si="361"/>
        <v>359.27528462229827</v>
      </c>
      <c r="W1055" s="398">
        <f t="shared" ca="1" si="361"/>
        <v>359.97538076622828</v>
      </c>
      <c r="X1055" s="398">
        <f t="shared" ca="1" si="361"/>
        <v>373.61306492816686</v>
      </c>
      <c r="Y1055" s="398">
        <f t="shared" ca="1" si="361"/>
        <v>387.44342038353534</v>
      </c>
      <c r="Z1055" s="398">
        <f t="shared" ca="1" si="361"/>
        <v>401.47030055820244</v>
      </c>
      <c r="AA1055" s="398">
        <f t="shared" ca="1" si="361"/>
        <v>371.78581114493267</v>
      </c>
      <c r="AB1055" s="398">
        <f t="shared" ca="1" si="361"/>
        <v>348.01025399118669</v>
      </c>
      <c r="AC1055" s="398">
        <f t="shared" ca="1" si="361"/>
        <v>302.76742287502299</v>
      </c>
      <c r="AD1055" s="398">
        <f t="shared" ca="1" si="361"/>
        <v>184.38692441759952</v>
      </c>
      <c r="AE1055" s="398">
        <f t="shared" ca="1" si="361"/>
        <v>136.96637236979458</v>
      </c>
      <c r="AF1055" s="398">
        <f t="shared" ca="1" si="361"/>
        <v>155.94822230456782</v>
      </c>
      <c r="AG1055" s="398">
        <f t="shared" ca="1" si="361"/>
        <v>123.57207346535795</v>
      </c>
      <c r="AH1055" s="398">
        <f t="shared" ca="1" si="361"/>
        <v>95.515367494579522</v>
      </c>
      <c r="AI1055" s="398">
        <f t="shared" ca="1" si="361"/>
        <v>72.542493063200425</v>
      </c>
      <c r="AJ1055" s="398">
        <f t="shared" ca="1" si="361"/>
        <v>53.782185174209324</v>
      </c>
      <c r="AK1055" s="398">
        <f t="shared" ca="1" si="361"/>
        <v>38.5145851717879</v>
      </c>
      <c r="AL1055" s="398">
        <f t="shared" ca="1" si="361"/>
        <v>26.145002066181853</v>
      </c>
      <c r="AM1055" s="398">
        <f t="shared" ca="1" si="361"/>
        <v>20.760955418311376</v>
      </c>
      <c r="AN1055" s="398">
        <f t="shared" ca="1" si="361"/>
        <v>11.023464796666303</v>
      </c>
      <c r="AO1055" s="398">
        <f t="shared" ca="1" si="361"/>
        <v>4.6924912853637437</v>
      </c>
      <c r="AP1055" s="398">
        <f t="shared" ca="1" si="361"/>
        <v>0</v>
      </c>
      <c r="AQ1055" s="398">
        <f t="shared" ca="1" si="361"/>
        <v>0</v>
      </c>
      <c r="AR1055" s="398">
        <f t="shared" ca="1" si="361"/>
        <v>0</v>
      </c>
      <c r="AS1055" s="398">
        <f t="shared" ca="1" si="361"/>
        <v>0</v>
      </c>
      <c r="AT1055" s="398">
        <f t="shared" ca="1" si="361"/>
        <v>0</v>
      </c>
      <c r="AU1055" s="398">
        <f t="shared" ca="1" si="361"/>
        <v>0</v>
      </c>
      <c r="AV1055" s="398">
        <f t="shared" ca="1" si="361"/>
        <v>0</v>
      </c>
      <c r="AW1055" s="398">
        <f t="shared" ca="1" si="361"/>
        <v>0</v>
      </c>
      <c r="AX1055" s="398">
        <f t="shared" ca="1" si="361"/>
        <v>0</v>
      </c>
    </row>
    <row r="1056" spans="1:50" s="412" customFormat="1" ht="15" customHeight="1" x14ac:dyDescent="0.25">
      <c r="A1056" s="398"/>
      <c r="B1056" s="675"/>
      <c r="C1056" s="625"/>
      <c r="D1056" s="410"/>
      <c r="E1056" s="398" t="str">
        <f xml:space="preserve"> Translate!E$382</f>
        <v>Negative SOC cashflows during financing period</v>
      </c>
      <c r="F1056" s="506"/>
      <c r="G1056" s="398" t="str">
        <f xml:space="preserve"> Translate!E$603</f>
        <v>US$ mn</v>
      </c>
      <c r="H1056" s="398"/>
      <c r="I1056" s="398">
        <f ca="1" xml:space="preserve"> SUM(K1056:AX1056)</f>
        <v>-154.63911136898764</v>
      </c>
      <c r="J1056" s="398"/>
      <c r="K1056" s="398">
        <f t="shared" ref="K1056:AX1056" ca="1" si="362" xml:space="preserve"> (K1055 &lt; 0) * K1055 * K1052</f>
        <v>0</v>
      </c>
      <c r="L1056" s="398">
        <f t="shared" ca="1" si="362"/>
        <v>-3.0600000000000014</v>
      </c>
      <c r="M1056" s="398">
        <f t="shared" ca="1" si="362"/>
        <v>-18.727200000000011</v>
      </c>
      <c r="N1056" s="398">
        <f t="shared" ca="1" si="362"/>
        <v>-76.406976000000014</v>
      </c>
      <c r="O1056" s="398">
        <f t="shared" ca="1" si="362"/>
        <v>-56.444935368987615</v>
      </c>
      <c r="P1056" s="398">
        <f t="shared" ca="1" si="362"/>
        <v>0</v>
      </c>
      <c r="Q1056" s="398">
        <f t="shared" ca="1" si="362"/>
        <v>0</v>
      </c>
      <c r="R1056" s="398">
        <f t="shared" ca="1" si="362"/>
        <v>0</v>
      </c>
      <c r="S1056" s="398">
        <f t="shared" ca="1" si="362"/>
        <v>0</v>
      </c>
      <c r="T1056" s="398">
        <f t="shared" ca="1" si="362"/>
        <v>0</v>
      </c>
      <c r="U1056" s="398">
        <f t="shared" ca="1" si="362"/>
        <v>0</v>
      </c>
      <c r="V1056" s="398">
        <f t="shared" ca="1" si="362"/>
        <v>0</v>
      </c>
      <c r="W1056" s="398">
        <f t="shared" ca="1" si="362"/>
        <v>0</v>
      </c>
      <c r="X1056" s="398">
        <f t="shared" ca="1" si="362"/>
        <v>0</v>
      </c>
      <c r="Y1056" s="398">
        <f t="shared" ca="1" si="362"/>
        <v>0</v>
      </c>
      <c r="Z1056" s="398">
        <f t="shared" ca="1" si="362"/>
        <v>0</v>
      </c>
      <c r="AA1056" s="398">
        <f t="shared" ca="1" si="362"/>
        <v>0</v>
      </c>
      <c r="AB1056" s="398">
        <f t="shared" ca="1" si="362"/>
        <v>0</v>
      </c>
      <c r="AC1056" s="398">
        <f t="shared" ca="1" si="362"/>
        <v>0</v>
      </c>
      <c r="AD1056" s="398">
        <f t="shared" ca="1" si="362"/>
        <v>0</v>
      </c>
      <c r="AE1056" s="398">
        <f t="shared" ca="1" si="362"/>
        <v>0</v>
      </c>
      <c r="AF1056" s="398">
        <f t="shared" ca="1" si="362"/>
        <v>0</v>
      </c>
      <c r="AG1056" s="398">
        <f t="shared" ca="1" si="362"/>
        <v>0</v>
      </c>
      <c r="AH1056" s="398">
        <f t="shared" ca="1" si="362"/>
        <v>0</v>
      </c>
      <c r="AI1056" s="398">
        <f t="shared" ca="1" si="362"/>
        <v>0</v>
      </c>
      <c r="AJ1056" s="398">
        <f t="shared" ca="1" si="362"/>
        <v>0</v>
      </c>
      <c r="AK1056" s="398">
        <f t="shared" ca="1" si="362"/>
        <v>0</v>
      </c>
      <c r="AL1056" s="398">
        <f t="shared" ca="1" si="362"/>
        <v>0</v>
      </c>
      <c r="AM1056" s="398">
        <f t="shared" ca="1" si="362"/>
        <v>0</v>
      </c>
      <c r="AN1056" s="398">
        <f t="shared" ca="1" si="362"/>
        <v>0</v>
      </c>
      <c r="AO1056" s="398">
        <f t="shared" ca="1" si="362"/>
        <v>0</v>
      </c>
      <c r="AP1056" s="398">
        <f t="shared" ca="1" si="362"/>
        <v>0</v>
      </c>
      <c r="AQ1056" s="398">
        <f t="shared" ca="1" si="362"/>
        <v>0</v>
      </c>
      <c r="AR1056" s="398">
        <f t="shared" ca="1" si="362"/>
        <v>0</v>
      </c>
      <c r="AS1056" s="398">
        <f t="shared" ca="1" si="362"/>
        <v>0</v>
      </c>
      <c r="AT1056" s="398">
        <f t="shared" ca="1" si="362"/>
        <v>0</v>
      </c>
      <c r="AU1056" s="398">
        <f t="shared" ca="1" si="362"/>
        <v>0</v>
      </c>
      <c r="AV1056" s="398">
        <f t="shared" ca="1" si="362"/>
        <v>0</v>
      </c>
      <c r="AW1056" s="398">
        <f t="shared" ca="1" si="362"/>
        <v>0</v>
      </c>
      <c r="AX1056" s="398">
        <f t="shared" ca="1" si="362"/>
        <v>0</v>
      </c>
    </row>
    <row r="1057" spans="1:50" s="412" customFormat="1" ht="15" customHeight="1" x14ac:dyDescent="0.25">
      <c r="A1057" s="398"/>
      <c r="B1057" s="675"/>
      <c r="C1057" s="625"/>
      <c r="D1057" s="410"/>
      <c r="E1057" s="407" t="str">
        <f xml:space="preserve"> E$81</f>
        <v>Carried interest: Proportion of SOC negative cashflows financed by IOC</v>
      </c>
      <c r="F1057" s="592">
        <f xml:space="preserve"> F$81</f>
        <v>1</v>
      </c>
      <c r="G1057" s="407" t="str">
        <f xml:space="preserve"> G$81</f>
        <v>%</v>
      </c>
      <c r="H1057" s="398"/>
      <c r="I1057" s="398"/>
      <c r="J1057" s="398"/>
      <c r="K1057" s="398"/>
      <c r="L1057" s="398"/>
      <c r="M1057" s="398"/>
      <c r="N1057" s="398"/>
      <c r="O1057" s="398"/>
      <c r="P1057" s="398"/>
      <c r="Q1057" s="398"/>
      <c r="R1057" s="398"/>
      <c r="S1057" s="398"/>
      <c r="T1057" s="398"/>
      <c r="U1057" s="398"/>
      <c r="V1057" s="398"/>
      <c r="W1057" s="398"/>
      <c r="X1057" s="398"/>
      <c r="Y1057" s="398"/>
      <c r="Z1057" s="398"/>
      <c r="AA1057" s="398"/>
      <c r="AB1057" s="398"/>
      <c r="AC1057" s="398"/>
      <c r="AD1057" s="398"/>
      <c r="AE1057" s="398"/>
      <c r="AF1057" s="398"/>
      <c r="AG1057" s="398"/>
      <c r="AH1057" s="398"/>
      <c r="AI1057" s="398"/>
      <c r="AJ1057" s="398"/>
      <c r="AK1057" s="398"/>
      <c r="AL1057" s="398"/>
      <c r="AM1057" s="398"/>
      <c r="AN1057" s="398"/>
      <c r="AO1057" s="398"/>
      <c r="AP1057" s="398"/>
      <c r="AQ1057" s="398"/>
      <c r="AR1057" s="398"/>
      <c r="AS1057" s="398"/>
      <c r="AT1057" s="398"/>
      <c r="AU1057" s="398"/>
      <c r="AV1057" s="398"/>
      <c r="AW1057" s="398"/>
      <c r="AX1057" s="398"/>
    </row>
    <row r="1058" spans="1:50" s="412" customFormat="1" ht="15" customHeight="1" x14ac:dyDescent="0.25">
      <c r="A1058" s="398"/>
      <c r="B1058" s="675"/>
      <c r="C1058" s="625"/>
      <c r="D1058" s="410"/>
      <c r="E1058" s="398" t="str">
        <f xml:space="preserve"> Translate!E$383</f>
        <v>Carried interest loan: drawdowns (mid period)</v>
      </c>
      <c r="F1058" s="506"/>
      <c r="G1058" s="398" t="str">
        <f xml:space="preserve"> Translate!E$603</f>
        <v>US$ mn</v>
      </c>
      <c r="H1058" s="398"/>
      <c r="I1058" s="398">
        <f ca="1" xml:space="preserve"> SUM(K1058:AX1058)</f>
        <v>-154.63911136898764</v>
      </c>
      <c r="J1058" s="398"/>
      <c r="K1058" s="398">
        <f t="shared" ref="K1058:AX1058" ca="1" si="363" xml:space="preserve"> K1056 * $F1057</f>
        <v>0</v>
      </c>
      <c r="L1058" s="398">
        <f t="shared" ca="1" si="363"/>
        <v>-3.0600000000000014</v>
      </c>
      <c r="M1058" s="398">
        <f t="shared" ca="1" si="363"/>
        <v>-18.727200000000011</v>
      </c>
      <c r="N1058" s="398">
        <f t="shared" ca="1" si="363"/>
        <v>-76.406976000000014</v>
      </c>
      <c r="O1058" s="398">
        <f t="shared" ca="1" si="363"/>
        <v>-56.444935368987615</v>
      </c>
      <c r="P1058" s="398">
        <f t="shared" ca="1" si="363"/>
        <v>0</v>
      </c>
      <c r="Q1058" s="398">
        <f t="shared" ca="1" si="363"/>
        <v>0</v>
      </c>
      <c r="R1058" s="398">
        <f t="shared" ca="1" si="363"/>
        <v>0</v>
      </c>
      <c r="S1058" s="398">
        <f t="shared" ca="1" si="363"/>
        <v>0</v>
      </c>
      <c r="T1058" s="398">
        <f t="shared" ca="1" si="363"/>
        <v>0</v>
      </c>
      <c r="U1058" s="398">
        <f t="shared" ca="1" si="363"/>
        <v>0</v>
      </c>
      <c r="V1058" s="398">
        <f t="shared" ca="1" si="363"/>
        <v>0</v>
      </c>
      <c r="W1058" s="398">
        <f t="shared" ca="1" si="363"/>
        <v>0</v>
      </c>
      <c r="X1058" s="398">
        <f t="shared" ca="1" si="363"/>
        <v>0</v>
      </c>
      <c r="Y1058" s="398">
        <f t="shared" ca="1" si="363"/>
        <v>0</v>
      </c>
      <c r="Z1058" s="398">
        <f t="shared" ca="1" si="363"/>
        <v>0</v>
      </c>
      <c r="AA1058" s="398">
        <f t="shared" ca="1" si="363"/>
        <v>0</v>
      </c>
      <c r="AB1058" s="398">
        <f t="shared" ca="1" si="363"/>
        <v>0</v>
      </c>
      <c r="AC1058" s="398">
        <f t="shared" ca="1" si="363"/>
        <v>0</v>
      </c>
      <c r="AD1058" s="398">
        <f t="shared" ca="1" si="363"/>
        <v>0</v>
      </c>
      <c r="AE1058" s="398">
        <f t="shared" ca="1" si="363"/>
        <v>0</v>
      </c>
      <c r="AF1058" s="398">
        <f t="shared" ca="1" si="363"/>
        <v>0</v>
      </c>
      <c r="AG1058" s="398">
        <f t="shared" ca="1" si="363"/>
        <v>0</v>
      </c>
      <c r="AH1058" s="398">
        <f t="shared" ca="1" si="363"/>
        <v>0</v>
      </c>
      <c r="AI1058" s="398">
        <f t="shared" ca="1" si="363"/>
        <v>0</v>
      </c>
      <c r="AJ1058" s="398">
        <f t="shared" ca="1" si="363"/>
        <v>0</v>
      </c>
      <c r="AK1058" s="398">
        <f t="shared" ca="1" si="363"/>
        <v>0</v>
      </c>
      <c r="AL1058" s="398">
        <f t="shared" ca="1" si="363"/>
        <v>0</v>
      </c>
      <c r="AM1058" s="398">
        <f t="shared" ca="1" si="363"/>
        <v>0</v>
      </c>
      <c r="AN1058" s="398">
        <f t="shared" ca="1" si="363"/>
        <v>0</v>
      </c>
      <c r="AO1058" s="398">
        <f t="shared" ca="1" si="363"/>
        <v>0</v>
      </c>
      <c r="AP1058" s="398">
        <f t="shared" ca="1" si="363"/>
        <v>0</v>
      </c>
      <c r="AQ1058" s="398">
        <f t="shared" ca="1" si="363"/>
        <v>0</v>
      </c>
      <c r="AR1058" s="398">
        <f t="shared" ca="1" si="363"/>
        <v>0</v>
      </c>
      <c r="AS1058" s="398">
        <f t="shared" ca="1" si="363"/>
        <v>0</v>
      </c>
      <c r="AT1058" s="398">
        <f t="shared" ca="1" si="363"/>
        <v>0</v>
      </c>
      <c r="AU1058" s="398">
        <f t="shared" ca="1" si="363"/>
        <v>0</v>
      </c>
      <c r="AV1058" s="398">
        <f t="shared" ca="1" si="363"/>
        <v>0</v>
      </c>
      <c r="AW1058" s="398">
        <f t="shared" ca="1" si="363"/>
        <v>0</v>
      </c>
      <c r="AX1058" s="398">
        <f t="shared" ca="1" si="363"/>
        <v>0</v>
      </c>
    </row>
    <row r="1059" spans="1:50" s="412" customFormat="1" ht="15" customHeight="1" x14ac:dyDescent="0.25">
      <c r="A1059" s="398"/>
      <c r="B1059" s="675"/>
      <c r="C1059" s="625"/>
      <c r="D1059" s="410"/>
      <c r="E1059" s="398" t="str">
        <f xml:space="preserve"> E1058 &amp; " " &amp; Translate!E545</f>
        <v>Carried interest loan: drawdowns (mid period) POS</v>
      </c>
      <c r="F1059" s="506"/>
      <c r="G1059" s="398" t="str">
        <f xml:space="preserve"> Translate!E$603</f>
        <v>US$ mn</v>
      </c>
      <c r="H1059" s="398"/>
      <c r="I1059" s="398">
        <f ca="1" xml:space="preserve"> SUM(K1059:AX1059)</f>
        <v>154.63911136898764</v>
      </c>
      <c r="J1059" s="398"/>
      <c r="K1059" s="398">
        <f t="shared" ref="K1059:AX1059" ca="1" si="364" xml:space="preserve"> K1058 * -1</f>
        <v>0</v>
      </c>
      <c r="L1059" s="398">
        <f t="shared" ca="1" si="364"/>
        <v>3.0600000000000014</v>
      </c>
      <c r="M1059" s="398">
        <f t="shared" ca="1" si="364"/>
        <v>18.727200000000011</v>
      </c>
      <c r="N1059" s="398">
        <f t="shared" ca="1" si="364"/>
        <v>76.406976000000014</v>
      </c>
      <c r="O1059" s="398">
        <f t="shared" ca="1" si="364"/>
        <v>56.444935368987615</v>
      </c>
      <c r="P1059" s="398">
        <f t="shared" ca="1" si="364"/>
        <v>0</v>
      </c>
      <c r="Q1059" s="398">
        <f t="shared" ca="1" si="364"/>
        <v>0</v>
      </c>
      <c r="R1059" s="398">
        <f t="shared" ca="1" si="364"/>
        <v>0</v>
      </c>
      <c r="S1059" s="398">
        <f t="shared" ca="1" si="364"/>
        <v>0</v>
      </c>
      <c r="T1059" s="398">
        <f t="shared" ca="1" si="364"/>
        <v>0</v>
      </c>
      <c r="U1059" s="398">
        <f t="shared" ca="1" si="364"/>
        <v>0</v>
      </c>
      <c r="V1059" s="398">
        <f t="shared" ca="1" si="364"/>
        <v>0</v>
      </c>
      <c r="W1059" s="398">
        <f t="shared" ca="1" si="364"/>
        <v>0</v>
      </c>
      <c r="X1059" s="398">
        <f t="shared" ca="1" si="364"/>
        <v>0</v>
      </c>
      <c r="Y1059" s="398">
        <f t="shared" ca="1" si="364"/>
        <v>0</v>
      </c>
      <c r="Z1059" s="398">
        <f t="shared" ca="1" si="364"/>
        <v>0</v>
      </c>
      <c r="AA1059" s="398">
        <f t="shared" ca="1" si="364"/>
        <v>0</v>
      </c>
      <c r="AB1059" s="398">
        <f t="shared" ca="1" si="364"/>
        <v>0</v>
      </c>
      <c r="AC1059" s="398">
        <f t="shared" ca="1" si="364"/>
        <v>0</v>
      </c>
      <c r="AD1059" s="398">
        <f t="shared" ca="1" si="364"/>
        <v>0</v>
      </c>
      <c r="AE1059" s="398">
        <f t="shared" ca="1" si="364"/>
        <v>0</v>
      </c>
      <c r="AF1059" s="398">
        <f t="shared" ca="1" si="364"/>
        <v>0</v>
      </c>
      <c r="AG1059" s="398">
        <f t="shared" ca="1" si="364"/>
        <v>0</v>
      </c>
      <c r="AH1059" s="398">
        <f t="shared" ca="1" si="364"/>
        <v>0</v>
      </c>
      <c r="AI1059" s="398">
        <f t="shared" ca="1" si="364"/>
        <v>0</v>
      </c>
      <c r="AJ1059" s="398">
        <f t="shared" ca="1" si="364"/>
        <v>0</v>
      </c>
      <c r="AK1059" s="398">
        <f t="shared" ca="1" si="364"/>
        <v>0</v>
      </c>
      <c r="AL1059" s="398">
        <f t="shared" ca="1" si="364"/>
        <v>0</v>
      </c>
      <c r="AM1059" s="398">
        <f t="shared" ca="1" si="364"/>
        <v>0</v>
      </c>
      <c r="AN1059" s="398">
        <f t="shared" ca="1" si="364"/>
        <v>0</v>
      </c>
      <c r="AO1059" s="398">
        <f t="shared" ca="1" si="364"/>
        <v>0</v>
      </c>
      <c r="AP1059" s="398">
        <f t="shared" ca="1" si="364"/>
        <v>0</v>
      </c>
      <c r="AQ1059" s="398">
        <f t="shared" ca="1" si="364"/>
        <v>0</v>
      </c>
      <c r="AR1059" s="398">
        <f t="shared" ca="1" si="364"/>
        <v>0</v>
      </c>
      <c r="AS1059" s="398">
        <f t="shared" ca="1" si="364"/>
        <v>0</v>
      </c>
      <c r="AT1059" s="398">
        <f t="shared" ca="1" si="364"/>
        <v>0</v>
      </c>
      <c r="AU1059" s="398">
        <f t="shared" ca="1" si="364"/>
        <v>0</v>
      </c>
      <c r="AV1059" s="398">
        <f t="shared" ca="1" si="364"/>
        <v>0</v>
      </c>
      <c r="AW1059" s="398">
        <f t="shared" ca="1" si="364"/>
        <v>0</v>
      </c>
      <c r="AX1059" s="398">
        <f t="shared" ca="1" si="364"/>
        <v>0</v>
      </c>
    </row>
    <row r="1060" spans="1:50" s="412" customFormat="1" ht="15" customHeight="1" x14ac:dyDescent="0.25">
      <c r="A1060" s="398"/>
      <c r="B1060" s="675"/>
      <c r="C1060" s="625"/>
      <c r="D1060" s="410"/>
      <c r="E1060" s="398"/>
      <c r="F1060" s="506"/>
      <c r="G1060" s="398"/>
      <c r="H1060" s="398"/>
      <c r="I1060" s="398"/>
      <c r="J1060" s="398"/>
      <c r="K1060" s="398"/>
      <c r="L1060" s="398"/>
      <c r="M1060" s="398"/>
      <c r="N1060" s="398"/>
      <c r="O1060" s="398"/>
      <c r="P1060" s="398"/>
      <c r="Q1060" s="398"/>
      <c r="R1060" s="398"/>
      <c r="S1060" s="398"/>
      <c r="T1060" s="398"/>
      <c r="U1060" s="398"/>
      <c r="V1060" s="398"/>
      <c r="W1060" s="398"/>
      <c r="X1060" s="398"/>
      <c r="Y1060" s="398"/>
      <c r="Z1060" s="398"/>
      <c r="AA1060" s="398"/>
      <c r="AB1060" s="398"/>
      <c r="AC1060" s="398"/>
      <c r="AD1060" s="398"/>
      <c r="AE1060" s="398"/>
      <c r="AF1060" s="398"/>
      <c r="AG1060" s="398"/>
      <c r="AH1060" s="398"/>
      <c r="AI1060" s="398"/>
      <c r="AJ1060" s="398"/>
      <c r="AK1060" s="398"/>
      <c r="AL1060" s="398"/>
      <c r="AM1060" s="398"/>
      <c r="AN1060" s="398"/>
      <c r="AO1060" s="398"/>
      <c r="AP1060" s="398"/>
      <c r="AQ1060" s="398"/>
      <c r="AR1060" s="398"/>
      <c r="AS1060" s="398"/>
      <c r="AT1060" s="398"/>
      <c r="AU1060" s="398"/>
      <c r="AV1060" s="398"/>
      <c r="AW1060" s="398"/>
      <c r="AX1060" s="398"/>
    </row>
    <row r="1061" spans="1:50" s="412" customFormat="1" ht="15" customHeight="1" x14ac:dyDescent="0.25">
      <c r="A1061" s="413"/>
      <c r="B1061" s="692"/>
      <c r="C1061" s="655" t="str">
        <f>Translate!$E$514</f>
        <v>Interest rate</v>
      </c>
      <c r="D1061" s="414"/>
      <c r="E1061" s="416"/>
      <c r="F1061" s="535"/>
      <c r="G1061" s="416"/>
      <c r="I1061" s="414"/>
      <c r="J1061" s="417"/>
      <c r="K1061" s="418"/>
      <c r="L1061" s="418"/>
      <c r="M1061" s="418"/>
      <c r="N1061" s="418"/>
      <c r="O1061" s="418"/>
      <c r="P1061" s="418"/>
      <c r="Q1061" s="418"/>
      <c r="R1061" s="418"/>
      <c r="S1061" s="418"/>
      <c r="T1061" s="418"/>
      <c r="U1061" s="418"/>
      <c r="V1061" s="418"/>
      <c r="W1061" s="418"/>
      <c r="X1061" s="418"/>
      <c r="Y1061" s="418"/>
      <c r="Z1061" s="418"/>
      <c r="AA1061" s="418"/>
      <c r="AB1061" s="418"/>
      <c r="AC1061" s="418"/>
      <c r="AD1061" s="418"/>
      <c r="AE1061" s="418"/>
      <c r="AF1061" s="418"/>
      <c r="AG1061" s="418"/>
      <c r="AH1061" s="418"/>
      <c r="AI1061" s="418"/>
      <c r="AJ1061" s="418"/>
      <c r="AK1061" s="418"/>
      <c r="AL1061" s="418"/>
      <c r="AM1061" s="418"/>
      <c r="AN1061" s="418"/>
      <c r="AO1061" s="418"/>
      <c r="AP1061" s="418"/>
      <c r="AQ1061" s="418"/>
      <c r="AR1061" s="418"/>
      <c r="AS1061" s="418"/>
      <c r="AT1061" s="418"/>
      <c r="AU1061" s="418"/>
      <c r="AV1061" s="418"/>
      <c r="AW1061" s="418"/>
      <c r="AX1061" s="418"/>
    </row>
    <row r="1062" spans="1:50" s="513" customFormat="1" ht="15" customHeight="1" x14ac:dyDescent="0.25">
      <c r="B1062" s="785"/>
      <c r="C1062" s="656"/>
      <c r="D1062" s="514"/>
      <c r="E1062" s="74" t="str">
        <f xml:space="preserve"> Inputs!E$47</f>
        <v>LIBOR: nominal</v>
      </c>
      <c r="F1062" s="593">
        <f xml:space="preserve"> Inputs!F$47</f>
        <v>2.0000000000000018E-2</v>
      </c>
      <c r="G1062" s="74" t="str">
        <f xml:space="preserve"> Inputs!G$47</f>
        <v>%</v>
      </c>
      <c r="I1062" s="514"/>
      <c r="J1062" s="514"/>
      <c r="K1062" s="514"/>
      <c r="L1062" s="514"/>
      <c r="M1062" s="514"/>
      <c r="N1062" s="514"/>
      <c r="O1062" s="514"/>
      <c r="P1062" s="514"/>
      <c r="Q1062" s="514"/>
      <c r="R1062" s="514"/>
      <c r="S1062" s="514"/>
      <c r="T1062" s="514"/>
      <c r="U1062" s="514"/>
      <c r="V1062" s="514"/>
      <c r="W1062" s="514"/>
      <c r="X1062" s="514"/>
      <c r="Y1062" s="514"/>
      <c r="Z1062" s="514"/>
      <c r="AA1062" s="514"/>
      <c r="AB1062" s="514"/>
      <c r="AC1062" s="514"/>
      <c r="AD1062" s="514"/>
      <c r="AE1062" s="514"/>
      <c r="AF1062" s="514"/>
      <c r="AG1062" s="514"/>
      <c r="AH1062" s="514"/>
      <c r="AI1062" s="514"/>
      <c r="AJ1062" s="514"/>
      <c r="AK1062" s="514"/>
      <c r="AL1062" s="514"/>
      <c r="AM1062" s="514"/>
      <c r="AN1062" s="514"/>
      <c r="AO1062" s="514"/>
      <c r="AP1062" s="514"/>
      <c r="AQ1062" s="514"/>
      <c r="AR1062" s="514"/>
      <c r="AS1062" s="514"/>
      <c r="AT1062" s="514"/>
      <c r="AU1062" s="514"/>
      <c r="AV1062" s="514"/>
      <c r="AW1062" s="514"/>
      <c r="AX1062" s="514"/>
    </row>
    <row r="1063" spans="1:50" s="513" customFormat="1" ht="15" customHeight="1" x14ac:dyDescent="0.25">
      <c r="B1063" s="785"/>
      <c r="C1063" s="656"/>
      <c r="D1063" s="514"/>
      <c r="E1063" s="402" t="str">
        <f xml:space="preserve"> E$83</f>
        <v>Carried interest: Interest rate margin above LIBOR</v>
      </c>
      <c r="F1063" s="564">
        <f xml:space="preserve"> F$83</f>
        <v>0.03</v>
      </c>
      <c r="G1063" s="402" t="str">
        <f xml:space="preserve"> G$83</f>
        <v>%</v>
      </c>
      <c r="I1063" s="514"/>
      <c r="J1063" s="514"/>
      <c r="K1063" s="514"/>
      <c r="L1063" s="514"/>
      <c r="M1063" s="514"/>
      <c r="N1063" s="514"/>
      <c r="O1063" s="514"/>
      <c r="P1063" s="514"/>
      <c r="Q1063" s="514"/>
      <c r="R1063" s="514"/>
      <c r="S1063" s="514"/>
      <c r="T1063" s="514"/>
      <c r="U1063" s="514"/>
      <c r="V1063" s="514"/>
      <c r="W1063" s="514"/>
      <c r="X1063" s="514"/>
      <c r="Y1063" s="514"/>
      <c r="Z1063" s="514"/>
      <c r="AA1063" s="514"/>
      <c r="AB1063" s="514"/>
      <c r="AC1063" s="514"/>
      <c r="AD1063" s="514"/>
      <c r="AE1063" s="514"/>
      <c r="AF1063" s="514"/>
      <c r="AG1063" s="514"/>
      <c r="AH1063" s="514"/>
      <c r="AI1063" s="514"/>
      <c r="AJ1063" s="514"/>
      <c r="AK1063" s="514"/>
      <c r="AL1063" s="514"/>
      <c r="AM1063" s="514"/>
      <c r="AN1063" s="514"/>
      <c r="AO1063" s="514"/>
      <c r="AP1063" s="514"/>
      <c r="AQ1063" s="514"/>
      <c r="AR1063" s="514"/>
      <c r="AS1063" s="514"/>
      <c r="AT1063" s="514"/>
      <c r="AU1063" s="514"/>
      <c r="AV1063" s="514"/>
      <c r="AW1063" s="514"/>
      <c r="AX1063" s="514"/>
    </row>
    <row r="1064" spans="1:50" s="513" customFormat="1" ht="15" customHeight="1" x14ac:dyDescent="0.25">
      <c r="B1064" s="785"/>
      <c r="C1064" s="656"/>
      <c r="D1064" s="514"/>
      <c r="E1064" s="514" t="str">
        <f xml:space="preserve"> Translate!E$384</f>
        <v>Carried interest loan: interest rate</v>
      </c>
      <c r="F1064" s="594">
        <f xml:space="preserve"> F1062 + F1063</f>
        <v>5.0000000000000017E-2</v>
      </c>
      <c r="G1064" s="514" t="s">
        <v>24</v>
      </c>
      <c r="I1064" s="514"/>
      <c r="J1064" s="514"/>
      <c r="K1064" s="514"/>
      <c r="L1064" s="514"/>
      <c r="M1064" s="514"/>
      <c r="N1064" s="514"/>
      <c r="O1064" s="514"/>
      <c r="P1064" s="514"/>
      <c r="Q1064" s="514"/>
      <c r="R1064" s="514"/>
      <c r="S1064" s="514"/>
      <c r="T1064" s="514"/>
      <c r="U1064" s="514"/>
      <c r="V1064" s="514"/>
      <c r="W1064" s="514"/>
      <c r="X1064" s="514"/>
      <c r="Y1064" s="514"/>
      <c r="Z1064" s="514"/>
      <c r="AA1064" s="514"/>
      <c r="AB1064" s="514"/>
      <c r="AC1064" s="514"/>
      <c r="AD1064" s="514"/>
      <c r="AE1064" s="514"/>
      <c r="AF1064" s="514"/>
      <c r="AG1064" s="514"/>
      <c r="AH1064" s="514"/>
      <c r="AI1064" s="514"/>
      <c r="AJ1064" s="514"/>
      <c r="AK1064" s="514"/>
      <c r="AL1064" s="514"/>
      <c r="AM1064" s="514"/>
      <c r="AN1064" s="514"/>
      <c r="AO1064" s="514"/>
      <c r="AP1064" s="514"/>
      <c r="AQ1064" s="514"/>
      <c r="AR1064" s="514"/>
      <c r="AS1064" s="514"/>
      <c r="AT1064" s="514"/>
      <c r="AU1064" s="514"/>
      <c r="AV1064" s="514"/>
      <c r="AW1064" s="514"/>
      <c r="AX1064" s="514"/>
    </row>
    <row r="1065" spans="1:50" s="412" customFormat="1" ht="15" customHeight="1" x14ac:dyDescent="0.25">
      <c r="A1065" s="413"/>
      <c r="B1065" s="692"/>
      <c r="C1065" s="655"/>
      <c r="D1065" s="414"/>
      <c r="E1065" s="419"/>
      <c r="F1065" s="595"/>
      <c r="G1065" s="419"/>
      <c r="I1065" s="414"/>
      <c r="J1065" s="417"/>
      <c r="K1065" s="418"/>
      <c r="L1065" s="418"/>
      <c r="M1065" s="418"/>
      <c r="N1065" s="418"/>
      <c r="O1065" s="418"/>
      <c r="P1065" s="418"/>
      <c r="Q1065" s="418"/>
      <c r="R1065" s="418"/>
      <c r="S1065" s="418"/>
      <c r="T1065" s="418"/>
      <c r="U1065" s="418"/>
      <c r="V1065" s="418"/>
      <c r="W1065" s="418"/>
      <c r="X1065" s="418"/>
      <c r="Y1065" s="418"/>
      <c r="Z1065" s="418"/>
      <c r="AA1065" s="418"/>
      <c r="AB1065" s="418"/>
      <c r="AC1065" s="418"/>
      <c r="AD1065" s="418"/>
      <c r="AE1065" s="418"/>
      <c r="AF1065" s="418"/>
      <c r="AG1065" s="418"/>
      <c r="AH1065" s="418"/>
      <c r="AI1065" s="418"/>
      <c r="AJ1065" s="418"/>
      <c r="AK1065" s="418"/>
      <c r="AL1065" s="418"/>
      <c r="AM1065" s="418"/>
      <c r="AN1065" s="418"/>
      <c r="AO1065" s="418"/>
      <c r="AP1065" s="418"/>
      <c r="AQ1065" s="418"/>
      <c r="AR1065" s="418"/>
      <c r="AS1065" s="418"/>
      <c r="AT1065" s="418"/>
      <c r="AU1065" s="418"/>
      <c r="AV1065" s="418"/>
      <c r="AW1065" s="418"/>
      <c r="AX1065" s="418"/>
    </row>
    <row r="1066" spans="1:50" s="412" customFormat="1" ht="15" customHeight="1" x14ac:dyDescent="0.25">
      <c r="A1066" s="413"/>
      <c r="B1066" s="692"/>
      <c r="C1066" s="655" t="str">
        <f>Translate!$E$515</f>
        <v>Repayments</v>
      </c>
      <c r="D1066" s="414"/>
      <c r="E1066" s="419"/>
      <c r="F1066" s="595"/>
      <c r="G1066" s="419"/>
      <c r="I1066" s="414"/>
      <c r="J1066" s="417"/>
      <c r="K1066" s="418"/>
      <c r="L1066" s="418"/>
      <c r="M1066" s="418"/>
      <c r="N1066" s="418"/>
      <c r="O1066" s="418"/>
      <c r="P1066" s="418"/>
      <c r="Q1066" s="418"/>
      <c r="R1066" s="418"/>
      <c r="S1066" s="418"/>
      <c r="T1066" s="418"/>
      <c r="U1066" s="418"/>
      <c r="V1066" s="418"/>
      <c r="W1066" s="418"/>
      <c r="X1066" s="418"/>
      <c r="Y1066" s="418"/>
      <c r="Z1066" s="418"/>
      <c r="AA1066" s="418"/>
      <c r="AB1066" s="418"/>
      <c r="AC1066" s="418"/>
      <c r="AD1066" s="418"/>
      <c r="AE1066" s="418"/>
      <c r="AF1066" s="418"/>
      <c r="AG1066" s="418"/>
      <c r="AH1066" s="418"/>
      <c r="AI1066" s="418"/>
      <c r="AJ1066" s="418"/>
      <c r="AK1066" s="418"/>
      <c r="AL1066" s="418"/>
      <c r="AM1066" s="418"/>
      <c r="AN1066" s="418"/>
      <c r="AO1066" s="418"/>
      <c r="AP1066" s="418"/>
      <c r="AQ1066" s="418"/>
      <c r="AR1066" s="418"/>
      <c r="AS1066" s="418"/>
      <c r="AT1066" s="418"/>
      <c r="AU1066" s="418"/>
      <c r="AV1066" s="418"/>
      <c r="AW1066" s="418"/>
      <c r="AX1066" s="418"/>
    </row>
    <row r="1067" spans="1:50" s="412" customFormat="1" ht="15" customHeight="1" x14ac:dyDescent="0.25">
      <c r="A1067" s="413"/>
      <c r="B1067" s="692"/>
      <c r="C1067" s="655"/>
      <c r="D1067" s="414"/>
      <c r="E1067" s="398" t="str">
        <f t="shared" ref="E1067:AX1067" si="365" xml:space="preserve"> E$1045</f>
        <v>SOC net cash flow before tax</v>
      </c>
      <c r="F1067" s="506">
        <f t="shared" si="365"/>
        <v>0</v>
      </c>
      <c r="G1067" s="398" t="str">
        <f t="shared" si="365"/>
        <v>US$ mn</v>
      </c>
      <c r="H1067" s="398">
        <f t="shared" si="365"/>
        <v>0</v>
      </c>
      <c r="I1067" s="398">
        <f t="shared" ca="1" si="365"/>
        <v>5117.3670540243475</v>
      </c>
      <c r="J1067" s="398">
        <f t="shared" si="365"/>
        <v>0</v>
      </c>
      <c r="K1067" s="398">
        <f t="shared" ca="1" si="365"/>
        <v>0</v>
      </c>
      <c r="L1067" s="398">
        <f t="shared" ca="1" si="365"/>
        <v>-3.0600000000000014</v>
      </c>
      <c r="M1067" s="398">
        <f t="shared" ca="1" si="365"/>
        <v>-18.727200000000011</v>
      </c>
      <c r="N1067" s="398">
        <f t="shared" ca="1" si="365"/>
        <v>-76.406976000000014</v>
      </c>
      <c r="O1067" s="398">
        <f t="shared" ca="1" si="365"/>
        <v>-56.444935368987615</v>
      </c>
      <c r="P1067" s="398">
        <f t="shared" ca="1" si="365"/>
        <v>80.209533372480053</v>
      </c>
      <c r="Q1067" s="398">
        <f t="shared" ca="1" si="365"/>
        <v>103.29000040338926</v>
      </c>
      <c r="R1067" s="398">
        <f t="shared" ca="1" si="365"/>
        <v>261.34863419946885</v>
      </c>
      <c r="S1067" s="398">
        <f t="shared" ca="1" si="365"/>
        <v>320.02559672734554</v>
      </c>
      <c r="T1067" s="398">
        <f t="shared" ca="1" si="365"/>
        <v>332.92964087588007</v>
      </c>
      <c r="U1067" s="398">
        <f t="shared" ca="1" si="365"/>
        <v>346.01168351757656</v>
      </c>
      <c r="V1067" s="398">
        <f t="shared" ca="1" si="365"/>
        <v>359.27528462229827</v>
      </c>
      <c r="W1067" s="398">
        <f t="shared" ca="1" si="365"/>
        <v>359.97538076622828</v>
      </c>
      <c r="X1067" s="398">
        <f t="shared" ca="1" si="365"/>
        <v>373.61306492816686</v>
      </c>
      <c r="Y1067" s="398">
        <f t="shared" ca="1" si="365"/>
        <v>387.44342038353534</v>
      </c>
      <c r="Z1067" s="398">
        <f t="shared" ca="1" si="365"/>
        <v>401.47030055820244</v>
      </c>
      <c r="AA1067" s="398">
        <f t="shared" ca="1" si="365"/>
        <v>371.78581114493267</v>
      </c>
      <c r="AB1067" s="398">
        <f t="shared" ca="1" si="365"/>
        <v>348.01025399118669</v>
      </c>
      <c r="AC1067" s="398">
        <f t="shared" ca="1" si="365"/>
        <v>302.76742287502299</v>
      </c>
      <c r="AD1067" s="398">
        <f t="shared" ca="1" si="365"/>
        <v>184.38692441759952</v>
      </c>
      <c r="AE1067" s="398">
        <f t="shared" ca="1" si="365"/>
        <v>136.96637236979458</v>
      </c>
      <c r="AF1067" s="398">
        <f t="shared" ca="1" si="365"/>
        <v>155.94822230456782</v>
      </c>
      <c r="AG1067" s="398">
        <f t="shared" ca="1" si="365"/>
        <v>123.57207346535795</v>
      </c>
      <c r="AH1067" s="398">
        <f t="shared" ca="1" si="365"/>
        <v>95.515367494579522</v>
      </c>
      <c r="AI1067" s="398">
        <f t="shared" ca="1" si="365"/>
        <v>72.542493063200425</v>
      </c>
      <c r="AJ1067" s="398">
        <f t="shared" ca="1" si="365"/>
        <v>53.782185174209324</v>
      </c>
      <c r="AK1067" s="398">
        <f t="shared" ca="1" si="365"/>
        <v>38.5145851717879</v>
      </c>
      <c r="AL1067" s="398">
        <f t="shared" ca="1" si="365"/>
        <v>26.145002066181853</v>
      </c>
      <c r="AM1067" s="398">
        <f t="shared" ca="1" si="365"/>
        <v>20.760955418311376</v>
      </c>
      <c r="AN1067" s="398">
        <f t="shared" ca="1" si="365"/>
        <v>11.023464796666303</v>
      </c>
      <c r="AO1067" s="398">
        <f t="shared" ca="1" si="365"/>
        <v>4.6924912853637437</v>
      </c>
      <c r="AP1067" s="398">
        <f t="shared" ca="1" si="365"/>
        <v>0</v>
      </c>
      <c r="AQ1067" s="398">
        <f t="shared" ca="1" si="365"/>
        <v>0</v>
      </c>
      <c r="AR1067" s="398">
        <f t="shared" ca="1" si="365"/>
        <v>0</v>
      </c>
      <c r="AS1067" s="398">
        <f t="shared" ca="1" si="365"/>
        <v>0</v>
      </c>
      <c r="AT1067" s="398">
        <f t="shared" ca="1" si="365"/>
        <v>0</v>
      </c>
      <c r="AU1067" s="398">
        <f t="shared" ca="1" si="365"/>
        <v>0</v>
      </c>
      <c r="AV1067" s="398">
        <f t="shared" ca="1" si="365"/>
        <v>0</v>
      </c>
      <c r="AW1067" s="398">
        <f t="shared" ca="1" si="365"/>
        <v>0</v>
      </c>
      <c r="AX1067" s="398">
        <f t="shared" ca="1" si="365"/>
        <v>0</v>
      </c>
    </row>
    <row r="1068" spans="1:50" s="412" customFormat="1" ht="15" customHeight="1" x14ac:dyDescent="0.25">
      <c r="A1068" s="413"/>
      <c r="B1068" s="692"/>
      <c r="C1068" s="655"/>
      <c r="D1068" s="414"/>
      <c r="E1068" s="407" t="str">
        <f xml:space="preserve"> E$84</f>
        <v>Carried interest: Proportion SOC cashflows used to repay</v>
      </c>
      <c r="F1068" s="592">
        <f xml:space="preserve"> F$84</f>
        <v>1</v>
      </c>
      <c r="G1068" s="407" t="str">
        <f xml:space="preserve"> G$84</f>
        <v>%</v>
      </c>
      <c r="H1068" s="398"/>
      <c r="I1068" s="398"/>
      <c r="J1068" s="398"/>
      <c r="K1068" s="398"/>
      <c r="L1068" s="398"/>
      <c r="M1068" s="398"/>
      <c r="N1068" s="398"/>
      <c r="O1068" s="398"/>
      <c r="P1068" s="398"/>
      <c r="Q1068" s="398"/>
      <c r="R1068" s="398"/>
      <c r="S1068" s="398"/>
      <c r="T1068" s="398"/>
      <c r="U1068" s="398"/>
      <c r="V1068" s="398"/>
      <c r="W1068" s="398"/>
      <c r="X1068" s="398"/>
      <c r="Y1068" s="398"/>
      <c r="Z1068" s="398"/>
      <c r="AA1068" s="398"/>
      <c r="AB1068" s="398"/>
      <c r="AC1068" s="398"/>
      <c r="AD1068" s="398"/>
      <c r="AE1068" s="398"/>
      <c r="AF1068" s="398"/>
      <c r="AG1068" s="398"/>
      <c r="AH1068" s="398"/>
      <c r="AI1068" s="398"/>
      <c r="AJ1068" s="398"/>
      <c r="AK1068" s="398"/>
      <c r="AL1068" s="398"/>
      <c r="AM1068" s="398"/>
      <c r="AN1068" s="398"/>
      <c r="AO1068" s="398"/>
      <c r="AP1068" s="398"/>
      <c r="AQ1068" s="398"/>
      <c r="AR1068" s="398"/>
      <c r="AS1068" s="398"/>
      <c r="AT1068" s="398"/>
      <c r="AU1068" s="398"/>
      <c r="AV1068" s="398"/>
      <c r="AW1068" s="398"/>
      <c r="AX1068" s="398"/>
    </row>
    <row r="1069" spans="1:50" s="412" customFormat="1" ht="15" customHeight="1" x14ac:dyDescent="0.25">
      <c r="A1069" s="413"/>
      <c r="B1069" s="692"/>
      <c r="C1069" s="655"/>
      <c r="D1069" s="414"/>
      <c r="E1069" s="398" t="str">
        <f xml:space="preserve"> Translate!E$385</f>
        <v>Carried intererst loan potential repayment</v>
      </c>
      <c r="F1069" s="506"/>
      <c r="G1069" s="398" t="str">
        <f xml:space="preserve"> Translate!E$603</f>
        <v>US$ mn</v>
      </c>
      <c r="H1069" s="398"/>
      <c r="I1069" s="398">
        <f ca="1" xml:space="preserve"> SUM(K1069:AX1069)</f>
        <v>5272.0061653933344</v>
      </c>
      <c r="J1069" s="398"/>
      <c r="K1069" s="398">
        <f t="shared" ref="K1069:AX1069" ca="1" si="366" xml:space="preserve"> (K1067 &gt; 0) * K1067 * $F1068</f>
        <v>0</v>
      </c>
      <c r="L1069" s="398">
        <f t="shared" ca="1" si="366"/>
        <v>0</v>
      </c>
      <c r="M1069" s="398">
        <f t="shared" ca="1" si="366"/>
        <v>0</v>
      </c>
      <c r="N1069" s="398">
        <f t="shared" ca="1" si="366"/>
        <v>0</v>
      </c>
      <c r="O1069" s="398">
        <f t="shared" ca="1" si="366"/>
        <v>0</v>
      </c>
      <c r="P1069" s="398">
        <f t="shared" ca="1" si="366"/>
        <v>80.209533372480053</v>
      </c>
      <c r="Q1069" s="398">
        <f t="shared" ca="1" si="366"/>
        <v>103.29000040338926</v>
      </c>
      <c r="R1069" s="398">
        <f t="shared" ca="1" si="366"/>
        <v>261.34863419946885</v>
      </c>
      <c r="S1069" s="398">
        <f t="shared" ca="1" si="366"/>
        <v>320.02559672734554</v>
      </c>
      <c r="T1069" s="398">
        <f t="shared" ca="1" si="366"/>
        <v>332.92964087588007</v>
      </c>
      <c r="U1069" s="398">
        <f t="shared" ca="1" si="366"/>
        <v>346.01168351757656</v>
      </c>
      <c r="V1069" s="398">
        <f t="shared" ca="1" si="366"/>
        <v>359.27528462229827</v>
      </c>
      <c r="W1069" s="398">
        <f t="shared" ca="1" si="366"/>
        <v>359.97538076622828</v>
      </c>
      <c r="X1069" s="398">
        <f t="shared" ca="1" si="366"/>
        <v>373.61306492816686</v>
      </c>
      <c r="Y1069" s="398">
        <f t="shared" ca="1" si="366"/>
        <v>387.44342038353534</v>
      </c>
      <c r="Z1069" s="398">
        <f t="shared" ca="1" si="366"/>
        <v>401.47030055820244</v>
      </c>
      <c r="AA1069" s="398">
        <f t="shared" ca="1" si="366"/>
        <v>371.78581114493267</v>
      </c>
      <c r="AB1069" s="398">
        <f t="shared" ca="1" si="366"/>
        <v>348.01025399118669</v>
      </c>
      <c r="AC1069" s="398">
        <f t="shared" ca="1" si="366"/>
        <v>302.76742287502299</v>
      </c>
      <c r="AD1069" s="398">
        <f t="shared" ca="1" si="366"/>
        <v>184.38692441759952</v>
      </c>
      <c r="AE1069" s="398">
        <f t="shared" ca="1" si="366"/>
        <v>136.96637236979458</v>
      </c>
      <c r="AF1069" s="398">
        <f t="shared" ca="1" si="366"/>
        <v>155.94822230456782</v>
      </c>
      <c r="AG1069" s="398">
        <f t="shared" ca="1" si="366"/>
        <v>123.57207346535795</v>
      </c>
      <c r="AH1069" s="398">
        <f t="shared" ca="1" si="366"/>
        <v>95.515367494579522</v>
      </c>
      <c r="AI1069" s="398">
        <f t="shared" ca="1" si="366"/>
        <v>72.542493063200425</v>
      </c>
      <c r="AJ1069" s="398">
        <f t="shared" ca="1" si="366"/>
        <v>53.782185174209324</v>
      </c>
      <c r="AK1069" s="398">
        <f t="shared" ca="1" si="366"/>
        <v>38.5145851717879</v>
      </c>
      <c r="AL1069" s="398">
        <f t="shared" ca="1" si="366"/>
        <v>26.145002066181853</v>
      </c>
      <c r="AM1069" s="398">
        <f t="shared" ca="1" si="366"/>
        <v>20.760955418311376</v>
      </c>
      <c r="AN1069" s="398">
        <f t="shared" ca="1" si="366"/>
        <v>11.023464796666303</v>
      </c>
      <c r="AO1069" s="398">
        <f t="shared" ca="1" si="366"/>
        <v>4.6924912853637437</v>
      </c>
      <c r="AP1069" s="398">
        <f t="shared" ca="1" si="366"/>
        <v>0</v>
      </c>
      <c r="AQ1069" s="398">
        <f t="shared" ca="1" si="366"/>
        <v>0</v>
      </c>
      <c r="AR1069" s="398">
        <f t="shared" ca="1" si="366"/>
        <v>0</v>
      </c>
      <c r="AS1069" s="398">
        <f t="shared" ca="1" si="366"/>
        <v>0</v>
      </c>
      <c r="AT1069" s="398">
        <f t="shared" ca="1" si="366"/>
        <v>0</v>
      </c>
      <c r="AU1069" s="398">
        <f t="shared" ca="1" si="366"/>
        <v>0</v>
      </c>
      <c r="AV1069" s="398">
        <f t="shared" ca="1" si="366"/>
        <v>0</v>
      </c>
      <c r="AW1069" s="398">
        <f t="shared" ca="1" si="366"/>
        <v>0</v>
      </c>
      <c r="AX1069" s="398">
        <f t="shared" ca="1" si="366"/>
        <v>0</v>
      </c>
    </row>
    <row r="1070" spans="1:50" s="412" customFormat="1" ht="15" customHeight="1" x14ac:dyDescent="0.25">
      <c r="A1070" s="413"/>
      <c r="B1070" s="692"/>
      <c r="C1070" s="655"/>
      <c r="D1070" s="414"/>
      <c r="E1070" s="398"/>
      <c r="F1070" s="506"/>
      <c r="G1070" s="398"/>
      <c r="H1070" s="398"/>
      <c r="I1070" s="398"/>
      <c r="J1070" s="398"/>
      <c r="K1070" s="398"/>
      <c r="L1070" s="398"/>
      <c r="M1070" s="398"/>
      <c r="N1070" s="398"/>
      <c r="O1070" s="398"/>
      <c r="P1070" s="398"/>
      <c r="Q1070" s="398"/>
      <c r="R1070" s="398"/>
      <c r="S1070" s="398"/>
      <c r="T1070" s="398"/>
      <c r="U1070" s="398"/>
      <c r="V1070" s="398"/>
      <c r="W1070" s="398"/>
      <c r="X1070" s="398"/>
      <c r="Y1070" s="398"/>
      <c r="Z1070" s="398"/>
      <c r="AA1070" s="398"/>
      <c r="AB1070" s="398"/>
      <c r="AC1070" s="398"/>
      <c r="AD1070" s="398"/>
      <c r="AE1070" s="398"/>
      <c r="AF1070" s="398"/>
      <c r="AG1070" s="398"/>
      <c r="AH1070" s="398"/>
      <c r="AI1070" s="398"/>
      <c r="AJ1070" s="398"/>
      <c r="AK1070" s="398"/>
      <c r="AL1070" s="398"/>
      <c r="AM1070" s="398"/>
      <c r="AN1070" s="398"/>
      <c r="AO1070" s="398"/>
      <c r="AP1070" s="398"/>
      <c r="AQ1070" s="398"/>
      <c r="AR1070" s="398"/>
      <c r="AS1070" s="398"/>
      <c r="AT1070" s="398"/>
      <c r="AU1070" s="398"/>
      <c r="AV1070" s="398"/>
      <c r="AW1070" s="398"/>
      <c r="AX1070" s="398"/>
    </row>
    <row r="1071" spans="1:50" s="412" customFormat="1" ht="15" customHeight="1" x14ac:dyDescent="0.25">
      <c r="A1071" s="413"/>
      <c r="B1071" s="692"/>
      <c r="C1071" s="655" t="str">
        <f xml:space="preserve"> Translate!E$426</f>
        <v>Loan account</v>
      </c>
      <c r="D1071" s="414"/>
      <c r="E1071" s="407"/>
      <c r="F1071" s="592"/>
      <c r="G1071" s="407"/>
      <c r="I1071" s="414"/>
      <c r="J1071" s="417"/>
      <c r="K1071" s="418"/>
      <c r="L1071" s="418"/>
      <c r="M1071" s="418"/>
      <c r="N1071" s="418"/>
      <c r="O1071" s="418"/>
      <c r="P1071" s="418"/>
      <c r="Q1071" s="418"/>
      <c r="R1071" s="418"/>
      <c r="S1071" s="418"/>
      <c r="T1071" s="418"/>
      <c r="U1071" s="418"/>
      <c r="V1071" s="418"/>
      <c r="W1071" s="418"/>
      <c r="X1071" s="418"/>
      <c r="Y1071" s="418"/>
      <c r="Z1071" s="418"/>
      <c r="AA1071" s="418"/>
      <c r="AB1071" s="418"/>
      <c r="AC1071" s="418"/>
      <c r="AD1071" s="418"/>
      <c r="AE1071" s="418"/>
      <c r="AF1071" s="418"/>
      <c r="AG1071" s="418"/>
      <c r="AH1071" s="418"/>
      <c r="AI1071" s="418"/>
      <c r="AJ1071" s="418"/>
      <c r="AK1071" s="418"/>
      <c r="AL1071" s="418"/>
      <c r="AM1071" s="418"/>
      <c r="AN1071" s="418"/>
      <c r="AO1071" s="418"/>
      <c r="AP1071" s="418"/>
      <c r="AQ1071" s="418"/>
      <c r="AR1071" s="418"/>
      <c r="AS1071" s="418"/>
      <c r="AT1071" s="418"/>
      <c r="AU1071" s="418"/>
      <c r="AV1071" s="418"/>
      <c r="AW1071" s="418"/>
      <c r="AX1071" s="418"/>
    </row>
    <row r="1072" spans="1:50" s="426" customFormat="1" ht="15" customHeight="1" x14ac:dyDescent="0.25">
      <c r="A1072" s="423"/>
      <c r="B1072" s="786"/>
      <c r="C1072" s="657"/>
      <c r="D1072" s="424" t="str">
        <f>Translate!E529</f>
        <v>add</v>
      </c>
      <c r="E1072" s="425" t="str">
        <f xml:space="preserve"> Translate!E$386</f>
        <v>Carried interest loan opening balance: BEG</v>
      </c>
      <c r="F1072" s="596"/>
      <c r="G1072" s="425" t="str">
        <f xml:space="preserve"> Translate!E$603</f>
        <v>US$ mn</v>
      </c>
      <c r="I1072" s="424"/>
      <c r="J1072" s="427"/>
      <c r="K1072" s="428">
        <f xml:space="preserve"> J1077</f>
        <v>0</v>
      </c>
      <c r="L1072" s="428">
        <f t="shared" ref="L1072:AX1072" ca="1" si="367" xml:space="preserve"> K1077</f>
        <v>0</v>
      </c>
      <c r="M1072" s="428">
        <f t="shared" ca="1" si="367"/>
        <v>3.1365000000000016</v>
      </c>
      <c r="N1072" s="428">
        <f t="shared" ca="1" si="367"/>
        <v>22.488705000000014</v>
      </c>
      <c r="O1072" s="428">
        <f t="shared" ca="1" si="367"/>
        <v>101.93029065000003</v>
      </c>
      <c r="P1072" s="428">
        <f t="shared" ca="1" si="367"/>
        <v>164.88286393571232</v>
      </c>
      <c r="Q1072" s="428">
        <f t="shared" ca="1" si="367"/>
        <v>92.917473760017884</v>
      </c>
      <c r="R1072" s="428">
        <f t="shared" ca="1" si="367"/>
        <v>0</v>
      </c>
      <c r="S1072" s="428">
        <f t="shared" ca="1" si="367"/>
        <v>0</v>
      </c>
      <c r="T1072" s="428">
        <f t="shared" ca="1" si="367"/>
        <v>0</v>
      </c>
      <c r="U1072" s="428">
        <f t="shared" ca="1" si="367"/>
        <v>0</v>
      </c>
      <c r="V1072" s="428">
        <f t="shared" ca="1" si="367"/>
        <v>0</v>
      </c>
      <c r="W1072" s="428">
        <f t="shared" ca="1" si="367"/>
        <v>0</v>
      </c>
      <c r="X1072" s="428">
        <f t="shared" ca="1" si="367"/>
        <v>0</v>
      </c>
      <c r="Y1072" s="428">
        <f t="shared" ca="1" si="367"/>
        <v>0</v>
      </c>
      <c r="Z1072" s="428">
        <f t="shared" ca="1" si="367"/>
        <v>0</v>
      </c>
      <c r="AA1072" s="428">
        <f t="shared" ca="1" si="367"/>
        <v>0</v>
      </c>
      <c r="AB1072" s="428">
        <f t="shared" ca="1" si="367"/>
        <v>0</v>
      </c>
      <c r="AC1072" s="428">
        <f t="shared" ca="1" si="367"/>
        <v>0</v>
      </c>
      <c r="AD1072" s="428">
        <f t="shared" ca="1" si="367"/>
        <v>0</v>
      </c>
      <c r="AE1072" s="428">
        <f t="shared" ca="1" si="367"/>
        <v>0</v>
      </c>
      <c r="AF1072" s="428">
        <f t="shared" ca="1" si="367"/>
        <v>0</v>
      </c>
      <c r="AG1072" s="428">
        <f t="shared" ca="1" si="367"/>
        <v>0</v>
      </c>
      <c r="AH1072" s="428">
        <f t="shared" ca="1" si="367"/>
        <v>0</v>
      </c>
      <c r="AI1072" s="428">
        <f t="shared" ca="1" si="367"/>
        <v>0</v>
      </c>
      <c r="AJ1072" s="428">
        <f t="shared" ca="1" si="367"/>
        <v>0</v>
      </c>
      <c r="AK1072" s="428">
        <f t="shared" ca="1" si="367"/>
        <v>0</v>
      </c>
      <c r="AL1072" s="428">
        <f t="shared" ca="1" si="367"/>
        <v>0</v>
      </c>
      <c r="AM1072" s="428">
        <f t="shared" ca="1" si="367"/>
        <v>0</v>
      </c>
      <c r="AN1072" s="428">
        <f t="shared" ca="1" si="367"/>
        <v>0</v>
      </c>
      <c r="AO1072" s="428">
        <f t="shared" ca="1" si="367"/>
        <v>0</v>
      </c>
      <c r="AP1072" s="428">
        <f t="shared" ca="1" si="367"/>
        <v>0</v>
      </c>
      <c r="AQ1072" s="428">
        <f t="shared" ca="1" si="367"/>
        <v>0</v>
      </c>
      <c r="AR1072" s="428">
        <f t="shared" ca="1" si="367"/>
        <v>0</v>
      </c>
      <c r="AS1072" s="428">
        <f t="shared" ca="1" si="367"/>
        <v>0</v>
      </c>
      <c r="AT1072" s="428">
        <f t="shared" ca="1" si="367"/>
        <v>0</v>
      </c>
      <c r="AU1072" s="428">
        <f t="shared" ca="1" si="367"/>
        <v>0</v>
      </c>
      <c r="AV1072" s="428">
        <f t="shared" ca="1" si="367"/>
        <v>0</v>
      </c>
      <c r="AW1072" s="428">
        <f t="shared" ca="1" si="367"/>
        <v>0</v>
      </c>
      <c r="AX1072" s="428">
        <f t="shared" ca="1" si="367"/>
        <v>0</v>
      </c>
    </row>
    <row r="1073" spans="1:50" s="422" customFormat="1" ht="15" customHeight="1" x14ac:dyDescent="0.25">
      <c r="A1073" s="421"/>
      <c r="B1073" s="787"/>
      <c r="C1073" s="658"/>
      <c r="D1073" s="414" t="str">
        <f>Translate!E529</f>
        <v>add</v>
      </c>
      <c r="E1073" s="411" t="str">
        <f t="shared" ref="E1073:AX1073" si="368" xml:space="preserve"> E$1059</f>
        <v>Carried interest loan: drawdowns (mid period) POS</v>
      </c>
      <c r="F1073" s="410">
        <f t="shared" si="368"/>
        <v>0</v>
      </c>
      <c r="G1073" s="411" t="str">
        <f t="shared" si="368"/>
        <v>US$ mn</v>
      </c>
      <c r="H1073" s="411">
        <f t="shared" si="368"/>
        <v>0</v>
      </c>
      <c r="I1073" s="411">
        <f t="shared" ca="1" si="368"/>
        <v>154.63911136898764</v>
      </c>
      <c r="J1073" s="411">
        <f t="shared" si="368"/>
        <v>0</v>
      </c>
      <c r="K1073" s="411">
        <f t="shared" ca="1" si="368"/>
        <v>0</v>
      </c>
      <c r="L1073" s="411">
        <f t="shared" ca="1" si="368"/>
        <v>3.0600000000000014</v>
      </c>
      <c r="M1073" s="411">
        <f t="shared" ca="1" si="368"/>
        <v>18.727200000000011</v>
      </c>
      <c r="N1073" s="411">
        <f t="shared" ca="1" si="368"/>
        <v>76.406976000000014</v>
      </c>
      <c r="O1073" s="411">
        <f t="shared" ca="1" si="368"/>
        <v>56.444935368987615</v>
      </c>
      <c r="P1073" s="411">
        <f t="shared" ca="1" si="368"/>
        <v>0</v>
      </c>
      <c r="Q1073" s="411">
        <f t="shared" ca="1" si="368"/>
        <v>0</v>
      </c>
      <c r="R1073" s="411">
        <f t="shared" ca="1" si="368"/>
        <v>0</v>
      </c>
      <c r="S1073" s="411">
        <f t="shared" ca="1" si="368"/>
        <v>0</v>
      </c>
      <c r="T1073" s="411">
        <f t="shared" ca="1" si="368"/>
        <v>0</v>
      </c>
      <c r="U1073" s="411">
        <f t="shared" ca="1" si="368"/>
        <v>0</v>
      </c>
      <c r="V1073" s="411">
        <f t="shared" ca="1" si="368"/>
        <v>0</v>
      </c>
      <c r="W1073" s="411">
        <f t="shared" ca="1" si="368"/>
        <v>0</v>
      </c>
      <c r="X1073" s="411">
        <f t="shared" ca="1" si="368"/>
        <v>0</v>
      </c>
      <c r="Y1073" s="411">
        <f t="shared" ca="1" si="368"/>
        <v>0</v>
      </c>
      <c r="Z1073" s="411">
        <f t="shared" ca="1" si="368"/>
        <v>0</v>
      </c>
      <c r="AA1073" s="411">
        <f t="shared" ca="1" si="368"/>
        <v>0</v>
      </c>
      <c r="AB1073" s="411">
        <f t="shared" ca="1" si="368"/>
        <v>0</v>
      </c>
      <c r="AC1073" s="411">
        <f t="shared" ca="1" si="368"/>
        <v>0</v>
      </c>
      <c r="AD1073" s="411">
        <f t="shared" ca="1" si="368"/>
        <v>0</v>
      </c>
      <c r="AE1073" s="411">
        <f t="shared" ca="1" si="368"/>
        <v>0</v>
      </c>
      <c r="AF1073" s="411">
        <f t="shared" ca="1" si="368"/>
        <v>0</v>
      </c>
      <c r="AG1073" s="411">
        <f t="shared" ca="1" si="368"/>
        <v>0</v>
      </c>
      <c r="AH1073" s="411">
        <f t="shared" ca="1" si="368"/>
        <v>0</v>
      </c>
      <c r="AI1073" s="411">
        <f t="shared" ca="1" si="368"/>
        <v>0</v>
      </c>
      <c r="AJ1073" s="411">
        <f t="shared" ca="1" si="368"/>
        <v>0</v>
      </c>
      <c r="AK1073" s="411">
        <f t="shared" ca="1" si="368"/>
        <v>0</v>
      </c>
      <c r="AL1073" s="411">
        <f t="shared" ca="1" si="368"/>
        <v>0</v>
      </c>
      <c r="AM1073" s="411">
        <f t="shared" ca="1" si="368"/>
        <v>0</v>
      </c>
      <c r="AN1073" s="411">
        <f t="shared" ca="1" si="368"/>
        <v>0</v>
      </c>
      <c r="AO1073" s="411">
        <f t="shared" ca="1" si="368"/>
        <v>0</v>
      </c>
      <c r="AP1073" s="411">
        <f t="shared" ca="1" si="368"/>
        <v>0</v>
      </c>
      <c r="AQ1073" s="411">
        <f t="shared" ca="1" si="368"/>
        <v>0</v>
      </c>
      <c r="AR1073" s="411">
        <f t="shared" ca="1" si="368"/>
        <v>0</v>
      </c>
      <c r="AS1073" s="411">
        <f t="shared" ca="1" si="368"/>
        <v>0</v>
      </c>
      <c r="AT1073" s="411">
        <f t="shared" ca="1" si="368"/>
        <v>0</v>
      </c>
      <c r="AU1073" s="411">
        <f t="shared" ca="1" si="368"/>
        <v>0</v>
      </c>
      <c r="AV1073" s="411">
        <f t="shared" ca="1" si="368"/>
        <v>0</v>
      </c>
      <c r="AW1073" s="411">
        <f t="shared" ca="1" si="368"/>
        <v>0</v>
      </c>
      <c r="AX1073" s="411">
        <f t="shared" ca="1" si="368"/>
        <v>0</v>
      </c>
    </row>
    <row r="1074" spans="1:50" s="422" customFormat="1" ht="15" customHeight="1" x14ac:dyDescent="0.25">
      <c r="A1074" s="421"/>
      <c r="B1074" s="787"/>
      <c r="C1074" s="658"/>
      <c r="D1074" s="414" t="str">
        <f>Translate!E529</f>
        <v>add</v>
      </c>
      <c r="E1074" s="411" t="str">
        <f xml:space="preserve"> Translate!E$387</f>
        <v>Carried interest loan: interest charge</v>
      </c>
      <c r="F1074" s="410"/>
      <c r="G1074" s="411" t="str">
        <f xml:space="preserve"> Translate!E$603</f>
        <v>US$ mn</v>
      </c>
      <c r="H1074" s="411"/>
      <c r="I1074" s="411">
        <f ca="1" xml:space="preserve"> SUM(K1074:AX1074)</f>
        <v>23.133769451511213</v>
      </c>
      <c r="J1074" s="411"/>
      <c r="K1074" s="411">
        <f t="shared" ref="K1074:AX1074" ca="1" si="369" xml:space="preserve"> ( K1072 + K1073 / 2) * $F1064</f>
        <v>0</v>
      </c>
      <c r="L1074" s="411">
        <f t="shared" ca="1" si="369"/>
        <v>7.6500000000000054E-2</v>
      </c>
      <c r="M1074" s="411">
        <f t="shared" ca="1" si="369"/>
        <v>0.62500500000000059</v>
      </c>
      <c r="N1074" s="411">
        <f t="shared" ca="1" si="369"/>
        <v>3.0346096500000019</v>
      </c>
      <c r="O1074" s="411">
        <f t="shared" ca="1" si="369"/>
        <v>6.5076379167246952</v>
      </c>
      <c r="P1074" s="411">
        <f t="shared" ca="1" si="369"/>
        <v>8.2441431967856182</v>
      </c>
      <c r="Q1074" s="411">
        <f t="shared" ca="1" si="369"/>
        <v>4.6458736880008962</v>
      </c>
      <c r="R1074" s="411">
        <f t="shared" ca="1" si="369"/>
        <v>0</v>
      </c>
      <c r="S1074" s="411">
        <f t="shared" ca="1" si="369"/>
        <v>0</v>
      </c>
      <c r="T1074" s="411">
        <f t="shared" ca="1" si="369"/>
        <v>0</v>
      </c>
      <c r="U1074" s="411">
        <f t="shared" ca="1" si="369"/>
        <v>0</v>
      </c>
      <c r="V1074" s="411">
        <f t="shared" ca="1" si="369"/>
        <v>0</v>
      </c>
      <c r="W1074" s="411">
        <f t="shared" ca="1" si="369"/>
        <v>0</v>
      </c>
      <c r="X1074" s="411">
        <f t="shared" ca="1" si="369"/>
        <v>0</v>
      </c>
      <c r="Y1074" s="411">
        <f t="shared" ca="1" si="369"/>
        <v>0</v>
      </c>
      <c r="Z1074" s="411">
        <f t="shared" ca="1" si="369"/>
        <v>0</v>
      </c>
      <c r="AA1074" s="411">
        <f t="shared" ca="1" si="369"/>
        <v>0</v>
      </c>
      <c r="AB1074" s="411">
        <f t="shared" ca="1" si="369"/>
        <v>0</v>
      </c>
      <c r="AC1074" s="411">
        <f t="shared" ca="1" si="369"/>
        <v>0</v>
      </c>
      <c r="AD1074" s="411">
        <f t="shared" ca="1" si="369"/>
        <v>0</v>
      </c>
      <c r="AE1074" s="411">
        <f t="shared" ca="1" si="369"/>
        <v>0</v>
      </c>
      <c r="AF1074" s="411">
        <f t="shared" ca="1" si="369"/>
        <v>0</v>
      </c>
      <c r="AG1074" s="411">
        <f t="shared" ca="1" si="369"/>
        <v>0</v>
      </c>
      <c r="AH1074" s="411">
        <f t="shared" ca="1" si="369"/>
        <v>0</v>
      </c>
      <c r="AI1074" s="411">
        <f t="shared" ca="1" si="369"/>
        <v>0</v>
      </c>
      <c r="AJ1074" s="411">
        <f t="shared" ca="1" si="369"/>
        <v>0</v>
      </c>
      <c r="AK1074" s="411">
        <f t="shared" ca="1" si="369"/>
        <v>0</v>
      </c>
      <c r="AL1074" s="411">
        <f t="shared" ca="1" si="369"/>
        <v>0</v>
      </c>
      <c r="AM1074" s="411">
        <f t="shared" ca="1" si="369"/>
        <v>0</v>
      </c>
      <c r="AN1074" s="411">
        <f t="shared" ca="1" si="369"/>
        <v>0</v>
      </c>
      <c r="AO1074" s="411">
        <f t="shared" ca="1" si="369"/>
        <v>0</v>
      </c>
      <c r="AP1074" s="411">
        <f t="shared" ca="1" si="369"/>
        <v>0</v>
      </c>
      <c r="AQ1074" s="411">
        <f t="shared" ca="1" si="369"/>
        <v>0</v>
      </c>
      <c r="AR1074" s="411">
        <f t="shared" ca="1" si="369"/>
        <v>0</v>
      </c>
      <c r="AS1074" s="411">
        <f t="shared" ca="1" si="369"/>
        <v>0</v>
      </c>
      <c r="AT1074" s="411">
        <f t="shared" ca="1" si="369"/>
        <v>0</v>
      </c>
      <c r="AU1074" s="411">
        <f t="shared" ca="1" si="369"/>
        <v>0</v>
      </c>
      <c r="AV1074" s="411">
        <f t="shared" ca="1" si="369"/>
        <v>0</v>
      </c>
      <c r="AW1074" s="411">
        <f t="shared" ca="1" si="369"/>
        <v>0</v>
      </c>
      <c r="AX1074" s="411">
        <f t="shared" ca="1" si="369"/>
        <v>0</v>
      </c>
    </row>
    <row r="1075" spans="1:50" s="422" customFormat="1" ht="15" customHeight="1" x14ac:dyDescent="0.25">
      <c r="A1075" s="421"/>
      <c r="B1075" s="787"/>
      <c r="C1075" s="658"/>
      <c r="D1075" s="414"/>
      <c r="E1075" s="411" t="str">
        <f xml:space="preserve"> Translate!E$388</f>
        <v>Carried interest loan balance to be repaid</v>
      </c>
      <c r="F1075" s="410"/>
      <c r="G1075" s="411" t="str">
        <f xml:space="preserve"> Translate!E$603</f>
        <v>US$ mn</v>
      </c>
      <c r="H1075" s="411"/>
      <c r="I1075" s="411">
        <f ca="1" xml:space="preserve"> SUM(K1075:AX1075)</f>
        <v>563.12871416622909</v>
      </c>
      <c r="J1075" s="411"/>
      <c r="K1075" s="411">
        <f t="shared" ref="K1075:AX1075" ca="1" si="370" xml:space="preserve"> K1072 + K1073 + K1074</f>
        <v>0</v>
      </c>
      <c r="L1075" s="411">
        <f t="shared" ca="1" si="370"/>
        <v>3.1365000000000016</v>
      </c>
      <c r="M1075" s="411">
        <f t="shared" ca="1" si="370"/>
        <v>22.488705000000014</v>
      </c>
      <c r="N1075" s="411">
        <f t="shared" ca="1" si="370"/>
        <v>101.93029065000003</v>
      </c>
      <c r="O1075" s="411">
        <f t="shared" ca="1" si="370"/>
        <v>164.88286393571232</v>
      </c>
      <c r="P1075" s="411">
        <f t="shared" ca="1" si="370"/>
        <v>173.12700713249794</v>
      </c>
      <c r="Q1075" s="411">
        <f t="shared" ca="1" si="370"/>
        <v>97.563347448018774</v>
      </c>
      <c r="R1075" s="411">
        <f t="shared" ca="1" si="370"/>
        <v>0</v>
      </c>
      <c r="S1075" s="411">
        <f t="shared" ca="1" si="370"/>
        <v>0</v>
      </c>
      <c r="T1075" s="411">
        <f t="shared" ca="1" si="370"/>
        <v>0</v>
      </c>
      <c r="U1075" s="411">
        <f t="shared" ca="1" si="370"/>
        <v>0</v>
      </c>
      <c r="V1075" s="411">
        <f t="shared" ca="1" si="370"/>
        <v>0</v>
      </c>
      <c r="W1075" s="411">
        <f t="shared" ca="1" si="370"/>
        <v>0</v>
      </c>
      <c r="X1075" s="411">
        <f t="shared" ca="1" si="370"/>
        <v>0</v>
      </c>
      <c r="Y1075" s="411">
        <f t="shared" ca="1" si="370"/>
        <v>0</v>
      </c>
      <c r="Z1075" s="411">
        <f t="shared" ca="1" si="370"/>
        <v>0</v>
      </c>
      <c r="AA1075" s="411">
        <f t="shared" ca="1" si="370"/>
        <v>0</v>
      </c>
      <c r="AB1075" s="411">
        <f t="shared" ca="1" si="370"/>
        <v>0</v>
      </c>
      <c r="AC1075" s="411">
        <f t="shared" ca="1" si="370"/>
        <v>0</v>
      </c>
      <c r="AD1075" s="411">
        <f t="shared" ca="1" si="370"/>
        <v>0</v>
      </c>
      <c r="AE1075" s="411">
        <f t="shared" ca="1" si="370"/>
        <v>0</v>
      </c>
      <c r="AF1075" s="411">
        <f t="shared" ca="1" si="370"/>
        <v>0</v>
      </c>
      <c r="AG1075" s="411">
        <f t="shared" ca="1" si="370"/>
        <v>0</v>
      </c>
      <c r="AH1075" s="411">
        <f t="shared" ca="1" si="370"/>
        <v>0</v>
      </c>
      <c r="AI1075" s="411">
        <f t="shared" ca="1" si="370"/>
        <v>0</v>
      </c>
      <c r="AJ1075" s="411">
        <f t="shared" ca="1" si="370"/>
        <v>0</v>
      </c>
      <c r="AK1075" s="411">
        <f t="shared" ca="1" si="370"/>
        <v>0</v>
      </c>
      <c r="AL1075" s="411">
        <f t="shared" ca="1" si="370"/>
        <v>0</v>
      </c>
      <c r="AM1075" s="411">
        <f t="shared" ca="1" si="370"/>
        <v>0</v>
      </c>
      <c r="AN1075" s="411">
        <f t="shared" ca="1" si="370"/>
        <v>0</v>
      </c>
      <c r="AO1075" s="411">
        <f t="shared" ca="1" si="370"/>
        <v>0</v>
      </c>
      <c r="AP1075" s="411">
        <f t="shared" ca="1" si="370"/>
        <v>0</v>
      </c>
      <c r="AQ1075" s="411">
        <f t="shared" ca="1" si="370"/>
        <v>0</v>
      </c>
      <c r="AR1075" s="411">
        <f t="shared" ca="1" si="370"/>
        <v>0</v>
      </c>
      <c r="AS1075" s="411">
        <f t="shared" ca="1" si="370"/>
        <v>0</v>
      </c>
      <c r="AT1075" s="411">
        <f t="shared" ca="1" si="370"/>
        <v>0</v>
      </c>
      <c r="AU1075" s="411">
        <f t="shared" ca="1" si="370"/>
        <v>0</v>
      </c>
      <c r="AV1075" s="411">
        <f t="shared" ca="1" si="370"/>
        <v>0</v>
      </c>
      <c r="AW1075" s="411">
        <f t="shared" ca="1" si="370"/>
        <v>0</v>
      </c>
      <c r="AX1075" s="411">
        <f t="shared" ca="1" si="370"/>
        <v>0</v>
      </c>
    </row>
    <row r="1076" spans="1:50" s="422" customFormat="1" ht="15" customHeight="1" x14ac:dyDescent="0.25">
      <c r="A1076" s="421"/>
      <c r="B1076" s="787"/>
      <c r="C1076" s="658"/>
      <c r="D1076" s="414" t="str">
        <f>Translate!E530</f>
        <v>less</v>
      </c>
      <c r="E1076" s="411" t="str">
        <f xml:space="preserve"> Translate!E$389</f>
        <v>Carried interest loan: repayment (end of period)</v>
      </c>
      <c r="F1076" s="410"/>
      <c r="G1076" s="411" t="str">
        <f xml:space="preserve"> Translate!E$603</f>
        <v>US$ mn</v>
      </c>
      <c r="H1076" s="411"/>
      <c r="I1076" s="411">
        <f ca="1" xml:space="preserve"> SUM(K1076:AX1076)</f>
        <v>177.77288082049881</v>
      </c>
      <c r="J1076" s="411"/>
      <c r="K1076" s="411">
        <f ca="1" xml:space="preserve"> MIN(K1075, K1069)</f>
        <v>0</v>
      </c>
      <c r="L1076" s="411">
        <f t="shared" ref="L1076:AX1076" ca="1" si="371" xml:space="preserve"> MIN(L1075, L1069)</f>
        <v>0</v>
      </c>
      <c r="M1076" s="411">
        <f t="shared" ca="1" si="371"/>
        <v>0</v>
      </c>
      <c r="N1076" s="411">
        <f t="shared" ca="1" si="371"/>
        <v>0</v>
      </c>
      <c r="O1076" s="411">
        <f t="shared" ca="1" si="371"/>
        <v>0</v>
      </c>
      <c r="P1076" s="411">
        <f t="shared" ca="1" si="371"/>
        <v>80.209533372480053</v>
      </c>
      <c r="Q1076" s="411">
        <f t="shared" ca="1" si="371"/>
        <v>97.563347448018774</v>
      </c>
      <c r="R1076" s="411">
        <f t="shared" ca="1" si="371"/>
        <v>0</v>
      </c>
      <c r="S1076" s="411">
        <f t="shared" ca="1" si="371"/>
        <v>0</v>
      </c>
      <c r="T1076" s="411">
        <f t="shared" ca="1" si="371"/>
        <v>0</v>
      </c>
      <c r="U1076" s="411">
        <f t="shared" ca="1" si="371"/>
        <v>0</v>
      </c>
      <c r="V1076" s="411">
        <f t="shared" ca="1" si="371"/>
        <v>0</v>
      </c>
      <c r="W1076" s="411">
        <f t="shared" ca="1" si="371"/>
        <v>0</v>
      </c>
      <c r="X1076" s="411">
        <f t="shared" ca="1" si="371"/>
        <v>0</v>
      </c>
      <c r="Y1076" s="411">
        <f t="shared" ca="1" si="371"/>
        <v>0</v>
      </c>
      <c r="Z1076" s="411">
        <f t="shared" ca="1" si="371"/>
        <v>0</v>
      </c>
      <c r="AA1076" s="411">
        <f t="shared" ca="1" si="371"/>
        <v>0</v>
      </c>
      <c r="AB1076" s="411">
        <f t="shared" ca="1" si="371"/>
        <v>0</v>
      </c>
      <c r="AC1076" s="411">
        <f t="shared" ca="1" si="371"/>
        <v>0</v>
      </c>
      <c r="AD1076" s="411">
        <f t="shared" ca="1" si="371"/>
        <v>0</v>
      </c>
      <c r="AE1076" s="411">
        <f t="shared" ca="1" si="371"/>
        <v>0</v>
      </c>
      <c r="AF1076" s="411">
        <f t="shared" ca="1" si="371"/>
        <v>0</v>
      </c>
      <c r="AG1076" s="411">
        <f t="shared" ca="1" si="371"/>
        <v>0</v>
      </c>
      <c r="AH1076" s="411">
        <f t="shared" ca="1" si="371"/>
        <v>0</v>
      </c>
      <c r="AI1076" s="411">
        <f t="shared" ca="1" si="371"/>
        <v>0</v>
      </c>
      <c r="AJ1076" s="411">
        <f t="shared" ca="1" si="371"/>
        <v>0</v>
      </c>
      <c r="AK1076" s="411">
        <f t="shared" ca="1" si="371"/>
        <v>0</v>
      </c>
      <c r="AL1076" s="411">
        <f t="shared" ca="1" si="371"/>
        <v>0</v>
      </c>
      <c r="AM1076" s="411">
        <f t="shared" ca="1" si="371"/>
        <v>0</v>
      </c>
      <c r="AN1076" s="411">
        <f t="shared" ca="1" si="371"/>
        <v>0</v>
      </c>
      <c r="AO1076" s="411">
        <f t="shared" ca="1" si="371"/>
        <v>0</v>
      </c>
      <c r="AP1076" s="411">
        <f t="shared" ca="1" si="371"/>
        <v>0</v>
      </c>
      <c r="AQ1076" s="411">
        <f t="shared" ca="1" si="371"/>
        <v>0</v>
      </c>
      <c r="AR1076" s="411">
        <f t="shared" ca="1" si="371"/>
        <v>0</v>
      </c>
      <c r="AS1076" s="411">
        <f t="shared" ca="1" si="371"/>
        <v>0</v>
      </c>
      <c r="AT1076" s="411">
        <f t="shared" ca="1" si="371"/>
        <v>0</v>
      </c>
      <c r="AU1076" s="411">
        <f t="shared" ca="1" si="371"/>
        <v>0</v>
      </c>
      <c r="AV1076" s="411">
        <f t="shared" ca="1" si="371"/>
        <v>0</v>
      </c>
      <c r="AW1076" s="411">
        <f t="shared" ca="1" si="371"/>
        <v>0</v>
      </c>
      <c r="AX1076" s="411">
        <f t="shared" ca="1" si="371"/>
        <v>0</v>
      </c>
    </row>
    <row r="1077" spans="1:50" s="433" customFormat="1" ht="15" customHeight="1" x14ac:dyDescent="0.25">
      <c r="A1077" s="429"/>
      <c r="B1077" s="788"/>
      <c r="C1077" s="659"/>
      <c r="D1077" s="430"/>
      <c r="E1077" s="431" t="str">
        <f xml:space="preserve"> Translate!E$390</f>
        <v>Carried interest loan: closing balance: END</v>
      </c>
      <c r="F1077" s="597"/>
      <c r="G1077" s="431" t="str">
        <f xml:space="preserve"> Translate!E$603</f>
        <v>US$ mn</v>
      </c>
      <c r="H1077" s="431"/>
      <c r="I1077" s="431"/>
      <c r="J1077" s="432"/>
      <c r="K1077" s="431">
        <f ca="1" xml:space="preserve"> K1072 + K1073 + K1074 - K1076</f>
        <v>0</v>
      </c>
      <c r="L1077" s="431">
        <f t="shared" ref="L1077:AX1077" ca="1" si="372" xml:space="preserve"> L1072 + L1073 + L1074 - L1076</f>
        <v>3.1365000000000016</v>
      </c>
      <c r="M1077" s="431">
        <f t="shared" ca="1" si="372"/>
        <v>22.488705000000014</v>
      </c>
      <c r="N1077" s="431">
        <f t="shared" ca="1" si="372"/>
        <v>101.93029065000003</v>
      </c>
      <c r="O1077" s="431">
        <f t="shared" ca="1" si="372"/>
        <v>164.88286393571232</v>
      </c>
      <c r="P1077" s="431">
        <f t="shared" ca="1" si="372"/>
        <v>92.917473760017884</v>
      </c>
      <c r="Q1077" s="431">
        <f t="shared" ca="1" si="372"/>
        <v>0</v>
      </c>
      <c r="R1077" s="431">
        <f t="shared" ca="1" si="372"/>
        <v>0</v>
      </c>
      <c r="S1077" s="431">
        <f t="shared" ca="1" si="372"/>
        <v>0</v>
      </c>
      <c r="T1077" s="431">
        <f t="shared" ca="1" si="372"/>
        <v>0</v>
      </c>
      <c r="U1077" s="431">
        <f t="shared" ca="1" si="372"/>
        <v>0</v>
      </c>
      <c r="V1077" s="431">
        <f t="shared" ca="1" si="372"/>
        <v>0</v>
      </c>
      <c r="W1077" s="431">
        <f t="shared" ca="1" si="372"/>
        <v>0</v>
      </c>
      <c r="X1077" s="431">
        <f t="shared" ca="1" si="372"/>
        <v>0</v>
      </c>
      <c r="Y1077" s="431">
        <f t="shared" ca="1" si="372"/>
        <v>0</v>
      </c>
      <c r="Z1077" s="431">
        <f t="shared" ca="1" si="372"/>
        <v>0</v>
      </c>
      <c r="AA1077" s="431">
        <f t="shared" ca="1" si="372"/>
        <v>0</v>
      </c>
      <c r="AB1077" s="431">
        <f t="shared" ca="1" si="372"/>
        <v>0</v>
      </c>
      <c r="AC1077" s="431">
        <f t="shared" ca="1" si="372"/>
        <v>0</v>
      </c>
      <c r="AD1077" s="431">
        <f t="shared" ca="1" si="372"/>
        <v>0</v>
      </c>
      <c r="AE1077" s="431">
        <f t="shared" ca="1" si="372"/>
        <v>0</v>
      </c>
      <c r="AF1077" s="431">
        <f t="shared" ca="1" si="372"/>
        <v>0</v>
      </c>
      <c r="AG1077" s="431">
        <f t="shared" ca="1" si="372"/>
        <v>0</v>
      </c>
      <c r="AH1077" s="431">
        <f t="shared" ca="1" si="372"/>
        <v>0</v>
      </c>
      <c r="AI1077" s="431">
        <f t="shared" ca="1" si="372"/>
        <v>0</v>
      </c>
      <c r="AJ1077" s="431">
        <f t="shared" ca="1" si="372"/>
        <v>0</v>
      </c>
      <c r="AK1077" s="431">
        <f t="shared" ca="1" si="372"/>
        <v>0</v>
      </c>
      <c r="AL1077" s="431">
        <f t="shared" ca="1" si="372"/>
        <v>0</v>
      </c>
      <c r="AM1077" s="431">
        <f t="shared" ca="1" si="372"/>
        <v>0</v>
      </c>
      <c r="AN1077" s="431">
        <f t="shared" ca="1" si="372"/>
        <v>0</v>
      </c>
      <c r="AO1077" s="431">
        <f t="shared" ca="1" si="372"/>
        <v>0</v>
      </c>
      <c r="AP1077" s="431">
        <f t="shared" ca="1" si="372"/>
        <v>0</v>
      </c>
      <c r="AQ1077" s="431">
        <f t="shared" ca="1" si="372"/>
        <v>0</v>
      </c>
      <c r="AR1077" s="431">
        <f t="shared" ca="1" si="372"/>
        <v>0</v>
      </c>
      <c r="AS1077" s="431">
        <f t="shared" ca="1" si="372"/>
        <v>0</v>
      </c>
      <c r="AT1077" s="431">
        <f t="shared" ca="1" si="372"/>
        <v>0</v>
      </c>
      <c r="AU1077" s="431">
        <f t="shared" ca="1" si="372"/>
        <v>0</v>
      </c>
      <c r="AV1077" s="431">
        <f t="shared" ca="1" si="372"/>
        <v>0</v>
      </c>
      <c r="AW1077" s="431">
        <f t="shared" ca="1" si="372"/>
        <v>0</v>
      </c>
      <c r="AX1077" s="431">
        <f t="shared" ca="1" si="372"/>
        <v>0</v>
      </c>
    </row>
    <row r="1078" spans="1:50" s="412" customFormat="1" ht="15" customHeight="1" x14ac:dyDescent="0.25">
      <c r="A1078" s="413"/>
      <c r="B1078" s="692"/>
      <c r="C1078" s="655"/>
      <c r="D1078" s="414"/>
      <c r="E1078" s="398"/>
      <c r="F1078" s="506"/>
      <c r="G1078" s="398"/>
      <c r="H1078" s="398"/>
      <c r="I1078" s="398"/>
      <c r="J1078" s="398"/>
      <c r="K1078" s="398"/>
      <c r="L1078" s="398"/>
      <c r="M1078" s="398"/>
      <c r="N1078" s="398"/>
      <c r="O1078" s="398"/>
      <c r="P1078" s="398"/>
      <c r="Q1078" s="398"/>
      <c r="R1078" s="398"/>
      <c r="S1078" s="398"/>
      <c r="T1078" s="398"/>
      <c r="U1078" s="398"/>
      <c r="V1078" s="398"/>
      <c r="W1078" s="398"/>
      <c r="X1078" s="398"/>
      <c r="Y1078" s="398"/>
      <c r="Z1078" s="398"/>
      <c r="AA1078" s="398"/>
      <c r="AB1078" s="398"/>
      <c r="AC1078" s="398"/>
      <c r="AD1078" s="398"/>
      <c r="AE1078" s="398"/>
      <c r="AF1078" s="398"/>
      <c r="AG1078" s="398"/>
      <c r="AH1078" s="398"/>
      <c r="AI1078" s="398"/>
      <c r="AJ1078" s="398"/>
      <c r="AK1078" s="398"/>
      <c r="AL1078" s="398"/>
      <c r="AM1078" s="398"/>
      <c r="AN1078" s="398"/>
      <c r="AO1078" s="398"/>
      <c r="AP1078" s="398"/>
      <c r="AQ1078" s="398"/>
      <c r="AR1078" s="398"/>
      <c r="AS1078" s="398"/>
      <c r="AT1078" s="398"/>
      <c r="AU1078" s="398"/>
      <c r="AV1078" s="398"/>
      <c r="AW1078" s="398"/>
      <c r="AX1078" s="398"/>
    </row>
    <row r="1079" spans="1:50" s="412" customFormat="1" ht="15" customHeight="1" x14ac:dyDescent="0.25">
      <c r="A1079" s="413"/>
      <c r="B1079" s="692"/>
      <c r="C1079" s="655" t="str">
        <f>Translate!$E$394</f>
        <v>Carried interest loan cashflows</v>
      </c>
      <c r="D1079" s="414"/>
      <c r="E1079" s="398"/>
      <c r="F1079" s="506"/>
      <c r="G1079" s="398"/>
      <c r="H1079" s="398"/>
      <c r="I1079" s="398"/>
      <c r="J1079" s="398"/>
      <c r="K1079" s="398"/>
      <c r="L1079" s="398"/>
      <c r="M1079" s="398"/>
      <c r="N1079" s="398"/>
      <c r="O1079" s="398"/>
      <c r="P1079" s="398"/>
      <c r="Q1079" s="398"/>
      <c r="R1079" s="398"/>
      <c r="S1079" s="398"/>
      <c r="T1079" s="398"/>
      <c r="U1079" s="398"/>
      <c r="V1079" s="398"/>
      <c r="W1079" s="398"/>
      <c r="X1079" s="398"/>
      <c r="Y1079" s="398"/>
      <c r="Z1079" s="398"/>
      <c r="AA1079" s="398"/>
      <c r="AB1079" s="398"/>
      <c r="AC1079" s="398"/>
      <c r="AD1079" s="398"/>
      <c r="AE1079" s="398"/>
      <c r="AF1079" s="398"/>
      <c r="AG1079" s="398"/>
      <c r="AH1079" s="398"/>
      <c r="AI1079" s="398"/>
      <c r="AJ1079" s="398"/>
      <c r="AK1079" s="398"/>
      <c r="AL1079" s="398"/>
      <c r="AM1079" s="398"/>
      <c r="AN1079" s="398"/>
      <c r="AO1079" s="398"/>
      <c r="AP1079" s="398"/>
      <c r="AQ1079" s="398"/>
      <c r="AR1079" s="398"/>
      <c r="AS1079" s="398"/>
      <c r="AT1079" s="398"/>
      <c r="AU1079" s="398"/>
      <c r="AV1079" s="398"/>
      <c r="AW1079" s="398"/>
      <c r="AX1079" s="398"/>
    </row>
    <row r="1080" spans="1:50" s="412" customFormat="1" ht="15" customHeight="1" x14ac:dyDescent="0.25">
      <c r="A1080" s="413"/>
      <c r="B1080" s="692"/>
      <c r="C1080" s="655"/>
      <c r="D1080" s="414"/>
      <c r="E1080" s="398" t="str">
        <f xml:space="preserve"> Translate!E$391</f>
        <v>Carried interest loan cashflows: SOC</v>
      </c>
      <c r="F1080" s="506"/>
      <c r="G1080" s="398" t="str">
        <f xml:space="preserve"> Translate!E$603</f>
        <v>US$ mn</v>
      </c>
      <c r="H1080" s="398"/>
      <c r="I1080" s="398">
        <f ca="1" xml:space="preserve"> SUM(K1080:AX1080)</f>
        <v>-23.133769451511185</v>
      </c>
      <c r="J1080" s="398"/>
      <c r="K1080" s="398">
        <f t="shared" ref="K1080:AX1080" ca="1" si="373" xml:space="preserve"> K1073 - K1076</f>
        <v>0</v>
      </c>
      <c r="L1080" s="398">
        <f t="shared" ca="1" si="373"/>
        <v>3.0600000000000014</v>
      </c>
      <c r="M1080" s="398">
        <f t="shared" ca="1" si="373"/>
        <v>18.727200000000011</v>
      </c>
      <c r="N1080" s="398">
        <f t="shared" ca="1" si="373"/>
        <v>76.406976000000014</v>
      </c>
      <c r="O1080" s="398">
        <f t="shared" ca="1" si="373"/>
        <v>56.444935368987615</v>
      </c>
      <c r="P1080" s="398">
        <f t="shared" ca="1" si="373"/>
        <v>-80.209533372480053</v>
      </c>
      <c r="Q1080" s="398">
        <f t="shared" ca="1" si="373"/>
        <v>-97.563347448018774</v>
      </c>
      <c r="R1080" s="398">
        <f t="shared" ca="1" si="373"/>
        <v>0</v>
      </c>
      <c r="S1080" s="398">
        <f t="shared" ca="1" si="373"/>
        <v>0</v>
      </c>
      <c r="T1080" s="398">
        <f t="shared" ca="1" si="373"/>
        <v>0</v>
      </c>
      <c r="U1080" s="398">
        <f t="shared" ca="1" si="373"/>
        <v>0</v>
      </c>
      <c r="V1080" s="398">
        <f t="shared" ca="1" si="373"/>
        <v>0</v>
      </c>
      <c r="W1080" s="398">
        <f t="shared" ca="1" si="373"/>
        <v>0</v>
      </c>
      <c r="X1080" s="398">
        <f t="shared" ca="1" si="373"/>
        <v>0</v>
      </c>
      <c r="Y1080" s="398">
        <f t="shared" ca="1" si="373"/>
        <v>0</v>
      </c>
      <c r="Z1080" s="398">
        <f t="shared" ca="1" si="373"/>
        <v>0</v>
      </c>
      <c r="AA1080" s="398">
        <f t="shared" ca="1" si="373"/>
        <v>0</v>
      </c>
      <c r="AB1080" s="398">
        <f t="shared" ca="1" si="373"/>
        <v>0</v>
      </c>
      <c r="AC1080" s="398">
        <f t="shared" ca="1" si="373"/>
        <v>0</v>
      </c>
      <c r="AD1080" s="398">
        <f t="shared" ca="1" si="373"/>
        <v>0</v>
      </c>
      <c r="AE1080" s="398">
        <f t="shared" ca="1" si="373"/>
        <v>0</v>
      </c>
      <c r="AF1080" s="398">
        <f t="shared" ca="1" si="373"/>
        <v>0</v>
      </c>
      <c r="AG1080" s="398">
        <f t="shared" ca="1" si="373"/>
        <v>0</v>
      </c>
      <c r="AH1080" s="398">
        <f t="shared" ca="1" si="373"/>
        <v>0</v>
      </c>
      <c r="AI1080" s="398">
        <f t="shared" ca="1" si="373"/>
        <v>0</v>
      </c>
      <c r="AJ1080" s="398">
        <f t="shared" ca="1" si="373"/>
        <v>0</v>
      </c>
      <c r="AK1080" s="398">
        <f t="shared" ca="1" si="373"/>
        <v>0</v>
      </c>
      <c r="AL1080" s="398">
        <f t="shared" ca="1" si="373"/>
        <v>0</v>
      </c>
      <c r="AM1080" s="398">
        <f t="shared" ca="1" si="373"/>
        <v>0</v>
      </c>
      <c r="AN1080" s="398">
        <f t="shared" ca="1" si="373"/>
        <v>0</v>
      </c>
      <c r="AO1080" s="398">
        <f t="shared" ca="1" si="373"/>
        <v>0</v>
      </c>
      <c r="AP1080" s="398">
        <f t="shared" ca="1" si="373"/>
        <v>0</v>
      </c>
      <c r="AQ1080" s="398">
        <f t="shared" ca="1" si="373"/>
        <v>0</v>
      </c>
      <c r="AR1080" s="398">
        <f t="shared" ca="1" si="373"/>
        <v>0</v>
      </c>
      <c r="AS1080" s="398">
        <f t="shared" ca="1" si="373"/>
        <v>0</v>
      </c>
      <c r="AT1080" s="398">
        <f t="shared" ca="1" si="373"/>
        <v>0</v>
      </c>
      <c r="AU1080" s="398">
        <f t="shared" ca="1" si="373"/>
        <v>0</v>
      </c>
      <c r="AV1080" s="398">
        <f t="shared" ca="1" si="373"/>
        <v>0</v>
      </c>
      <c r="AW1080" s="398">
        <f t="shared" ca="1" si="373"/>
        <v>0</v>
      </c>
      <c r="AX1080" s="398">
        <f t="shared" ca="1" si="373"/>
        <v>0</v>
      </c>
    </row>
    <row r="1081" spans="1:50" s="412" customFormat="1" ht="15" customHeight="1" x14ac:dyDescent="0.25">
      <c r="A1081" s="413"/>
      <c r="B1081" s="692"/>
      <c r="C1081" s="655"/>
      <c r="D1081" s="414"/>
      <c r="E1081" s="398" t="str">
        <f xml:space="preserve"> Translate!E$392</f>
        <v>Carried interest loan cashflows: IOC</v>
      </c>
      <c r="F1081" s="506"/>
      <c r="G1081" s="398" t="str">
        <f xml:space="preserve"> Translate!E$603</f>
        <v>US$ mn</v>
      </c>
      <c r="H1081" s="398"/>
      <c r="I1081" s="398">
        <f ca="1" xml:space="preserve"> SUM(K1081:AX1081)</f>
        <v>23.133769451511185</v>
      </c>
      <c r="J1081" s="398"/>
      <c r="K1081" s="398">
        <f t="shared" ref="K1081:AX1081" ca="1" si="374" xml:space="preserve"> K1076 - K1073</f>
        <v>0</v>
      </c>
      <c r="L1081" s="398">
        <f t="shared" ca="1" si="374"/>
        <v>-3.0600000000000014</v>
      </c>
      <c r="M1081" s="398">
        <f t="shared" ca="1" si="374"/>
        <v>-18.727200000000011</v>
      </c>
      <c r="N1081" s="398">
        <f t="shared" ca="1" si="374"/>
        <v>-76.406976000000014</v>
      </c>
      <c r="O1081" s="398">
        <f t="shared" ca="1" si="374"/>
        <v>-56.444935368987615</v>
      </c>
      <c r="P1081" s="398">
        <f t="shared" ca="1" si="374"/>
        <v>80.209533372480053</v>
      </c>
      <c r="Q1081" s="398">
        <f t="shared" ca="1" si="374"/>
        <v>97.563347448018774</v>
      </c>
      <c r="R1081" s="398">
        <f t="shared" ca="1" si="374"/>
        <v>0</v>
      </c>
      <c r="S1081" s="398">
        <f t="shared" ca="1" si="374"/>
        <v>0</v>
      </c>
      <c r="T1081" s="398">
        <f t="shared" ca="1" si="374"/>
        <v>0</v>
      </c>
      <c r="U1081" s="398">
        <f t="shared" ca="1" si="374"/>
        <v>0</v>
      </c>
      <c r="V1081" s="398">
        <f t="shared" ca="1" si="374"/>
        <v>0</v>
      </c>
      <c r="W1081" s="398">
        <f t="shared" ca="1" si="374"/>
        <v>0</v>
      </c>
      <c r="X1081" s="398">
        <f t="shared" ca="1" si="374"/>
        <v>0</v>
      </c>
      <c r="Y1081" s="398">
        <f t="shared" ca="1" si="374"/>
        <v>0</v>
      </c>
      <c r="Z1081" s="398">
        <f t="shared" ca="1" si="374"/>
        <v>0</v>
      </c>
      <c r="AA1081" s="398">
        <f t="shared" ca="1" si="374"/>
        <v>0</v>
      </c>
      <c r="AB1081" s="398">
        <f t="shared" ca="1" si="374"/>
        <v>0</v>
      </c>
      <c r="AC1081" s="398">
        <f t="shared" ca="1" si="374"/>
        <v>0</v>
      </c>
      <c r="AD1081" s="398">
        <f t="shared" ca="1" si="374"/>
        <v>0</v>
      </c>
      <c r="AE1081" s="398">
        <f t="shared" ca="1" si="374"/>
        <v>0</v>
      </c>
      <c r="AF1081" s="398">
        <f t="shared" ca="1" si="374"/>
        <v>0</v>
      </c>
      <c r="AG1081" s="398">
        <f t="shared" ca="1" si="374"/>
        <v>0</v>
      </c>
      <c r="AH1081" s="398">
        <f t="shared" ca="1" si="374"/>
        <v>0</v>
      </c>
      <c r="AI1081" s="398">
        <f t="shared" ca="1" si="374"/>
        <v>0</v>
      </c>
      <c r="AJ1081" s="398">
        <f t="shared" ca="1" si="374"/>
        <v>0</v>
      </c>
      <c r="AK1081" s="398">
        <f t="shared" ca="1" si="374"/>
        <v>0</v>
      </c>
      <c r="AL1081" s="398">
        <f t="shared" ca="1" si="374"/>
        <v>0</v>
      </c>
      <c r="AM1081" s="398">
        <f t="shared" ca="1" si="374"/>
        <v>0</v>
      </c>
      <c r="AN1081" s="398">
        <f t="shared" ca="1" si="374"/>
        <v>0</v>
      </c>
      <c r="AO1081" s="398">
        <f t="shared" ca="1" si="374"/>
        <v>0</v>
      </c>
      <c r="AP1081" s="398">
        <f t="shared" ca="1" si="374"/>
        <v>0</v>
      </c>
      <c r="AQ1081" s="398">
        <f t="shared" ca="1" si="374"/>
        <v>0</v>
      </c>
      <c r="AR1081" s="398">
        <f t="shared" ca="1" si="374"/>
        <v>0</v>
      </c>
      <c r="AS1081" s="398">
        <f t="shared" ca="1" si="374"/>
        <v>0</v>
      </c>
      <c r="AT1081" s="398">
        <f t="shared" ca="1" si="374"/>
        <v>0</v>
      </c>
      <c r="AU1081" s="398">
        <f t="shared" ca="1" si="374"/>
        <v>0</v>
      </c>
      <c r="AV1081" s="398">
        <f t="shared" ca="1" si="374"/>
        <v>0</v>
      </c>
      <c r="AW1081" s="398">
        <f t="shared" ca="1" si="374"/>
        <v>0</v>
      </c>
      <c r="AX1081" s="398">
        <f t="shared" ca="1" si="374"/>
        <v>0</v>
      </c>
    </row>
    <row r="1082" spans="1:50" s="412" customFormat="1" ht="15" customHeight="1" x14ac:dyDescent="0.25">
      <c r="A1082" s="413"/>
      <c r="B1082" s="692"/>
      <c r="C1082" s="655"/>
      <c r="D1082" s="414"/>
      <c r="E1082" s="398"/>
      <c r="F1082" s="506"/>
      <c r="G1082" s="398"/>
      <c r="H1082" s="398"/>
      <c r="I1082" s="398"/>
      <c r="J1082" s="398"/>
      <c r="K1082" s="398"/>
      <c r="L1082" s="398"/>
      <c r="M1082" s="398"/>
      <c r="N1082" s="398"/>
      <c r="O1082" s="398"/>
      <c r="P1082" s="398"/>
      <c r="Q1082" s="398"/>
      <c r="R1082" s="398"/>
      <c r="S1082" s="398"/>
      <c r="T1082" s="398"/>
      <c r="U1082" s="398"/>
      <c r="V1082" s="398"/>
      <c r="W1082" s="398"/>
      <c r="X1082" s="398"/>
      <c r="Y1082" s="398"/>
      <c r="Z1082" s="398"/>
      <c r="AA1082" s="398"/>
      <c r="AB1082" s="398"/>
      <c r="AC1082" s="398"/>
      <c r="AD1082" s="398"/>
      <c r="AE1082" s="398"/>
      <c r="AF1082" s="398"/>
      <c r="AG1082" s="398"/>
      <c r="AH1082" s="398"/>
      <c r="AI1082" s="398"/>
      <c r="AJ1082" s="398"/>
      <c r="AK1082" s="398"/>
      <c r="AL1082" s="398"/>
      <c r="AM1082" s="398"/>
      <c r="AN1082" s="398"/>
      <c r="AO1082" s="398"/>
      <c r="AP1082" s="398"/>
      <c r="AQ1082" s="398"/>
      <c r="AR1082" s="398"/>
      <c r="AS1082" s="398"/>
      <c r="AT1082" s="398"/>
      <c r="AU1082" s="398"/>
      <c r="AV1082" s="398"/>
      <c r="AW1082" s="398"/>
      <c r="AX1082" s="398"/>
    </row>
    <row r="1083" spans="1:50" s="412" customFormat="1" ht="15" customHeight="1" x14ac:dyDescent="0.25">
      <c r="A1083" s="413"/>
      <c r="B1083" s="692"/>
      <c r="C1083" s="625" t="str">
        <f xml:space="preserve"> Translate!E$755 &amp; " " &amp; Translate!E$394</f>
        <v>Check:  Carried interest loan cashflows</v>
      </c>
      <c r="D1083" s="414"/>
      <c r="E1083" s="398"/>
      <c r="F1083" s="506"/>
      <c r="G1083" s="398"/>
      <c r="H1083" s="398"/>
      <c r="I1083" s="398"/>
      <c r="J1083" s="398"/>
      <c r="K1083" s="398"/>
      <c r="L1083" s="398"/>
      <c r="M1083" s="398"/>
      <c r="N1083" s="398"/>
      <c r="O1083" s="398"/>
      <c r="P1083" s="398"/>
      <c r="Q1083" s="398"/>
      <c r="R1083" s="398"/>
      <c r="S1083" s="398"/>
      <c r="T1083" s="398"/>
      <c r="U1083" s="398"/>
      <c r="V1083" s="398"/>
      <c r="W1083" s="398"/>
      <c r="X1083" s="398"/>
      <c r="Y1083" s="398"/>
      <c r="Z1083" s="398"/>
      <c r="AA1083" s="398"/>
      <c r="AB1083" s="398"/>
      <c r="AC1083" s="398"/>
      <c r="AD1083" s="398"/>
      <c r="AE1083" s="398"/>
      <c r="AF1083" s="398"/>
      <c r="AG1083" s="398"/>
      <c r="AH1083" s="398"/>
      <c r="AI1083" s="398"/>
      <c r="AJ1083" s="398"/>
      <c r="AK1083" s="398"/>
      <c r="AL1083" s="398"/>
      <c r="AM1083" s="398"/>
      <c r="AN1083" s="398"/>
      <c r="AO1083" s="398"/>
      <c r="AP1083" s="398"/>
      <c r="AQ1083" s="398"/>
      <c r="AR1083" s="398"/>
      <c r="AS1083" s="398"/>
      <c r="AT1083" s="398"/>
      <c r="AU1083" s="398"/>
      <c r="AV1083" s="398"/>
      <c r="AW1083" s="398"/>
      <c r="AX1083" s="398"/>
    </row>
    <row r="1084" spans="1:50" s="412" customFormat="1" ht="15" customHeight="1" x14ac:dyDescent="0.25">
      <c r="A1084" s="413"/>
      <c r="B1084" s="692"/>
      <c r="C1084" s="655"/>
      <c r="D1084" s="414"/>
      <c r="E1084" s="398" t="str">
        <f>Translate!E$601 &amp; ": "  &amp; E1073</f>
        <v>Total: Carried interest loan: drawdowns (mid period) POS</v>
      </c>
      <c r="F1084" s="506">
        <f ca="1" xml:space="preserve"> SUM(K1073:AX1073)</f>
        <v>154.63911136898764</v>
      </c>
      <c r="G1084" s="398" t="str">
        <f xml:space="preserve"> G1073</f>
        <v>US$ mn</v>
      </c>
      <c r="H1084" s="398"/>
      <c r="I1084" s="398"/>
      <c r="J1084" s="398"/>
      <c r="K1084" s="398"/>
      <c r="L1084" s="398"/>
      <c r="M1084" s="398"/>
      <c r="N1084" s="398"/>
      <c r="O1084" s="398"/>
      <c r="P1084" s="398"/>
      <c r="Q1084" s="398"/>
      <c r="R1084" s="398"/>
      <c r="S1084" s="398"/>
      <c r="T1084" s="398"/>
      <c r="U1084" s="398"/>
      <c r="V1084" s="398"/>
      <c r="W1084" s="398"/>
      <c r="X1084" s="398"/>
      <c r="Y1084" s="398"/>
      <c r="Z1084" s="398"/>
      <c r="AA1084" s="398"/>
      <c r="AB1084" s="398"/>
      <c r="AC1084" s="398"/>
      <c r="AD1084" s="398"/>
      <c r="AE1084" s="398"/>
      <c r="AF1084" s="398"/>
      <c r="AG1084" s="398"/>
      <c r="AH1084" s="398"/>
      <c r="AI1084" s="398"/>
      <c r="AJ1084" s="398"/>
      <c r="AK1084" s="398"/>
      <c r="AL1084" s="398"/>
      <c r="AM1084" s="398"/>
      <c r="AN1084" s="398"/>
      <c r="AO1084" s="398"/>
      <c r="AP1084" s="398"/>
      <c r="AQ1084" s="398"/>
      <c r="AR1084" s="398"/>
      <c r="AS1084" s="398"/>
      <c r="AT1084" s="398"/>
      <c r="AU1084" s="398"/>
      <c r="AV1084" s="398"/>
      <c r="AW1084" s="398"/>
      <c r="AX1084" s="398"/>
    </row>
    <row r="1085" spans="1:50" s="412" customFormat="1" ht="15" customHeight="1" x14ac:dyDescent="0.25">
      <c r="A1085" s="413"/>
      <c r="B1085" s="692"/>
      <c r="C1085" s="655"/>
      <c r="D1085" s="414"/>
      <c r="E1085" s="398" t="str">
        <f>Translate!E$601 &amp; ": "  &amp; E1074</f>
        <v>Total: Carried interest loan: interest charge</v>
      </c>
      <c r="F1085" s="506">
        <f ca="1" xml:space="preserve"> SUM(K1074:AX1074)</f>
        <v>23.133769451511213</v>
      </c>
      <c r="G1085" s="398" t="str">
        <f xml:space="preserve"> G1074</f>
        <v>US$ mn</v>
      </c>
      <c r="H1085" s="398"/>
      <c r="I1085" s="398"/>
      <c r="J1085" s="398"/>
      <c r="K1085" s="398"/>
      <c r="L1085" s="398"/>
      <c r="M1085" s="398"/>
      <c r="N1085" s="398"/>
      <c r="O1085" s="398"/>
      <c r="P1085" s="398"/>
      <c r="Q1085" s="398"/>
      <c r="R1085" s="398"/>
      <c r="S1085" s="398"/>
      <c r="T1085" s="398"/>
      <c r="U1085" s="398"/>
      <c r="V1085" s="398"/>
      <c r="W1085" s="398"/>
      <c r="X1085" s="398"/>
      <c r="Y1085" s="398"/>
      <c r="Z1085" s="398"/>
      <c r="AA1085" s="398"/>
      <c r="AB1085" s="398"/>
      <c r="AC1085" s="398"/>
      <c r="AD1085" s="398"/>
      <c r="AE1085" s="398"/>
      <c r="AF1085" s="398"/>
      <c r="AG1085" s="398"/>
      <c r="AH1085" s="398"/>
      <c r="AI1085" s="398"/>
      <c r="AJ1085" s="398"/>
      <c r="AK1085" s="398"/>
      <c r="AL1085" s="398"/>
      <c r="AM1085" s="398"/>
      <c r="AN1085" s="398"/>
      <c r="AO1085" s="398"/>
      <c r="AP1085" s="398"/>
      <c r="AQ1085" s="398"/>
      <c r="AR1085" s="398"/>
      <c r="AS1085" s="398"/>
      <c r="AT1085" s="398"/>
      <c r="AU1085" s="398"/>
      <c r="AV1085" s="398"/>
      <c r="AW1085" s="398"/>
      <c r="AX1085" s="398"/>
    </row>
    <row r="1086" spans="1:50" s="412" customFormat="1" ht="15" customHeight="1" x14ac:dyDescent="0.25">
      <c r="A1086" s="413"/>
      <c r="B1086" s="692"/>
      <c r="C1086" s="655"/>
      <c r="D1086" s="414"/>
      <c r="E1086" s="398" t="str">
        <f>Translate!E$601 &amp; ": "  &amp; E1076</f>
        <v>Total: Carried interest loan: repayment (end of period)</v>
      </c>
      <c r="F1086" s="506">
        <f ca="1" xml:space="preserve"> SUM(K1076:AX1076)</f>
        <v>177.77288082049881</v>
      </c>
      <c r="G1086" s="398" t="str">
        <f xml:space="preserve"> G1076</f>
        <v>US$ mn</v>
      </c>
      <c r="H1086" s="398"/>
      <c r="I1086" s="398"/>
      <c r="J1086" s="398"/>
      <c r="K1086" s="398"/>
      <c r="L1086" s="398"/>
      <c r="M1086" s="398"/>
      <c r="N1086" s="398"/>
      <c r="O1086" s="398"/>
      <c r="P1086" s="398"/>
      <c r="Q1086" s="398"/>
      <c r="R1086" s="398"/>
      <c r="S1086" s="398"/>
      <c r="T1086" s="398"/>
      <c r="U1086" s="398"/>
      <c r="V1086" s="398"/>
      <c r="W1086" s="398"/>
      <c r="X1086" s="398"/>
      <c r="Y1086" s="398"/>
      <c r="Z1086" s="398"/>
      <c r="AA1086" s="398"/>
      <c r="AB1086" s="398"/>
      <c r="AC1086" s="398"/>
      <c r="AD1086" s="398"/>
      <c r="AE1086" s="398"/>
      <c r="AF1086" s="398"/>
      <c r="AG1086" s="398"/>
      <c r="AH1086" s="398"/>
      <c r="AI1086" s="398"/>
      <c r="AJ1086" s="398"/>
      <c r="AK1086" s="398"/>
      <c r="AL1086" s="398"/>
      <c r="AM1086" s="398"/>
      <c r="AN1086" s="398"/>
      <c r="AO1086" s="398"/>
      <c r="AP1086" s="398"/>
      <c r="AQ1086" s="398"/>
      <c r="AR1086" s="398"/>
      <c r="AS1086" s="398"/>
      <c r="AT1086" s="398"/>
      <c r="AU1086" s="398"/>
      <c r="AV1086" s="398"/>
      <c r="AW1086" s="398"/>
      <c r="AX1086" s="398"/>
    </row>
    <row r="1087" spans="1:50" s="412" customFormat="1" ht="15" customHeight="1" x14ac:dyDescent="0.25">
      <c r="A1087" s="413"/>
      <c r="B1087" s="692"/>
      <c r="C1087" s="655"/>
      <c r="D1087" s="414"/>
      <c r="E1087" s="398" t="str">
        <f xml:space="preserve"> Translate!E$393</f>
        <v>Carried interest loan closing balance</v>
      </c>
      <c r="F1087" s="506">
        <f ca="1" xml:space="preserve"> AX1077</f>
        <v>0</v>
      </c>
      <c r="G1087" s="398" t="str">
        <f xml:space="preserve"> G1077</f>
        <v>US$ mn</v>
      </c>
      <c r="H1087" s="398"/>
      <c r="I1087" s="398"/>
      <c r="J1087" s="398"/>
      <c r="K1087" s="398"/>
      <c r="L1087" s="398"/>
      <c r="M1087" s="398"/>
      <c r="N1087" s="398"/>
      <c r="O1087" s="398"/>
      <c r="P1087" s="398"/>
      <c r="Q1087" s="398"/>
      <c r="R1087" s="398"/>
      <c r="S1087" s="398"/>
      <c r="T1087" s="398"/>
      <c r="U1087" s="398"/>
      <c r="V1087" s="398"/>
      <c r="W1087" s="398"/>
      <c r="X1087" s="398"/>
      <c r="Y1087" s="398"/>
      <c r="Z1087" s="398"/>
      <c r="AA1087" s="398"/>
      <c r="AB1087" s="398"/>
      <c r="AC1087" s="398"/>
      <c r="AD1087" s="398"/>
      <c r="AE1087" s="398"/>
      <c r="AF1087" s="398"/>
      <c r="AG1087" s="398"/>
      <c r="AH1087" s="398"/>
      <c r="AI1087" s="398"/>
      <c r="AJ1087" s="398"/>
      <c r="AK1087" s="398"/>
      <c r="AL1087" s="398"/>
      <c r="AM1087" s="398"/>
      <c r="AN1087" s="398"/>
      <c r="AO1087" s="398"/>
      <c r="AP1087" s="398"/>
      <c r="AQ1087" s="398"/>
      <c r="AR1087" s="398"/>
      <c r="AS1087" s="398"/>
      <c r="AT1087" s="398"/>
      <c r="AU1087" s="398"/>
      <c r="AV1087" s="398"/>
      <c r="AW1087" s="398"/>
      <c r="AX1087" s="398"/>
    </row>
    <row r="1088" spans="1:50" s="412" customFormat="1" ht="15" customHeight="1" x14ac:dyDescent="0.25">
      <c r="A1088" s="413"/>
      <c r="B1088" s="692"/>
      <c r="C1088" s="655"/>
      <c r="D1088" s="414"/>
      <c r="E1088" s="398" t="str">
        <f xml:space="preserve"> Translate!E$755 &amp; " " &amp; Translate!E$394</f>
        <v>Check:  Carried interest loan cashflows</v>
      </c>
      <c r="F1088" s="548">
        <f ca="1" xml:space="preserve"> IF( ABS( F1084 + F1085 - F1086 - F1087) &gt; CHK_TOL, 1, 0)</f>
        <v>0</v>
      </c>
      <c r="G1088" s="398" t="str">
        <f xml:space="preserve"> Translate!E$604</f>
        <v>Check</v>
      </c>
      <c r="H1088" s="398"/>
      <c r="I1088" s="398"/>
      <c r="J1088" s="398"/>
      <c r="K1088" s="398"/>
      <c r="L1088" s="398"/>
      <c r="M1088" s="398"/>
      <c r="N1088" s="398"/>
      <c r="O1088" s="398"/>
      <c r="P1088" s="398"/>
      <c r="Q1088" s="398"/>
      <c r="R1088" s="398"/>
      <c r="S1088" s="398"/>
      <c r="T1088" s="398"/>
      <c r="U1088" s="398"/>
      <c r="V1088" s="398"/>
      <c r="W1088" s="398"/>
      <c r="X1088" s="398"/>
      <c r="Y1088" s="398"/>
      <c r="Z1088" s="398"/>
      <c r="AA1088" s="398"/>
      <c r="AB1088" s="398"/>
      <c r="AC1088" s="398"/>
      <c r="AD1088" s="398"/>
      <c r="AE1088" s="398"/>
      <c r="AF1088" s="398"/>
      <c r="AG1088" s="398"/>
      <c r="AH1088" s="398"/>
      <c r="AI1088" s="398"/>
      <c r="AJ1088" s="398"/>
      <c r="AK1088" s="398"/>
      <c r="AL1088" s="398"/>
      <c r="AM1088" s="398"/>
      <c r="AN1088" s="398"/>
      <c r="AO1088" s="398"/>
      <c r="AP1088" s="398"/>
      <c r="AQ1088" s="398"/>
      <c r="AR1088" s="398"/>
      <c r="AS1088" s="398"/>
      <c r="AT1088" s="398"/>
      <c r="AU1088" s="398"/>
      <c r="AV1088" s="398"/>
      <c r="AW1088" s="398"/>
      <c r="AX1088" s="398"/>
    </row>
    <row r="1089" spans="1:50" s="412" customFormat="1" ht="15" customHeight="1" x14ac:dyDescent="0.25">
      <c r="A1089" s="413"/>
      <c r="B1089" s="692"/>
      <c r="C1089" s="655"/>
      <c r="D1089" s="414"/>
      <c r="E1089" s="398"/>
      <c r="F1089" s="506"/>
      <c r="G1089" s="398"/>
      <c r="H1089" s="398"/>
      <c r="I1089" s="398"/>
      <c r="J1089" s="398"/>
      <c r="K1089" s="398"/>
      <c r="L1089" s="398"/>
      <c r="M1089" s="398"/>
      <c r="N1089" s="398"/>
      <c r="O1089" s="398"/>
      <c r="P1089" s="398"/>
      <c r="Q1089" s="398"/>
      <c r="R1089" s="398"/>
      <c r="S1089" s="398"/>
      <c r="T1089" s="398"/>
      <c r="U1089" s="398"/>
      <c r="V1089" s="398"/>
      <c r="W1089" s="398"/>
      <c r="X1089" s="398"/>
      <c r="Y1089" s="398"/>
      <c r="Z1089" s="398"/>
      <c r="AA1089" s="398"/>
      <c r="AB1089" s="398"/>
      <c r="AC1089" s="398"/>
      <c r="AD1089" s="398"/>
      <c r="AE1089" s="398"/>
      <c r="AF1089" s="398"/>
      <c r="AG1089" s="398"/>
      <c r="AH1089" s="398"/>
      <c r="AI1089" s="398"/>
      <c r="AJ1089" s="398"/>
      <c r="AK1089" s="398"/>
      <c r="AL1089" s="398"/>
      <c r="AM1089" s="398"/>
      <c r="AN1089" s="398"/>
      <c r="AO1089" s="398"/>
      <c r="AP1089" s="398"/>
      <c r="AQ1089" s="398"/>
      <c r="AR1089" s="398"/>
      <c r="AS1089" s="398"/>
      <c r="AT1089" s="398"/>
      <c r="AU1089" s="398"/>
      <c r="AV1089" s="398"/>
      <c r="AW1089" s="398"/>
      <c r="AX1089" s="398"/>
    </row>
    <row r="1090" spans="1:50" s="412" customFormat="1" ht="15" customHeight="1" x14ac:dyDescent="0.25">
      <c r="A1090" s="413"/>
      <c r="B1090" s="689" t="str">
        <f>Translate!$E$466</f>
        <v>SOC cashflows after carried interest financing</v>
      </c>
      <c r="C1090" s="655"/>
      <c r="D1090" s="414"/>
      <c r="E1090" s="398"/>
      <c r="F1090" s="506"/>
      <c r="G1090" s="398"/>
      <c r="H1090" s="398"/>
      <c r="I1090" s="398"/>
      <c r="J1090" s="398"/>
      <c r="K1090" s="398"/>
      <c r="L1090" s="398"/>
      <c r="M1090" s="398"/>
      <c r="N1090" s="398"/>
      <c r="O1090" s="398"/>
      <c r="P1090" s="398"/>
      <c r="Q1090" s="398"/>
      <c r="R1090" s="398"/>
      <c r="S1090" s="398"/>
      <c r="T1090" s="398"/>
      <c r="U1090" s="398"/>
      <c r="V1090" s="398"/>
      <c r="W1090" s="398"/>
      <c r="X1090" s="398"/>
      <c r="Y1090" s="398"/>
      <c r="Z1090" s="398"/>
      <c r="AA1090" s="398"/>
      <c r="AB1090" s="398"/>
      <c r="AC1090" s="398"/>
      <c r="AD1090" s="398"/>
      <c r="AE1090" s="398"/>
      <c r="AF1090" s="398"/>
      <c r="AG1090" s="398"/>
      <c r="AH1090" s="398"/>
      <c r="AI1090" s="398"/>
      <c r="AJ1090" s="398"/>
      <c r="AK1090" s="398"/>
      <c r="AL1090" s="398"/>
      <c r="AM1090" s="398"/>
      <c r="AN1090" s="398"/>
      <c r="AO1090" s="398"/>
      <c r="AP1090" s="398"/>
      <c r="AQ1090" s="398"/>
      <c r="AR1090" s="398"/>
      <c r="AS1090" s="398"/>
      <c r="AT1090" s="398"/>
      <c r="AU1090" s="398"/>
      <c r="AV1090" s="398"/>
      <c r="AW1090" s="398"/>
      <c r="AX1090" s="398"/>
    </row>
    <row r="1091" spans="1:50" ht="15" customHeight="1" x14ac:dyDescent="0.25">
      <c r="A1091" s="241"/>
      <c r="B1091" s="675"/>
      <c r="C1091" s="615"/>
      <c r="D1091" s="64" t="str">
        <f>Translate!E529</f>
        <v>add</v>
      </c>
      <c r="E1091" s="55" t="str">
        <f t="shared" ref="E1091:AX1091" si="375" xml:space="preserve"> E$1045</f>
        <v>SOC net cash flow before tax</v>
      </c>
      <c r="F1091" s="55">
        <f t="shared" si="375"/>
        <v>0</v>
      </c>
      <c r="G1091" s="55" t="str">
        <f t="shared" si="375"/>
        <v>US$ mn</v>
      </c>
      <c r="H1091" s="55">
        <f t="shared" si="375"/>
        <v>0</v>
      </c>
      <c r="I1091" s="55">
        <f t="shared" ca="1" si="375"/>
        <v>5117.3670540243475</v>
      </c>
      <c r="J1091" s="55">
        <f t="shared" si="375"/>
        <v>0</v>
      </c>
      <c r="K1091" s="55">
        <f t="shared" ca="1" si="375"/>
        <v>0</v>
      </c>
      <c r="L1091" s="55">
        <f t="shared" ca="1" si="375"/>
        <v>-3.0600000000000014</v>
      </c>
      <c r="M1091" s="55">
        <f t="shared" ca="1" si="375"/>
        <v>-18.727200000000011</v>
      </c>
      <c r="N1091" s="55">
        <f t="shared" ca="1" si="375"/>
        <v>-76.406976000000014</v>
      </c>
      <c r="O1091" s="55">
        <f t="shared" ca="1" si="375"/>
        <v>-56.444935368987615</v>
      </c>
      <c r="P1091" s="55">
        <f t="shared" ca="1" si="375"/>
        <v>80.209533372480053</v>
      </c>
      <c r="Q1091" s="55">
        <f t="shared" ca="1" si="375"/>
        <v>103.29000040338926</v>
      </c>
      <c r="R1091" s="55">
        <f t="shared" ca="1" si="375"/>
        <v>261.34863419946885</v>
      </c>
      <c r="S1091" s="55">
        <f t="shared" ca="1" si="375"/>
        <v>320.02559672734554</v>
      </c>
      <c r="T1091" s="55">
        <f t="shared" ca="1" si="375"/>
        <v>332.92964087588007</v>
      </c>
      <c r="U1091" s="55">
        <f t="shared" ca="1" si="375"/>
        <v>346.01168351757656</v>
      </c>
      <c r="V1091" s="55">
        <f t="shared" ca="1" si="375"/>
        <v>359.27528462229827</v>
      </c>
      <c r="W1091" s="55">
        <f t="shared" ca="1" si="375"/>
        <v>359.97538076622828</v>
      </c>
      <c r="X1091" s="55">
        <f t="shared" ca="1" si="375"/>
        <v>373.61306492816686</v>
      </c>
      <c r="Y1091" s="55">
        <f t="shared" ca="1" si="375"/>
        <v>387.44342038353534</v>
      </c>
      <c r="Z1091" s="55">
        <f t="shared" ca="1" si="375"/>
        <v>401.47030055820244</v>
      </c>
      <c r="AA1091" s="55">
        <f t="shared" ca="1" si="375"/>
        <v>371.78581114493267</v>
      </c>
      <c r="AB1091" s="55">
        <f t="shared" ca="1" si="375"/>
        <v>348.01025399118669</v>
      </c>
      <c r="AC1091" s="55">
        <f t="shared" ca="1" si="375"/>
        <v>302.76742287502299</v>
      </c>
      <c r="AD1091" s="55">
        <f t="shared" ca="1" si="375"/>
        <v>184.38692441759952</v>
      </c>
      <c r="AE1091" s="55">
        <f t="shared" ca="1" si="375"/>
        <v>136.96637236979458</v>
      </c>
      <c r="AF1091" s="55">
        <f t="shared" ca="1" si="375"/>
        <v>155.94822230456782</v>
      </c>
      <c r="AG1091" s="55">
        <f t="shared" ca="1" si="375"/>
        <v>123.57207346535795</v>
      </c>
      <c r="AH1091" s="55">
        <f t="shared" ca="1" si="375"/>
        <v>95.515367494579522</v>
      </c>
      <c r="AI1091" s="55">
        <f t="shared" ca="1" si="375"/>
        <v>72.542493063200425</v>
      </c>
      <c r="AJ1091" s="55">
        <f t="shared" ca="1" si="375"/>
        <v>53.782185174209324</v>
      </c>
      <c r="AK1091" s="55">
        <f t="shared" ca="1" si="375"/>
        <v>38.5145851717879</v>
      </c>
      <c r="AL1091" s="55">
        <f t="shared" ca="1" si="375"/>
        <v>26.145002066181853</v>
      </c>
      <c r="AM1091" s="55">
        <f t="shared" ca="1" si="375"/>
        <v>20.760955418311376</v>
      </c>
      <c r="AN1091" s="55">
        <f t="shared" ca="1" si="375"/>
        <v>11.023464796666303</v>
      </c>
      <c r="AO1091" s="55">
        <f t="shared" ca="1" si="375"/>
        <v>4.6924912853637437</v>
      </c>
      <c r="AP1091" s="55">
        <f t="shared" ca="1" si="375"/>
        <v>0</v>
      </c>
      <c r="AQ1091" s="55">
        <f t="shared" ca="1" si="375"/>
        <v>0</v>
      </c>
      <c r="AR1091" s="55">
        <f t="shared" ca="1" si="375"/>
        <v>0</v>
      </c>
      <c r="AS1091" s="55">
        <f t="shared" ca="1" si="375"/>
        <v>0</v>
      </c>
      <c r="AT1091" s="55">
        <f t="shared" ca="1" si="375"/>
        <v>0</v>
      </c>
      <c r="AU1091" s="55">
        <f t="shared" ca="1" si="375"/>
        <v>0</v>
      </c>
      <c r="AV1091" s="55">
        <f t="shared" ca="1" si="375"/>
        <v>0</v>
      </c>
      <c r="AW1091" s="55">
        <f t="shared" ca="1" si="375"/>
        <v>0</v>
      </c>
      <c r="AX1091" s="55">
        <f t="shared" ca="1" si="375"/>
        <v>0</v>
      </c>
    </row>
    <row r="1092" spans="1:50" ht="15" customHeight="1" x14ac:dyDescent="0.25">
      <c r="A1092" s="241"/>
      <c r="B1092" s="675"/>
      <c r="C1092" s="615"/>
      <c r="D1092" s="64" t="str">
        <f>Translate!E529</f>
        <v>add</v>
      </c>
      <c r="E1092" s="55" t="str">
        <f t="shared" ref="E1092:AX1092" si="376" xml:space="preserve"> E$1080</f>
        <v>Carried interest loan cashflows: SOC</v>
      </c>
      <c r="F1092" s="64">
        <f t="shared" si="376"/>
        <v>0</v>
      </c>
      <c r="G1092" s="55" t="str">
        <f t="shared" si="376"/>
        <v>US$ mn</v>
      </c>
      <c r="H1092" s="55">
        <f t="shared" si="376"/>
        <v>0</v>
      </c>
      <c r="I1092" s="55">
        <f t="shared" ca="1" si="376"/>
        <v>-23.133769451511185</v>
      </c>
      <c r="J1092" s="55">
        <f t="shared" si="376"/>
        <v>0</v>
      </c>
      <c r="K1092" s="55">
        <f t="shared" ca="1" si="376"/>
        <v>0</v>
      </c>
      <c r="L1092" s="55">
        <f t="shared" ca="1" si="376"/>
        <v>3.0600000000000014</v>
      </c>
      <c r="M1092" s="55">
        <f t="shared" ca="1" si="376"/>
        <v>18.727200000000011</v>
      </c>
      <c r="N1092" s="55">
        <f t="shared" ca="1" si="376"/>
        <v>76.406976000000014</v>
      </c>
      <c r="O1092" s="55">
        <f t="shared" ca="1" si="376"/>
        <v>56.444935368987615</v>
      </c>
      <c r="P1092" s="55">
        <f t="shared" ca="1" si="376"/>
        <v>-80.209533372480053</v>
      </c>
      <c r="Q1092" s="55">
        <f t="shared" ca="1" si="376"/>
        <v>-97.563347448018774</v>
      </c>
      <c r="R1092" s="55">
        <f t="shared" ca="1" si="376"/>
        <v>0</v>
      </c>
      <c r="S1092" s="55">
        <f t="shared" ca="1" si="376"/>
        <v>0</v>
      </c>
      <c r="T1092" s="55">
        <f t="shared" ca="1" si="376"/>
        <v>0</v>
      </c>
      <c r="U1092" s="55">
        <f t="shared" ca="1" si="376"/>
        <v>0</v>
      </c>
      <c r="V1092" s="55">
        <f t="shared" ca="1" si="376"/>
        <v>0</v>
      </c>
      <c r="W1092" s="55">
        <f t="shared" ca="1" si="376"/>
        <v>0</v>
      </c>
      <c r="X1092" s="55">
        <f t="shared" ca="1" si="376"/>
        <v>0</v>
      </c>
      <c r="Y1092" s="55">
        <f t="shared" ca="1" si="376"/>
        <v>0</v>
      </c>
      <c r="Z1092" s="55">
        <f t="shared" ca="1" si="376"/>
        <v>0</v>
      </c>
      <c r="AA1092" s="55">
        <f t="shared" ca="1" si="376"/>
        <v>0</v>
      </c>
      <c r="AB1092" s="55">
        <f t="shared" ca="1" si="376"/>
        <v>0</v>
      </c>
      <c r="AC1092" s="55">
        <f t="shared" ca="1" si="376"/>
        <v>0</v>
      </c>
      <c r="AD1092" s="55">
        <f t="shared" ca="1" si="376"/>
        <v>0</v>
      </c>
      <c r="AE1092" s="55">
        <f t="shared" ca="1" si="376"/>
        <v>0</v>
      </c>
      <c r="AF1092" s="55">
        <f t="shared" ca="1" si="376"/>
        <v>0</v>
      </c>
      <c r="AG1092" s="55">
        <f t="shared" ca="1" si="376"/>
        <v>0</v>
      </c>
      <c r="AH1092" s="55">
        <f t="shared" ca="1" si="376"/>
        <v>0</v>
      </c>
      <c r="AI1092" s="55">
        <f t="shared" ca="1" si="376"/>
        <v>0</v>
      </c>
      <c r="AJ1092" s="55">
        <f t="shared" ca="1" si="376"/>
        <v>0</v>
      </c>
      <c r="AK1092" s="55">
        <f t="shared" ca="1" si="376"/>
        <v>0</v>
      </c>
      <c r="AL1092" s="55">
        <f t="shared" ca="1" si="376"/>
        <v>0</v>
      </c>
      <c r="AM1092" s="55">
        <f t="shared" ca="1" si="376"/>
        <v>0</v>
      </c>
      <c r="AN1092" s="55">
        <f t="shared" ca="1" si="376"/>
        <v>0</v>
      </c>
      <c r="AO1092" s="55">
        <f t="shared" ca="1" si="376"/>
        <v>0</v>
      </c>
      <c r="AP1092" s="55">
        <f t="shared" ca="1" si="376"/>
        <v>0</v>
      </c>
      <c r="AQ1092" s="55">
        <f t="shared" ca="1" si="376"/>
        <v>0</v>
      </c>
      <c r="AR1092" s="55">
        <f t="shared" ca="1" si="376"/>
        <v>0</v>
      </c>
      <c r="AS1092" s="55">
        <f t="shared" ca="1" si="376"/>
        <v>0</v>
      </c>
      <c r="AT1092" s="55">
        <f t="shared" ca="1" si="376"/>
        <v>0</v>
      </c>
      <c r="AU1092" s="55">
        <f t="shared" ca="1" si="376"/>
        <v>0</v>
      </c>
      <c r="AV1092" s="55">
        <f t="shared" ca="1" si="376"/>
        <v>0</v>
      </c>
      <c r="AW1092" s="55">
        <f t="shared" ca="1" si="376"/>
        <v>0</v>
      </c>
      <c r="AX1092" s="55">
        <f t="shared" ca="1" si="376"/>
        <v>0</v>
      </c>
    </row>
    <row r="1093" spans="1:50" s="900" customFormat="1" ht="15" customHeight="1" x14ac:dyDescent="0.25">
      <c r="A1093" s="511"/>
      <c r="B1093" s="1064"/>
      <c r="C1093" s="632"/>
      <c r="D1093" s="574"/>
      <c r="E1093" s="511" t="str">
        <f xml:space="preserve"> Translate!E$395</f>
        <v>SOC net cash flow before tax, after carried interest</v>
      </c>
      <c r="F1093" s="574"/>
      <c r="G1093" s="511" t="str">
        <f xml:space="preserve"> Translate!E$603</f>
        <v>US$ mn</v>
      </c>
      <c r="H1093" s="511"/>
      <c r="I1093" s="511">
        <f ca="1" xml:space="preserve"> SUM(K1093:AX1093)</f>
        <v>5094.2332845728361</v>
      </c>
      <c r="J1093" s="511"/>
      <c r="K1093" s="511">
        <f t="shared" ref="K1093:AX1093" ca="1" si="377" xml:space="preserve"> K1091 + K1092</f>
        <v>0</v>
      </c>
      <c r="L1093" s="511">
        <f t="shared" ca="1" si="377"/>
        <v>0</v>
      </c>
      <c r="M1093" s="511">
        <f t="shared" ca="1" si="377"/>
        <v>0</v>
      </c>
      <c r="N1093" s="511">
        <f t="shared" ca="1" si="377"/>
        <v>0</v>
      </c>
      <c r="O1093" s="511">
        <f t="shared" ca="1" si="377"/>
        <v>0</v>
      </c>
      <c r="P1093" s="511">
        <f t="shared" ca="1" si="377"/>
        <v>0</v>
      </c>
      <c r="Q1093" s="511">
        <f t="shared" ca="1" si="377"/>
        <v>5.7266529553704828</v>
      </c>
      <c r="R1093" s="511">
        <f t="shared" ca="1" si="377"/>
        <v>261.34863419946885</v>
      </c>
      <c r="S1093" s="511">
        <f t="shared" ca="1" si="377"/>
        <v>320.02559672734554</v>
      </c>
      <c r="T1093" s="511">
        <f t="shared" ca="1" si="377"/>
        <v>332.92964087588007</v>
      </c>
      <c r="U1093" s="511">
        <f t="shared" ca="1" si="377"/>
        <v>346.01168351757656</v>
      </c>
      <c r="V1093" s="511">
        <f t="shared" ca="1" si="377"/>
        <v>359.27528462229827</v>
      </c>
      <c r="W1093" s="511">
        <f t="shared" ca="1" si="377"/>
        <v>359.97538076622828</v>
      </c>
      <c r="X1093" s="511">
        <f t="shared" ca="1" si="377"/>
        <v>373.61306492816686</v>
      </c>
      <c r="Y1093" s="511">
        <f t="shared" ca="1" si="377"/>
        <v>387.44342038353534</v>
      </c>
      <c r="Z1093" s="511">
        <f t="shared" ca="1" si="377"/>
        <v>401.47030055820244</v>
      </c>
      <c r="AA1093" s="511">
        <f t="shared" ca="1" si="377"/>
        <v>371.78581114493267</v>
      </c>
      <c r="AB1093" s="511">
        <f t="shared" ca="1" si="377"/>
        <v>348.01025399118669</v>
      </c>
      <c r="AC1093" s="511">
        <f t="shared" ca="1" si="377"/>
        <v>302.76742287502299</v>
      </c>
      <c r="AD1093" s="511">
        <f t="shared" ca="1" si="377"/>
        <v>184.38692441759952</v>
      </c>
      <c r="AE1093" s="511">
        <f t="shared" ca="1" si="377"/>
        <v>136.96637236979458</v>
      </c>
      <c r="AF1093" s="511">
        <f t="shared" ca="1" si="377"/>
        <v>155.94822230456782</v>
      </c>
      <c r="AG1093" s="511">
        <f t="shared" ca="1" si="377"/>
        <v>123.57207346535795</v>
      </c>
      <c r="AH1093" s="511">
        <f t="shared" ca="1" si="377"/>
        <v>95.515367494579522</v>
      </c>
      <c r="AI1093" s="511">
        <f t="shared" ca="1" si="377"/>
        <v>72.542493063200425</v>
      </c>
      <c r="AJ1093" s="511">
        <f t="shared" ca="1" si="377"/>
        <v>53.782185174209324</v>
      </c>
      <c r="AK1093" s="511">
        <f t="shared" ca="1" si="377"/>
        <v>38.5145851717879</v>
      </c>
      <c r="AL1093" s="511">
        <f t="shared" ca="1" si="377"/>
        <v>26.145002066181853</v>
      </c>
      <c r="AM1093" s="511">
        <f t="shared" ca="1" si="377"/>
        <v>20.760955418311376</v>
      </c>
      <c r="AN1093" s="511">
        <f t="shared" ca="1" si="377"/>
        <v>11.023464796666303</v>
      </c>
      <c r="AO1093" s="511">
        <f t="shared" ca="1" si="377"/>
        <v>4.6924912853637437</v>
      </c>
      <c r="AP1093" s="511">
        <f t="shared" ca="1" si="377"/>
        <v>0</v>
      </c>
      <c r="AQ1093" s="511">
        <f t="shared" ca="1" si="377"/>
        <v>0</v>
      </c>
      <c r="AR1093" s="511">
        <f t="shared" ca="1" si="377"/>
        <v>0</v>
      </c>
      <c r="AS1093" s="511">
        <f t="shared" ca="1" si="377"/>
        <v>0</v>
      </c>
      <c r="AT1093" s="511">
        <f t="shared" ca="1" si="377"/>
        <v>0</v>
      </c>
      <c r="AU1093" s="511">
        <f t="shared" ca="1" si="377"/>
        <v>0</v>
      </c>
      <c r="AV1093" s="511">
        <f t="shared" ca="1" si="377"/>
        <v>0</v>
      </c>
      <c r="AW1093" s="511">
        <f t="shared" ca="1" si="377"/>
        <v>0</v>
      </c>
      <c r="AX1093" s="511">
        <f t="shared" ca="1" si="377"/>
        <v>0</v>
      </c>
    </row>
    <row r="1094" spans="1:50" s="412" customFormat="1" ht="15" customHeight="1" x14ac:dyDescent="0.25">
      <c r="A1094" s="413"/>
      <c r="B1094" s="692"/>
      <c r="C1094" s="655"/>
      <c r="D1094" s="414"/>
      <c r="E1094" s="419"/>
      <c r="F1094" s="595"/>
      <c r="G1094" s="419"/>
      <c r="I1094" s="414"/>
      <c r="J1094" s="417"/>
      <c r="K1094" s="418"/>
      <c r="L1094" s="418"/>
      <c r="M1094" s="418"/>
      <c r="N1094" s="418"/>
      <c r="O1094" s="418"/>
      <c r="P1094" s="418"/>
      <c r="Q1094" s="418"/>
      <c r="R1094" s="418"/>
      <c r="S1094" s="418"/>
      <c r="T1094" s="418"/>
      <c r="U1094" s="418"/>
      <c r="V1094" s="418"/>
      <c r="W1094" s="418"/>
      <c r="X1094" s="418"/>
      <c r="Y1094" s="418"/>
      <c r="Z1094" s="418"/>
      <c r="AA1094" s="418"/>
      <c r="AB1094" s="418"/>
      <c r="AC1094" s="418"/>
      <c r="AD1094" s="418"/>
      <c r="AE1094" s="418"/>
      <c r="AF1094" s="418"/>
      <c r="AG1094" s="418"/>
      <c r="AH1094" s="418"/>
      <c r="AI1094" s="418"/>
      <c r="AJ1094" s="418"/>
      <c r="AK1094" s="418"/>
      <c r="AL1094" s="418"/>
      <c r="AM1094" s="418"/>
      <c r="AN1094" s="418"/>
      <c r="AO1094" s="418"/>
      <c r="AP1094" s="418"/>
      <c r="AQ1094" s="418"/>
      <c r="AR1094" s="418"/>
      <c r="AS1094" s="418"/>
      <c r="AT1094" s="418"/>
      <c r="AU1094" s="418"/>
      <c r="AV1094" s="418"/>
      <c r="AW1094" s="418"/>
      <c r="AX1094" s="418"/>
    </row>
    <row r="1095" spans="1:50" s="745" customFormat="1" ht="15" customHeight="1" x14ac:dyDescent="0.25">
      <c r="B1095" s="739"/>
      <c r="C1095" s="796"/>
      <c r="D1095" s="1062"/>
      <c r="E1095" s="1062" t="str">
        <f t="shared" ref="E1095:AX1095" si="378" xml:space="preserve"> E$414</f>
        <v>Lender cashflows after interest withholding tax: SOC parent</v>
      </c>
      <c r="F1095" s="1062">
        <f t="shared" si="378"/>
        <v>0</v>
      </c>
      <c r="G1095" s="1062" t="str">
        <f t="shared" si="378"/>
        <v>US$ mn</v>
      </c>
      <c r="H1095" s="1062">
        <f t="shared" si="378"/>
        <v>0</v>
      </c>
      <c r="I1095" s="1062">
        <f t="shared" ca="1" si="378"/>
        <v>253.96377429388684</v>
      </c>
      <c r="J1095" s="1062">
        <f t="shared" si="378"/>
        <v>0</v>
      </c>
      <c r="K1095" s="1062">
        <f t="shared" ca="1" si="378"/>
        <v>0</v>
      </c>
      <c r="L1095" s="1062">
        <f t="shared" ca="1" si="378"/>
        <v>-7.14</v>
      </c>
      <c r="M1095" s="1062">
        <f t="shared" ca="1" si="378"/>
        <v>-43.696799999999996</v>
      </c>
      <c r="N1095" s="1062">
        <f t="shared" ca="1" si="378"/>
        <v>-178.28294399999999</v>
      </c>
      <c r="O1095" s="1062">
        <f t="shared" ca="1" si="378"/>
        <v>-181.84860287999999</v>
      </c>
      <c r="P1095" s="1062">
        <f t="shared" ca="1" si="378"/>
        <v>-324.59975614080003</v>
      </c>
      <c r="Q1095" s="1062">
        <f t="shared" ca="1" si="378"/>
        <v>115.16987166775655</v>
      </c>
      <c r="R1095" s="1062">
        <f t="shared" ca="1" si="378"/>
        <v>111.56616412635923</v>
      </c>
      <c r="S1095" s="1062">
        <f t="shared" ca="1" si="378"/>
        <v>107.96245658496194</v>
      </c>
      <c r="T1095" s="1062">
        <f t="shared" ca="1" si="378"/>
        <v>104.35874904356461</v>
      </c>
      <c r="U1095" s="1062">
        <f t="shared" ca="1" si="378"/>
        <v>100.75504150216733</v>
      </c>
      <c r="V1095" s="1062">
        <f t="shared" ca="1" si="378"/>
        <v>97.151333960770046</v>
      </c>
      <c r="W1095" s="1062">
        <f t="shared" ca="1" si="378"/>
        <v>93.547626419372733</v>
      </c>
      <c r="X1095" s="1062">
        <f t="shared" ca="1" si="378"/>
        <v>89.94391887797542</v>
      </c>
      <c r="Y1095" s="1062">
        <f t="shared" ca="1" si="378"/>
        <v>86.340211336578136</v>
      </c>
      <c r="Z1095" s="1062">
        <f t="shared" ca="1" si="378"/>
        <v>82.736503795180823</v>
      </c>
      <c r="AA1095" s="1062">
        <f t="shared" ca="1" si="378"/>
        <v>0</v>
      </c>
      <c r="AB1095" s="1062">
        <f t="shared" ca="1" si="378"/>
        <v>0</v>
      </c>
      <c r="AC1095" s="1062">
        <f t="shared" ca="1" si="378"/>
        <v>0</v>
      </c>
      <c r="AD1095" s="1062">
        <f t="shared" ca="1" si="378"/>
        <v>0</v>
      </c>
      <c r="AE1095" s="1062">
        <f t="shared" ca="1" si="378"/>
        <v>0</v>
      </c>
      <c r="AF1095" s="1062">
        <f t="shared" ca="1" si="378"/>
        <v>0</v>
      </c>
      <c r="AG1095" s="1062">
        <f t="shared" ca="1" si="378"/>
        <v>0</v>
      </c>
      <c r="AH1095" s="1062">
        <f t="shared" ca="1" si="378"/>
        <v>0</v>
      </c>
      <c r="AI1095" s="1062">
        <f t="shared" ca="1" si="378"/>
        <v>0</v>
      </c>
      <c r="AJ1095" s="1062">
        <f t="shared" ca="1" si="378"/>
        <v>0</v>
      </c>
      <c r="AK1095" s="1062">
        <f t="shared" ca="1" si="378"/>
        <v>0</v>
      </c>
      <c r="AL1095" s="1062">
        <f t="shared" ca="1" si="378"/>
        <v>0</v>
      </c>
      <c r="AM1095" s="1062">
        <f t="shared" ca="1" si="378"/>
        <v>0</v>
      </c>
      <c r="AN1095" s="1062">
        <f t="shared" ca="1" si="378"/>
        <v>0</v>
      </c>
      <c r="AO1095" s="1062">
        <f t="shared" ca="1" si="378"/>
        <v>0</v>
      </c>
      <c r="AP1095" s="1062">
        <f t="shared" ca="1" si="378"/>
        <v>0</v>
      </c>
      <c r="AQ1095" s="1062">
        <f t="shared" ca="1" si="378"/>
        <v>0</v>
      </c>
      <c r="AR1095" s="1062">
        <f t="shared" ca="1" si="378"/>
        <v>0</v>
      </c>
      <c r="AS1095" s="1062">
        <f t="shared" ca="1" si="378"/>
        <v>0</v>
      </c>
      <c r="AT1095" s="1062">
        <f t="shared" ca="1" si="378"/>
        <v>0</v>
      </c>
      <c r="AU1095" s="1062">
        <f t="shared" ca="1" si="378"/>
        <v>0</v>
      </c>
      <c r="AV1095" s="1062">
        <f t="shared" ca="1" si="378"/>
        <v>0</v>
      </c>
      <c r="AW1095" s="1062">
        <f t="shared" ca="1" si="378"/>
        <v>0</v>
      </c>
      <c r="AX1095" s="1062">
        <f t="shared" ca="1" si="378"/>
        <v>0</v>
      </c>
    </row>
    <row r="1096" spans="1:50" s="412" customFormat="1" ht="15" customHeight="1" x14ac:dyDescent="0.25">
      <c r="A1096" s="413"/>
      <c r="B1096" s="1063"/>
      <c r="C1096" s="655"/>
      <c r="D1096" s="414"/>
      <c r="E1096" s="419"/>
      <c r="F1096" s="595"/>
      <c r="G1096" s="419"/>
      <c r="I1096" s="414"/>
      <c r="J1096" s="417"/>
      <c r="K1096" s="418"/>
      <c r="L1096" s="418"/>
      <c r="M1096" s="418"/>
      <c r="N1096" s="418"/>
      <c r="O1096" s="418"/>
      <c r="P1096" s="418"/>
      <c r="Q1096" s="418"/>
      <c r="R1096" s="418"/>
      <c r="S1096" s="418"/>
      <c r="T1096" s="418"/>
      <c r="U1096" s="418"/>
      <c r="V1096" s="418"/>
      <c r="W1096" s="418"/>
      <c r="X1096" s="418"/>
      <c r="Y1096" s="418"/>
      <c r="Z1096" s="418"/>
      <c r="AA1096" s="418"/>
      <c r="AB1096" s="418"/>
      <c r="AC1096" s="418"/>
      <c r="AD1096" s="418"/>
      <c r="AE1096" s="418"/>
      <c r="AF1096" s="418"/>
      <c r="AG1096" s="418"/>
      <c r="AH1096" s="418"/>
      <c r="AI1096" s="418"/>
      <c r="AJ1096" s="418"/>
      <c r="AK1096" s="418"/>
      <c r="AL1096" s="418"/>
      <c r="AM1096" s="418"/>
      <c r="AN1096" s="418"/>
      <c r="AO1096" s="418"/>
      <c r="AP1096" s="418"/>
      <c r="AQ1096" s="418"/>
      <c r="AR1096" s="418"/>
      <c r="AS1096" s="418"/>
      <c r="AT1096" s="418"/>
      <c r="AU1096" s="418"/>
      <c r="AV1096" s="418"/>
      <c r="AW1096" s="418"/>
      <c r="AX1096" s="418"/>
    </row>
    <row r="1097" spans="1:50" s="77" customFormat="1" ht="15" customHeight="1" x14ac:dyDescent="0.25">
      <c r="B1097" s="1065"/>
      <c r="C1097" s="1066"/>
      <c r="D1097" s="176"/>
      <c r="E1097" s="176" t="str">
        <f xml:space="preserve"> E1093 &amp; ", " &amp; Translate!E$396</f>
        <v>SOC net cash flow before tax, after carried interest, including share of lender cashflows</v>
      </c>
      <c r="F1097" s="206"/>
      <c r="G1097" s="176" t="str">
        <f xml:space="preserve"> Translate!E$603</f>
        <v>US$ mn</v>
      </c>
      <c r="I1097" s="176">
        <f ca="1" xml:space="preserve"> SUM(K1097:AX1097)</f>
        <v>5348.1970588667227</v>
      </c>
      <c r="J1097" s="176"/>
      <c r="K1097" s="176">
        <f t="shared" ref="K1097:AX1097" ca="1" si="379" xml:space="preserve"> K1093 + K1095</f>
        <v>0</v>
      </c>
      <c r="L1097" s="176">
        <f t="shared" ca="1" si="379"/>
        <v>-7.14</v>
      </c>
      <c r="M1097" s="176">
        <f t="shared" ca="1" si="379"/>
        <v>-43.696799999999996</v>
      </c>
      <c r="N1097" s="176">
        <f t="shared" ca="1" si="379"/>
        <v>-178.28294399999999</v>
      </c>
      <c r="O1097" s="176">
        <f t="shared" ca="1" si="379"/>
        <v>-181.84860287999999</v>
      </c>
      <c r="P1097" s="176">
        <f t="shared" ca="1" si="379"/>
        <v>-324.59975614080003</v>
      </c>
      <c r="Q1097" s="176">
        <f t="shared" ca="1" si="379"/>
        <v>120.89652462312704</v>
      </c>
      <c r="R1097" s="176">
        <f t="shared" ca="1" si="379"/>
        <v>372.91479832582809</v>
      </c>
      <c r="S1097" s="176">
        <f t="shared" ca="1" si="379"/>
        <v>427.9880533123075</v>
      </c>
      <c r="T1097" s="176">
        <f t="shared" ca="1" si="379"/>
        <v>437.28838991944468</v>
      </c>
      <c r="U1097" s="176">
        <f t="shared" ca="1" si="379"/>
        <v>446.76672501974389</v>
      </c>
      <c r="V1097" s="176">
        <f t="shared" ca="1" si="379"/>
        <v>456.42661858306832</v>
      </c>
      <c r="W1097" s="176">
        <f t="shared" ca="1" si="379"/>
        <v>453.52300718560105</v>
      </c>
      <c r="X1097" s="176">
        <f t="shared" ca="1" si="379"/>
        <v>463.55698380614228</v>
      </c>
      <c r="Y1097" s="176">
        <f t="shared" ca="1" si="379"/>
        <v>473.78363172011348</v>
      </c>
      <c r="Z1097" s="176">
        <f t="shared" ca="1" si="379"/>
        <v>484.20680435338329</v>
      </c>
      <c r="AA1097" s="176">
        <f t="shared" ca="1" si="379"/>
        <v>371.78581114493267</v>
      </c>
      <c r="AB1097" s="176">
        <f t="shared" ca="1" si="379"/>
        <v>348.01025399118669</v>
      </c>
      <c r="AC1097" s="176">
        <f t="shared" ca="1" si="379"/>
        <v>302.76742287502299</v>
      </c>
      <c r="AD1097" s="176">
        <f t="shared" ca="1" si="379"/>
        <v>184.38692441759952</v>
      </c>
      <c r="AE1097" s="176">
        <f t="shared" ca="1" si="379"/>
        <v>136.96637236979458</v>
      </c>
      <c r="AF1097" s="176">
        <f t="shared" ca="1" si="379"/>
        <v>155.94822230456782</v>
      </c>
      <c r="AG1097" s="176">
        <f t="shared" ca="1" si="379"/>
        <v>123.57207346535795</v>
      </c>
      <c r="AH1097" s="176">
        <f t="shared" ca="1" si="379"/>
        <v>95.515367494579522</v>
      </c>
      <c r="AI1097" s="176">
        <f t="shared" ca="1" si="379"/>
        <v>72.542493063200425</v>
      </c>
      <c r="AJ1097" s="176">
        <f t="shared" ca="1" si="379"/>
        <v>53.782185174209324</v>
      </c>
      <c r="AK1097" s="176">
        <f t="shared" ca="1" si="379"/>
        <v>38.5145851717879</v>
      </c>
      <c r="AL1097" s="176">
        <f t="shared" ca="1" si="379"/>
        <v>26.145002066181853</v>
      </c>
      <c r="AM1097" s="176">
        <f t="shared" ca="1" si="379"/>
        <v>20.760955418311376</v>
      </c>
      <c r="AN1097" s="176">
        <f t="shared" ca="1" si="379"/>
        <v>11.023464796666303</v>
      </c>
      <c r="AO1097" s="176">
        <f t="shared" ca="1" si="379"/>
        <v>4.6924912853637437</v>
      </c>
      <c r="AP1097" s="176">
        <f t="shared" ca="1" si="379"/>
        <v>0</v>
      </c>
      <c r="AQ1097" s="176">
        <f t="shared" ca="1" si="379"/>
        <v>0</v>
      </c>
      <c r="AR1097" s="176">
        <f t="shared" ca="1" si="379"/>
        <v>0</v>
      </c>
      <c r="AS1097" s="176">
        <f t="shared" ca="1" si="379"/>
        <v>0</v>
      </c>
      <c r="AT1097" s="176">
        <f t="shared" ca="1" si="379"/>
        <v>0</v>
      </c>
      <c r="AU1097" s="176">
        <f t="shared" ca="1" si="379"/>
        <v>0</v>
      </c>
      <c r="AV1097" s="176">
        <f t="shared" ca="1" si="379"/>
        <v>0</v>
      </c>
      <c r="AW1097" s="176">
        <f t="shared" ca="1" si="379"/>
        <v>0</v>
      </c>
      <c r="AX1097" s="176">
        <f t="shared" ca="1" si="379"/>
        <v>0</v>
      </c>
    </row>
    <row r="1098" spans="1:50" s="412" customFormat="1" ht="15" customHeight="1" x14ac:dyDescent="0.25">
      <c r="A1098" s="413"/>
      <c r="B1098" s="692"/>
      <c r="C1098" s="655"/>
      <c r="D1098" s="414"/>
      <c r="E1098" s="416"/>
      <c r="F1098" s="535"/>
      <c r="G1098" s="416"/>
      <c r="H1098" s="416"/>
      <c r="I1098" s="414"/>
      <c r="J1098" s="417"/>
      <c r="K1098" s="418"/>
      <c r="L1098" s="418"/>
      <c r="M1098" s="418"/>
      <c r="N1098" s="418"/>
      <c r="O1098" s="418"/>
      <c r="P1098" s="418"/>
      <c r="Q1098" s="418"/>
      <c r="R1098" s="418"/>
      <c r="S1098" s="418"/>
      <c r="T1098" s="418"/>
      <c r="U1098" s="418"/>
      <c r="V1098" s="418"/>
      <c r="W1098" s="418"/>
      <c r="X1098" s="418"/>
      <c r="Y1098" s="418"/>
      <c r="Z1098" s="418"/>
      <c r="AA1098" s="418"/>
      <c r="AB1098" s="418"/>
      <c r="AC1098" s="418"/>
      <c r="AD1098" s="418"/>
      <c r="AE1098" s="418"/>
      <c r="AF1098" s="418"/>
      <c r="AG1098" s="418"/>
      <c r="AH1098" s="418"/>
      <c r="AI1098" s="418"/>
      <c r="AJ1098" s="418"/>
      <c r="AK1098" s="418"/>
      <c r="AL1098" s="418"/>
      <c r="AM1098" s="418"/>
      <c r="AN1098" s="418"/>
      <c r="AO1098" s="418"/>
      <c r="AP1098" s="418"/>
      <c r="AQ1098" s="418"/>
      <c r="AR1098" s="418"/>
      <c r="AS1098" s="418"/>
      <c r="AT1098" s="418"/>
      <c r="AU1098" s="418"/>
      <c r="AV1098" s="418"/>
      <c r="AW1098" s="418"/>
      <c r="AX1098" s="418"/>
    </row>
    <row r="1099" spans="1:50" s="412" customFormat="1" ht="15" customHeight="1" x14ac:dyDescent="0.25">
      <c r="A1099" s="413"/>
      <c r="B1099" s="692"/>
      <c r="C1099" s="655"/>
      <c r="D1099" s="414"/>
      <c r="E1099" s="416"/>
      <c r="F1099" s="535"/>
      <c r="G1099" s="416"/>
      <c r="H1099" s="416"/>
      <c r="I1099" s="414"/>
      <c r="J1099" s="417"/>
      <c r="K1099" s="418"/>
      <c r="L1099" s="418"/>
      <c r="M1099" s="418"/>
      <c r="N1099" s="418"/>
      <c r="O1099" s="418"/>
      <c r="P1099" s="418"/>
      <c r="Q1099" s="418"/>
      <c r="R1099" s="418"/>
      <c r="S1099" s="418"/>
      <c r="T1099" s="418"/>
      <c r="U1099" s="418"/>
      <c r="V1099" s="418"/>
      <c r="W1099" s="418"/>
      <c r="X1099" s="418"/>
      <c r="Y1099" s="418"/>
      <c r="Z1099" s="418"/>
      <c r="AA1099" s="418"/>
      <c r="AB1099" s="418"/>
      <c r="AC1099" s="418"/>
      <c r="AD1099" s="418"/>
      <c r="AE1099" s="418"/>
      <c r="AF1099" s="418"/>
      <c r="AG1099" s="418"/>
      <c r="AH1099" s="418"/>
      <c r="AI1099" s="418"/>
      <c r="AJ1099" s="418"/>
      <c r="AK1099" s="418"/>
      <c r="AL1099" s="418"/>
      <c r="AM1099" s="418"/>
      <c r="AN1099" s="418"/>
      <c r="AO1099" s="418"/>
      <c r="AP1099" s="418"/>
      <c r="AQ1099" s="418"/>
      <c r="AR1099" s="418"/>
      <c r="AS1099" s="418"/>
      <c r="AT1099" s="418"/>
      <c r="AU1099" s="418"/>
      <c r="AV1099" s="418"/>
      <c r="AW1099" s="418"/>
      <c r="AX1099" s="418"/>
    </row>
    <row r="1100" spans="1:50" ht="15" customHeight="1" x14ac:dyDescent="0.25">
      <c r="A1100" s="66" t="str">
        <f>Translate!$E$623</f>
        <v>Government revenues</v>
      </c>
      <c r="B1100" s="789"/>
      <c r="C1100" s="660"/>
      <c r="D1100" s="286"/>
      <c r="E1100" s="66"/>
      <c r="F1100" s="286"/>
      <c r="G1100" s="66"/>
      <c r="H1100" s="66"/>
      <c r="I1100" s="66"/>
      <c r="J1100" s="66"/>
      <c r="K1100" s="66"/>
      <c r="L1100" s="66"/>
      <c r="M1100" s="66"/>
      <c r="N1100" s="66"/>
      <c r="O1100" s="66"/>
      <c r="P1100" s="66"/>
      <c r="Q1100" s="66"/>
      <c r="R1100" s="66"/>
      <c r="S1100" s="66"/>
      <c r="T1100" s="66"/>
      <c r="U1100" s="66"/>
      <c r="V1100" s="66"/>
      <c r="W1100" s="66"/>
      <c r="X1100" s="66"/>
      <c r="Y1100" s="66"/>
      <c r="Z1100" s="66"/>
      <c r="AA1100" s="66"/>
      <c r="AB1100" s="66"/>
      <c r="AC1100" s="66"/>
      <c r="AD1100" s="66"/>
      <c r="AE1100" s="66"/>
      <c r="AF1100" s="66"/>
      <c r="AG1100" s="66"/>
      <c r="AH1100" s="66"/>
      <c r="AI1100" s="66"/>
      <c r="AJ1100" s="66"/>
      <c r="AK1100" s="66"/>
      <c r="AL1100" s="66"/>
      <c r="AM1100" s="66"/>
      <c r="AN1100" s="66"/>
      <c r="AO1100" s="66"/>
      <c r="AP1100" s="66"/>
      <c r="AQ1100" s="66"/>
      <c r="AR1100" s="66"/>
      <c r="AS1100" s="66"/>
      <c r="AT1100" s="66"/>
      <c r="AU1100" s="66"/>
      <c r="AV1100" s="66"/>
      <c r="AW1100" s="66"/>
      <c r="AX1100" s="66"/>
    </row>
    <row r="1101" spans="1:50" ht="15" customHeight="1" x14ac:dyDescent="0.25">
      <c r="A1101" s="106"/>
      <c r="B1101" s="692"/>
      <c r="C1101" s="601"/>
      <c r="D1101" s="117"/>
      <c r="E1101" s="109"/>
      <c r="F1101" s="117"/>
      <c r="G1101" s="109"/>
      <c r="H1101" s="109"/>
      <c r="I1101" s="109"/>
      <c r="J1101" s="109"/>
      <c r="K1101" s="109"/>
      <c r="L1101" s="109"/>
      <c r="M1101" s="109"/>
      <c r="N1101" s="109"/>
      <c r="O1101" s="109"/>
      <c r="P1101" s="109"/>
      <c r="Q1101" s="109"/>
      <c r="R1101" s="109"/>
      <c r="S1101" s="109"/>
      <c r="T1101" s="109"/>
      <c r="U1101" s="109"/>
      <c r="V1101" s="109"/>
      <c r="W1101" s="109"/>
      <c r="X1101" s="109"/>
      <c r="Y1101" s="109"/>
      <c r="Z1101" s="109"/>
      <c r="AA1101" s="109"/>
      <c r="AB1101" s="109"/>
      <c r="AC1101" s="109"/>
      <c r="AD1101" s="109"/>
      <c r="AE1101" s="109"/>
      <c r="AF1101" s="109"/>
      <c r="AG1101" s="109"/>
      <c r="AH1101" s="109"/>
      <c r="AI1101" s="109"/>
      <c r="AJ1101" s="109"/>
      <c r="AK1101" s="109"/>
      <c r="AL1101" s="109"/>
      <c r="AM1101" s="109"/>
      <c r="AN1101" s="109"/>
      <c r="AO1101" s="109"/>
      <c r="AP1101" s="109"/>
      <c r="AQ1101" s="109"/>
      <c r="AR1101" s="109"/>
      <c r="AS1101" s="109"/>
      <c r="AT1101" s="109"/>
      <c r="AU1101" s="109"/>
      <c r="AV1101" s="109"/>
      <c r="AW1101" s="109"/>
      <c r="AX1101" s="109"/>
    </row>
    <row r="1102" spans="1:50" ht="15" customHeight="1" x14ac:dyDescent="0.25">
      <c r="A1102" s="106"/>
      <c r="B1102" s="692" t="str">
        <f>Translate!E$623 &amp; ": " &amp; Inputs!F$92</f>
        <v>Government revenues: nominal</v>
      </c>
      <c r="C1102" s="601"/>
      <c r="D1102" s="117"/>
      <c r="E1102" s="109"/>
      <c r="F1102" s="117"/>
      <c r="G1102" s="109"/>
      <c r="H1102" s="109"/>
      <c r="I1102" s="109"/>
      <c r="J1102" s="109"/>
      <c r="K1102" s="109"/>
      <c r="L1102" s="109"/>
      <c r="M1102" s="109"/>
      <c r="N1102" s="109"/>
      <c r="O1102" s="109"/>
      <c r="P1102" s="109"/>
      <c r="Q1102" s="109"/>
      <c r="R1102" s="109"/>
      <c r="S1102" s="109"/>
      <c r="T1102" s="109"/>
      <c r="U1102" s="109"/>
      <c r="V1102" s="109"/>
      <c r="W1102" s="109"/>
      <c r="X1102" s="109"/>
      <c r="Y1102" s="109"/>
      <c r="Z1102" s="109"/>
      <c r="AA1102" s="109"/>
      <c r="AB1102" s="109"/>
      <c r="AC1102" s="109"/>
      <c r="AD1102" s="109"/>
      <c r="AE1102" s="109"/>
      <c r="AF1102" s="109"/>
      <c r="AG1102" s="109"/>
      <c r="AH1102" s="109"/>
      <c r="AI1102" s="109"/>
      <c r="AJ1102" s="109"/>
      <c r="AK1102" s="109"/>
      <c r="AL1102" s="109"/>
      <c r="AM1102" s="109"/>
      <c r="AN1102" s="109"/>
      <c r="AO1102" s="109"/>
      <c r="AP1102" s="109"/>
      <c r="AQ1102" s="109"/>
      <c r="AR1102" s="109"/>
      <c r="AS1102" s="109"/>
      <c r="AT1102" s="109"/>
      <c r="AU1102" s="109"/>
      <c r="AV1102" s="109"/>
      <c r="AW1102" s="109"/>
      <c r="AX1102" s="109"/>
    </row>
    <row r="1103" spans="1:50" ht="15" customHeight="1" x14ac:dyDescent="0.25">
      <c r="A1103" s="106"/>
      <c r="B1103" s="692"/>
      <c r="C1103" s="601"/>
      <c r="D1103" s="117"/>
      <c r="E1103" s="109" t="str">
        <f t="shared" ref="E1103:AX1103" si="380" xml:space="preserve"> E$172</f>
        <v>Bonuses</v>
      </c>
      <c r="F1103" s="117">
        <f t="shared" si="380"/>
        <v>0</v>
      </c>
      <c r="G1103" s="109" t="str">
        <f t="shared" si="380"/>
        <v>US$ mn</v>
      </c>
      <c r="H1103" s="109">
        <f t="shared" si="380"/>
        <v>0</v>
      </c>
      <c r="I1103" s="109">
        <f t="shared" ca="1" si="380"/>
        <v>60</v>
      </c>
      <c r="J1103" s="109">
        <f t="shared" si="380"/>
        <v>0</v>
      </c>
      <c r="K1103" s="109">
        <f t="shared" ca="1" si="380"/>
        <v>10</v>
      </c>
      <c r="L1103" s="109">
        <f t="shared" ca="1" si="380"/>
        <v>0</v>
      </c>
      <c r="M1103" s="109">
        <f t="shared" ca="1" si="380"/>
        <v>0</v>
      </c>
      <c r="N1103" s="109">
        <f t="shared" ca="1" si="380"/>
        <v>0</v>
      </c>
      <c r="O1103" s="109">
        <f t="shared" ca="1" si="380"/>
        <v>50</v>
      </c>
      <c r="P1103" s="109">
        <f t="shared" ca="1" si="380"/>
        <v>0</v>
      </c>
      <c r="Q1103" s="109">
        <f t="shared" ca="1" si="380"/>
        <v>0</v>
      </c>
      <c r="R1103" s="109">
        <f t="shared" ca="1" si="380"/>
        <v>0</v>
      </c>
      <c r="S1103" s="109">
        <f t="shared" ca="1" si="380"/>
        <v>0</v>
      </c>
      <c r="T1103" s="109">
        <f t="shared" ca="1" si="380"/>
        <v>0</v>
      </c>
      <c r="U1103" s="109">
        <f t="shared" ca="1" si="380"/>
        <v>0</v>
      </c>
      <c r="V1103" s="109">
        <f t="shared" ca="1" si="380"/>
        <v>0</v>
      </c>
      <c r="W1103" s="109">
        <f t="shared" ca="1" si="380"/>
        <v>0</v>
      </c>
      <c r="X1103" s="109">
        <f t="shared" ca="1" si="380"/>
        <v>0</v>
      </c>
      <c r="Y1103" s="109">
        <f t="shared" ca="1" si="380"/>
        <v>0</v>
      </c>
      <c r="Z1103" s="109">
        <f t="shared" ca="1" si="380"/>
        <v>0</v>
      </c>
      <c r="AA1103" s="109">
        <f t="shared" ca="1" si="380"/>
        <v>0</v>
      </c>
      <c r="AB1103" s="109">
        <f t="shared" ca="1" si="380"/>
        <v>0</v>
      </c>
      <c r="AC1103" s="109">
        <f t="shared" ca="1" si="380"/>
        <v>0</v>
      </c>
      <c r="AD1103" s="109">
        <f t="shared" ca="1" si="380"/>
        <v>0</v>
      </c>
      <c r="AE1103" s="109">
        <f t="shared" ca="1" si="380"/>
        <v>0</v>
      </c>
      <c r="AF1103" s="109">
        <f t="shared" ca="1" si="380"/>
        <v>0</v>
      </c>
      <c r="AG1103" s="109">
        <f t="shared" ca="1" si="380"/>
        <v>0</v>
      </c>
      <c r="AH1103" s="109">
        <f t="shared" ca="1" si="380"/>
        <v>0</v>
      </c>
      <c r="AI1103" s="109">
        <f t="shared" ca="1" si="380"/>
        <v>0</v>
      </c>
      <c r="AJ1103" s="109">
        <f t="shared" ca="1" si="380"/>
        <v>0</v>
      </c>
      <c r="AK1103" s="109">
        <f t="shared" ca="1" si="380"/>
        <v>0</v>
      </c>
      <c r="AL1103" s="109">
        <f t="shared" ca="1" si="380"/>
        <v>0</v>
      </c>
      <c r="AM1103" s="109">
        <f t="shared" ca="1" si="380"/>
        <v>0</v>
      </c>
      <c r="AN1103" s="109">
        <f t="shared" ca="1" si="380"/>
        <v>0</v>
      </c>
      <c r="AO1103" s="109">
        <f t="shared" ca="1" si="380"/>
        <v>0</v>
      </c>
      <c r="AP1103" s="109">
        <f t="shared" ca="1" si="380"/>
        <v>0</v>
      </c>
      <c r="AQ1103" s="109">
        <f t="shared" ca="1" si="380"/>
        <v>0</v>
      </c>
      <c r="AR1103" s="109">
        <f t="shared" ca="1" si="380"/>
        <v>0</v>
      </c>
      <c r="AS1103" s="109">
        <f t="shared" ca="1" si="380"/>
        <v>0</v>
      </c>
      <c r="AT1103" s="109">
        <f t="shared" ca="1" si="380"/>
        <v>0</v>
      </c>
      <c r="AU1103" s="109">
        <f t="shared" ca="1" si="380"/>
        <v>0</v>
      </c>
      <c r="AV1103" s="109">
        <f t="shared" ca="1" si="380"/>
        <v>0</v>
      </c>
      <c r="AW1103" s="109">
        <f t="shared" ca="1" si="380"/>
        <v>0</v>
      </c>
      <c r="AX1103" s="109">
        <f t="shared" ca="1" si="380"/>
        <v>0</v>
      </c>
    </row>
    <row r="1104" spans="1:50" ht="15" customHeight="1" x14ac:dyDescent="0.25">
      <c r="A1104" s="106"/>
      <c r="B1104" s="692"/>
      <c r="C1104" s="601"/>
      <c r="D1104" s="117"/>
      <c r="E1104" s="109" t="str">
        <f>E$214</f>
        <v>Royalty</v>
      </c>
      <c r="F1104" s="109">
        <f t="shared" ref="F1104:AX1104" si="381">F$214</f>
        <v>0</v>
      </c>
      <c r="G1104" s="109" t="str">
        <f t="shared" si="381"/>
        <v>US$ mn</v>
      </c>
      <c r="H1104" s="109">
        <f t="shared" si="381"/>
        <v>0</v>
      </c>
      <c r="I1104" s="109">
        <f t="shared" ca="1" si="381"/>
        <v>11433.708703682507</v>
      </c>
      <c r="J1104" s="109">
        <f t="shared" si="381"/>
        <v>0</v>
      </c>
      <c r="K1104" s="109">
        <f t="shared" ca="1" si="381"/>
        <v>0</v>
      </c>
      <c r="L1104" s="109">
        <f t="shared" ca="1" si="381"/>
        <v>0</v>
      </c>
      <c r="M1104" s="109">
        <f t="shared" ca="1" si="381"/>
        <v>0</v>
      </c>
      <c r="N1104" s="109">
        <f t="shared" ca="1" si="381"/>
        <v>0</v>
      </c>
      <c r="O1104" s="109">
        <f t="shared" ca="1" si="381"/>
        <v>41.49143412196964</v>
      </c>
      <c r="P1104" s="109">
        <f t="shared" ca="1" si="381"/>
        <v>332.46633186360003</v>
      </c>
      <c r="Q1104" s="109">
        <f t="shared" ca="1" si="381"/>
        <v>678.23131700174417</v>
      </c>
      <c r="R1104" s="109">
        <f t="shared" ca="1" si="381"/>
        <v>691.79594334177898</v>
      </c>
      <c r="S1104" s="109">
        <f t="shared" ca="1" si="381"/>
        <v>705.63186220861462</v>
      </c>
      <c r="T1104" s="109">
        <f t="shared" ca="1" si="381"/>
        <v>719.74449945278684</v>
      </c>
      <c r="U1104" s="109">
        <f t="shared" ca="1" si="381"/>
        <v>734.13938944184258</v>
      </c>
      <c r="V1104" s="109">
        <f t="shared" ca="1" si="381"/>
        <v>748.82217723067947</v>
      </c>
      <c r="W1104" s="109">
        <f t="shared" ca="1" si="381"/>
        <v>763.7986207752931</v>
      </c>
      <c r="X1104" s="109">
        <f t="shared" ca="1" si="381"/>
        <v>779.07459319079885</v>
      </c>
      <c r="Y1104" s="109">
        <f t="shared" ca="1" si="381"/>
        <v>794.65608505461489</v>
      </c>
      <c r="Z1104" s="109">
        <f t="shared" ca="1" si="381"/>
        <v>810.54920675570725</v>
      </c>
      <c r="AA1104" s="109">
        <f t="shared" ca="1" si="381"/>
        <v>669.67575462156549</v>
      </c>
      <c r="AB1104" s="109">
        <f t="shared" ca="1" si="381"/>
        <v>553.28610846833749</v>
      </c>
      <c r="AC1104" s="109">
        <f t="shared" ca="1" si="381"/>
        <v>457.12498281654047</v>
      </c>
      <c r="AD1104" s="109">
        <f t="shared" ca="1" si="381"/>
        <v>377.67666080302581</v>
      </c>
      <c r="AE1104" s="109">
        <f t="shared" ca="1" si="381"/>
        <v>312.03645715545991</v>
      </c>
      <c r="AF1104" s="109">
        <f t="shared" ca="1" si="381"/>
        <v>257.80452090184104</v>
      </c>
      <c r="AG1104" s="109">
        <f t="shared" ca="1" si="381"/>
        <v>212.99809516910111</v>
      </c>
      <c r="AH1104" s="109">
        <f t="shared" ca="1" si="381"/>
        <v>175.97902622871132</v>
      </c>
      <c r="AI1104" s="109">
        <f t="shared" ca="1" si="381"/>
        <v>145.39387147016132</v>
      </c>
      <c r="AJ1104" s="109">
        <f t="shared" ca="1" si="381"/>
        <v>120.12441660864727</v>
      </c>
      <c r="AK1104" s="109">
        <f t="shared" ca="1" si="381"/>
        <v>99.246793002064393</v>
      </c>
      <c r="AL1104" s="109">
        <f t="shared" ca="1" si="381"/>
        <v>81.997700378305581</v>
      </c>
      <c r="AM1104" s="109">
        <f t="shared" ca="1" si="381"/>
        <v>67.746500052556087</v>
      </c>
      <c r="AN1104" s="109">
        <f t="shared" ca="1" si="381"/>
        <v>55.972158343421839</v>
      </c>
      <c r="AO1104" s="109">
        <f t="shared" ca="1" si="381"/>
        <v>46.244197223335135</v>
      </c>
      <c r="AP1104" s="109">
        <f t="shared" ca="1" si="381"/>
        <v>0</v>
      </c>
      <c r="AQ1104" s="109">
        <f t="shared" ca="1" si="381"/>
        <v>0</v>
      </c>
      <c r="AR1104" s="109">
        <f t="shared" ca="1" si="381"/>
        <v>0</v>
      </c>
      <c r="AS1104" s="109">
        <f t="shared" ca="1" si="381"/>
        <v>0</v>
      </c>
      <c r="AT1104" s="109">
        <f t="shared" ca="1" si="381"/>
        <v>0</v>
      </c>
      <c r="AU1104" s="109">
        <f t="shared" ca="1" si="381"/>
        <v>0</v>
      </c>
      <c r="AV1104" s="109">
        <f t="shared" ca="1" si="381"/>
        <v>0</v>
      </c>
      <c r="AW1104" s="109">
        <f t="shared" ca="1" si="381"/>
        <v>0</v>
      </c>
      <c r="AX1104" s="109">
        <f t="shared" ca="1" si="381"/>
        <v>0</v>
      </c>
    </row>
    <row r="1105" spans="1:50" ht="15" customHeight="1" x14ac:dyDescent="0.25">
      <c r="A1105" s="106"/>
      <c r="B1105" s="692"/>
      <c r="C1105" s="601"/>
      <c r="D1105" s="117"/>
      <c r="E1105" s="109" t="str">
        <f>E$295</f>
        <v>Carbon tax</v>
      </c>
      <c r="F1105" s="109">
        <f t="shared" ref="F1105:AX1105" si="382">F$295</f>
        <v>0</v>
      </c>
      <c r="G1105" s="109" t="str">
        <f t="shared" si="382"/>
        <v>US$ mn</v>
      </c>
      <c r="H1105" s="109">
        <f t="shared" si="382"/>
        <v>0</v>
      </c>
      <c r="I1105" s="109">
        <f t="shared" ca="1" si="382"/>
        <v>1010.9375317244442</v>
      </c>
      <c r="J1105" s="109">
        <f t="shared" si="382"/>
        <v>0</v>
      </c>
      <c r="K1105" s="109">
        <f t="shared" ca="1" si="382"/>
        <v>0</v>
      </c>
      <c r="L1105" s="109">
        <f t="shared" ca="1" si="382"/>
        <v>0</v>
      </c>
      <c r="M1105" s="109">
        <f t="shared" ca="1" si="382"/>
        <v>0</v>
      </c>
      <c r="N1105" s="109">
        <f t="shared" ca="1" si="382"/>
        <v>0</v>
      </c>
      <c r="O1105" s="109">
        <f t="shared" ca="1" si="382"/>
        <v>4.3932277328165359</v>
      </c>
      <c r="P1105" s="109">
        <f t="shared" ca="1" si="382"/>
        <v>34.512210000000003</v>
      </c>
      <c r="Q1105" s="109">
        <f t="shared" ca="1" si="382"/>
        <v>69.024420000000006</v>
      </c>
      <c r="R1105" s="109">
        <f t="shared" ca="1" si="382"/>
        <v>69.024420000000006</v>
      </c>
      <c r="S1105" s="109">
        <f t="shared" ca="1" si="382"/>
        <v>69.024420000000006</v>
      </c>
      <c r="T1105" s="109">
        <f t="shared" ca="1" si="382"/>
        <v>69.024420000000006</v>
      </c>
      <c r="U1105" s="109">
        <f t="shared" ca="1" si="382"/>
        <v>69.024420000000006</v>
      </c>
      <c r="V1105" s="109">
        <f t="shared" ca="1" si="382"/>
        <v>69.024420000000006</v>
      </c>
      <c r="W1105" s="109">
        <f t="shared" ca="1" si="382"/>
        <v>69.024420000000006</v>
      </c>
      <c r="X1105" s="109">
        <f t="shared" ca="1" si="382"/>
        <v>69.024420000000006</v>
      </c>
      <c r="Y1105" s="109">
        <f t="shared" ca="1" si="382"/>
        <v>69.024420000000006</v>
      </c>
      <c r="Z1105" s="109">
        <f t="shared" ca="1" si="382"/>
        <v>69.024420000000006</v>
      </c>
      <c r="AA1105" s="109">
        <f t="shared" ca="1" si="382"/>
        <v>55.909780200000014</v>
      </c>
      <c r="AB1105" s="109">
        <f t="shared" ca="1" si="382"/>
        <v>45.286921962000008</v>
      </c>
      <c r="AC1105" s="109">
        <f t="shared" ca="1" si="382"/>
        <v>36.682406789220011</v>
      </c>
      <c r="AD1105" s="109">
        <f t="shared" ca="1" si="382"/>
        <v>29.71274949926822</v>
      </c>
      <c r="AE1105" s="109">
        <f t="shared" ca="1" si="382"/>
        <v>24.067327094407261</v>
      </c>
      <c r="AF1105" s="109">
        <f t="shared" ca="1" si="382"/>
        <v>19.49453494646988</v>
      </c>
      <c r="AG1105" s="109">
        <f t="shared" ca="1" si="382"/>
        <v>15.790573306640605</v>
      </c>
      <c r="AH1105" s="109">
        <f t="shared" ca="1" si="382"/>
        <v>12.790364378378891</v>
      </c>
      <c r="AI1105" s="109">
        <f t="shared" ca="1" si="382"/>
        <v>10.360195146486902</v>
      </c>
      <c r="AJ1105" s="109">
        <f t="shared" ca="1" si="382"/>
        <v>8.39175806865439</v>
      </c>
      <c r="AK1105" s="109">
        <f t="shared" ca="1" si="382"/>
        <v>6.7973240356100568</v>
      </c>
      <c r="AL1105" s="109">
        <f t="shared" ca="1" si="382"/>
        <v>5.5058324688441456</v>
      </c>
      <c r="AM1105" s="109">
        <f t="shared" ca="1" si="382"/>
        <v>4.4597242997637574</v>
      </c>
      <c r="AN1105" s="109">
        <f t="shared" ca="1" si="382"/>
        <v>3.6123766828086437</v>
      </c>
      <c r="AO1105" s="109">
        <f t="shared" ca="1" si="382"/>
        <v>2.9260251130750028</v>
      </c>
      <c r="AP1105" s="109">
        <f t="shared" ca="1" si="382"/>
        <v>0</v>
      </c>
      <c r="AQ1105" s="109">
        <f t="shared" ca="1" si="382"/>
        <v>0</v>
      </c>
      <c r="AR1105" s="109">
        <f t="shared" ca="1" si="382"/>
        <v>0</v>
      </c>
      <c r="AS1105" s="109">
        <f t="shared" ca="1" si="382"/>
        <v>0</v>
      </c>
      <c r="AT1105" s="109">
        <f t="shared" ca="1" si="382"/>
        <v>0</v>
      </c>
      <c r="AU1105" s="109">
        <f t="shared" ca="1" si="382"/>
        <v>0</v>
      </c>
      <c r="AV1105" s="109">
        <f t="shared" ca="1" si="382"/>
        <v>0</v>
      </c>
      <c r="AW1105" s="109">
        <f t="shared" ca="1" si="382"/>
        <v>0</v>
      </c>
      <c r="AX1105" s="109">
        <f t="shared" ca="1" si="382"/>
        <v>0</v>
      </c>
    </row>
    <row r="1106" spans="1:50" ht="15" customHeight="1" x14ac:dyDescent="0.25">
      <c r="A1106" s="106"/>
      <c r="B1106" s="692"/>
      <c r="C1106" s="601"/>
      <c r="D1106" s="117"/>
      <c r="E1106" s="109" t="str">
        <f t="shared" ref="E1106:AX1106" si="383" xml:space="preserve"> E$656</f>
        <v>PSC: Government profit oil</v>
      </c>
      <c r="F1106" s="117">
        <f t="shared" si="383"/>
        <v>0</v>
      </c>
      <c r="G1106" s="109" t="str">
        <f t="shared" si="383"/>
        <v>US$ mn</v>
      </c>
      <c r="H1106" s="109">
        <f t="shared" si="383"/>
        <v>0</v>
      </c>
      <c r="I1106" s="109">
        <f t="shared" ca="1" si="383"/>
        <v>0</v>
      </c>
      <c r="J1106" s="109">
        <f t="shared" si="383"/>
        <v>0</v>
      </c>
      <c r="K1106" s="109">
        <f t="shared" ca="1" si="383"/>
        <v>0</v>
      </c>
      <c r="L1106" s="109">
        <f t="shared" ca="1" si="383"/>
        <v>0</v>
      </c>
      <c r="M1106" s="109">
        <f t="shared" ca="1" si="383"/>
        <v>0</v>
      </c>
      <c r="N1106" s="109">
        <f t="shared" ca="1" si="383"/>
        <v>0</v>
      </c>
      <c r="O1106" s="109">
        <f t="shared" ca="1" si="383"/>
        <v>0</v>
      </c>
      <c r="P1106" s="109">
        <f t="shared" ca="1" si="383"/>
        <v>0</v>
      </c>
      <c r="Q1106" s="109">
        <f t="shared" ca="1" si="383"/>
        <v>0</v>
      </c>
      <c r="R1106" s="109">
        <f t="shared" ca="1" si="383"/>
        <v>0</v>
      </c>
      <c r="S1106" s="109">
        <f t="shared" ca="1" si="383"/>
        <v>0</v>
      </c>
      <c r="T1106" s="109">
        <f t="shared" ca="1" si="383"/>
        <v>0</v>
      </c>
      <c r="U1106" s="109">
        <f t="shared" ca="1" si="383"/>
        <v>0</v>
      </c>
      <c r="V1106" s="109">
        <f t="shared" ca="1" si="383"/>
        <v>0</v>
      </c>
      <c r="W1106" s="109">
        <f t="shared" ca="1" si="383"/>
        <v>0</v>
      </c>
      <c r="X1106" s="109">
        <f t="shared" ca="1" si="383"/>
        <v>0</v>
      </c>
      <c r="Y1106" s="109">
        <f t="shared" ca="1" si="383"/>
        <v>0</v>
      </c>
      <c r="Z1106" s="109">
        <f t="shared" ca="1" si="383"/>
        <v>0</v>
      </c>
      <c r="AA1106" s="109">
        <f t="shared" ca="1" si="383"/>
        <v>0</v>
      </c>
      <c r="AB1106" s="109">
        <f t="shared" ca="1" si="383"/>
        <v>0</v>
      </c>
      <c r="AC1106" s="109">
        <f t="shared" ca="1" si="383"/>
        <v>0</v>
      </c>
      <c r="AD1106" s="109">
        <f t="shared" ca="1" si="383"/>
        <v>0</v>
      </c>
      <c r="AE1106" s="109">
        <f t="shared" ca="1" si="383"/>
        <v>0</v>
      </c>
      <c r="AF1106" s="109">
        <f t="shared" ca="1" si="383"/>
        <v>0</v>
      </c>
      <c r="AG1106" s="109">
        <f t="shared" ca="1" si="383"/>
        <v>0</v>
      </c>
      <c r="AH1106" s="109">
        <f t="shared" ca="1" si="383"/>
        <v>0</v>
      </c>
      <c r="AI1106" s="109">
        <f t="shared" ca="1" si="383"/>
        <v>0</v>
      </c>
      <c r="AJ1106" s="109">
        <f t="shared" ca="1" si="383"/>
        <v>0</v>
      </c>
      <c r="AK1106" s="109">
        <f t="shared" ca="1" si="383"/>
        <v>0</v>
      </c>
      <c r="AL1106" s="109">
        <f t="shared" ca="1" si="383"/>
        <v>0</v>
      </c>
      <c r="AM1106" s="109">
        <f t="shared" ca="1" si="383"/>
        <v>0</v>
      </c>
      <c r="AN1106" s="109">
        <f t="shared" ca="1" si="383"/>
        <v>0</v>
      </c>
      <c r="AO1106" s="109">
        <f t="shared" ca="1" si="383"/>
        <v>0</v>
      </c>
      <c r="AP1106" s="109">
        <f t="shared" ca="1" si="383"/>
        <v>0</v>
      </c>
      <c r="AQ1106" s="109">
        <f t="shared" ca="1" si="383"/>
        <v>0</v>
      </c>
      <c r="AR1106" s="109">
        <f t="shared" ca="1" si="383"/>
        <v>0</v>
      </c>
      <c r="AS1106" s="109">
        <f t="shared" ca="1" si="383"/>
        <v>0</v>
      </c>
      <c r="AT1106" s="109">
        <f t="shared" ca="1" si="383"/>
        <v>0</v>
      </c>
      <c r="AU1106" s="109">
        <f t="shared" ca="1" si="383"/>
        <v>0</v>
      </c>
      <c r="AV1106" s="109">
        <f t="shared" ca="1" si="383"/>
        <v>0</v>
      </c>
      <c r="AW1106" s="109">
        <f t="shared" ca="1" si="383"/>
        <v>0</v>
      </c>
      <c r="AX1106" s="109">
        <f t="shared" ca="1" si="383"/>
        <v>0</v>
      </c>
    </row>
    <row r="1107" spans="1:50" ht="15" customHeight="1" x14ac:dyDescent="0.25">
      <c r="A1107" s="106"/>
      <c r="B1107" s="692"/>
      <c r="C1107" s="601"/>
      <c r="D1107" s="117"/>
      <c r="E1107" s="109" t="str">
        <f t="shared" ref="E1107:AX1107" si="384" xml:space="preserve"> E$884</f>
        <v>CIT paid: IOC</v>
      </c>
      <c r="F1107" s="117">
        <f t="shared" si="384"/>
        <v>0</v>
      </c>
      <c r="G1107" s="109" t="str">
        <f t="shared" si="384"/>
        <v>US$ mn</v>
      </c>
      <c r="H1107" s="109">
        <f t="shared" si="384"/>
        <v>0</v>
      </c>
      <c r="I1107" s="109">
        <f t="shared" ca="1" si="384"/>
        <v>7025.4106949421139</v>
      </c>
      <c r="J1107" s="109">
        <f t="shared" si="384"/>
        <v>0</v>
      </c>
      <c r="K1107" s="109">
        <f t="shared" ca="1" si="384"/>
        <v>0</v>
      </c>
      <c r="L1107" s="109">
        <f t="shared" ca="1" si="384"/>
        <v>0</v>
      </c>
      <c r="M1107" s="109">
        <f t="shared" ca="1" si="384"/>
        <v>0</v>
      </c>
      <c r="N1107" s="109">
        <f t="shared" ca="1" si="384"/>
        <v>0</v>
      </c>
      <c r="O1107" s="109">
        <f t="shared" ca="1" si="384"/>
        <v>0</v>
      </c>
      <c r="P1107" s="109">
        <f t="shared" ca="1" si="384"/>
        <v>0</v>
      </c>
      <c r="Q1107" s="109">
        <f t="shared" ca="1" si="384"/>
        <v>0</v>
      </c>
      <c r="R1107" s="109">
        <f t="shared" ca="1" si="384"/>
        <v>131.54218410837188</v>
      </c>
      <c r="S1107" s="109">
        <f t="shared" ca="1" si="384"/>
        <v>229.41842089981012</v>
      </c>
      <c r="T1107" s="109">
        <f t="shared" ca="1" si="384"/>
        <v>399.25097818260241</v>
      </c>
      <c r="U1107" s="109">
        <f t="shared" ca="1" si="384"/>
        <v>532.0129480534423</v>
      </c>
      <c r="V1107" s="109">
        <f t="shared" ca="1" si="384"/>
        <v>604.25294649718239</v>
      </c>
      <c r="W1107" s="109">
        <f t="shared" ca="1" si="384"/>
        <v>618.1652988313233</v>
      </c>
      <c r="X1107" s="109">
        <f t="shared" ca="1" si="384"/>
        <v>637.3263336781032</v>
      </c>
      <c r="Y1107" s="109">
        <f t="shared" ca="1" si="384"/>
        <v>656.75847387608655</v>
      </c>
      <c r="Z1107" s="109">
        <f t="shared" ca="1" si="384"/>
        <v>676.46714153229732</v>
      </c>
      <c r="AA1107" s="109">
        <f t="shared" ca="1" si="384"/>
        <v>524.1953977183332</v>
      </c>
      <c r="AB1107" s="109">
        <f t="shared" ca="1" si="384"/>
        <v>412.57000347062149</v>
      </c>
      <c r="AC1107" s="109">
        <f t="shared" ca="1" si="384"/>
        <v>367.3405327343454</v>
      </c>
      <c r="AD1107" s="109">
        <f t="shared" ca="1" si="384"/>
        <v>285.3456781060782</v>
      </c>
      <c r="AE1107" s="109">
        <f t="shared" ca="1" si="384"/>
        <v>222.78807965396268</v>
      </c>
      <c r="AF1107" s="109">
        <f t="shared" ca="1" si="384"/>
        <v>185.3686152591259</v>
      </c>
      <c r="AG1107" s="109">
        <f t="shared" ca="1" si="384"/>
        <v>140.04200688423217</v>
      </c>
      <c r="AH1107" s="109">
        <f t="shared" ca="1" si="384"/>
        <v>100.76261852514234</v>
      </c>
      <c r="AI1107" s="109">
        <f t="shared" ca="1" si="384"/>
        <v>84.91687945352291</v>
      </c>
      <c r="AJ1107" s="109">
        <f t="shared" ca="1" si="384"/>
        <v>75.295059243892965</v>
      </c>
      <c r="AK1107" s="109">
        <f t="shared" ca="1" si="384"/>
        <v>53.920419240502994</v>
      </c>
      <c r="AL1107" s="109">
        <f t="shared" ca="1" si="384"/>
        <v>36.603002892654523</v>
      </c>
      <c r="AM1107" s="109">
        <f t="shared" ca="1" si="384"/>
        <v>29.065337585635856</v>
      </c>
      <c r="AN1107" s="109">
        <f t="shared" ca="1" si="384"/>
        <v>15.432850715332744</v>
      </c>
      <c r="AO1107" s="109">
        <f t="shared" ca="1" si="384"/>
        <v>6.5694877995107035</v>
      </c>
      <c r="AP1107" s="109">
        <f t="shared" ca="1" si="384"/>
        <v>0</v>
      </c>
      <c r="AQ1107" s="109">
        <f t="shared" ca="1" si="384"/>
        <v>0</v>
      </c>
      <c r="AR1107" s="109">
        <f t="shared" ca="1" si="384"/>
        <v>0</v>
      </c>
      <c r="AS1107" s="109">
        <f t="shared" ca="1" si="384"/>
        <v>0</v>
      </c>
      <c r="AT1107" s="109">
        <f t="shared" ca="1" si="384"/>
        <v>0</v>
      </c>
      <c r="AU1107" s="109">
        <f t="shared" ca="1" si="384"/>
        <v>0</v>
      </c>
      <c r="AV1107" s="109">
        <f t="shared" ca="1" si="384"/>
        <v>0</v>
      </c>
      <c r="AW1107" s="109">
        <f t="shared" ca="1" si="384"/>
        <v>0</v>
      </c>
      <c r="AX1107" s="109">
        <f t="shared" ca="1" si="384"/>
        <v>0</v>
      </c>
    </row>
    <row r="1108" spans="1:50" ht="15" customHeight="1" x14ac:dyDescent="0.25">
      <c r="A1108" s="106"/>
      <c r="B1108" s="692"/>
      <c r="C1108" s="601"/>
      <c r="D1108" s="117"/>
      <c r="E1108" s="109" t="str">
        <f t="shared" ref="E1108:AX1108" si="385" xml:space="preserve"> E$932</f>
        <v>Resource rent tax: IOC</v>
      </c>
      <c r="F1108" s="117">
        <f t="shared" si="385"/>
        <v>0</v>
      </c>
      <c r="G1108" s="109" t="str">
        <f t="shared" si="385"/>
        <v>US$ mn</v>
      </c>
      <c r="H1108" s="109">
        <f t="shared" si="385"/>
        <v>0</v>
      </c>
      <c r="I1108" s="109">
        <f t="shared" ca="1" si="385"/>
        <v>0</v>
      </c>
      <c r="J1108" s="109">
        <f t="shared" si="385"/>
        <v>0</v>
      </c>
      <c r="K1108" s="109">
        <f t="shared" ca="1" si="385"/>
        <v>0</v>
      </c>
      <c r="L1108" s="109">
        <f t="shared" ca="1" si="385"/>
        <v>0</v>
      </c>
      <c r="M1108" s="109">
        <f t="shared" ca="1" si="385"/>
        <v>0</v>
      </c>
      <c r="N1108" s="109">
        <f t="shared" ca="1" si="385"/>
        <v>0</v>
      </c>
      <c r="O1108" s="109">
        <f t="shared" ca="1" si="385"/>
        <v>0</v>
      </c>
      <c r="P1108" s="109">
        <f t="shared" ca="1" si="385"/>
        <v>0</v>
      </c>
      <c r="Q1108" s="109">
        <f t="shared" ca="1" si="385"/>
        <v>0</v>
      </c>
      <c r="R1108" s="109">
        <f t="shared" ca="1" si="385"/>
        <v>0</v>
      </c>
      <c r="S1108" s="109">
        <f t="shared" ca="1" si="385"/>
        <v>0</v>
      </c>
      <c r="T1108" s="109">
        <f t="shared" ca="1" si="385"/>
        <v>0</v>
      </c>
      <c r="U1108" s="109">
        <f t="shared" ca="1" si="385"/>
        <v>0</v>
      </c>
      <c r="V1108" s="109">
        <f t="shared" ca="1" si="385"/>
        <v>0</v>
      </c>
      <c r="W1108" s="109">
        <f t="shared" ca="1" si="385"/>
        <v>0</v>
      </c>
      <c r="X1108" s="109">
        <f t="shared" ca="1" si="385"/>
        <v>0</v>
      </c>
      <c r="Y1108" s="109">
        <f t="shared" ca="1" si="385"/>
        <v>0</v>
      </c>
      <c r="Z1108" s="109">
        <f t="shared" ca="1" si="385"/>
        <v>0</v>
      </c>
      <c r="AA1108" s="109">
        <f t="shared" ca="1" si="385"/>
        <v>0</v>
      </c>
      <c r="AB1108" s="109">
        <f t="shared" ca="1" si="385"/>
        <v>0</v>
      </c>
      <c r="AC1108" s="109">
        <f t="shared" ca="1" si="385"/>
        <v>0</v>
      </c>
      <c r="AD1108" s="109">
        <f t="shared" ca="1" si="385"/>
        <v>0</v>
      </c>
      <c r="AE1108" s="109">
        <f t="shared" ca="1" si="385"/>
        <v>0</v>
      </c>
      <c r="AF1108" s="109">
        <f t="shared" ca="1" si="385"/>
        <v>0</v>
      </c>
      <c r="AG1108" s="109">
        <f t="shared" ca="1" si="385"/>
        <v>0</v>
      </c>
      <c r="AH1108" s="109">
        <f t="shared" ca="1" si="385"/>
        <v>0</v>
      </c>
      <c r="AI1108" s="109">
        <f t="shared" ca="1" si="385"/>
        <v>0</v>
      </c>
      <c r="AJ1108" s="109">
        <f t="shared" ca="1" si="385"/>
        <v>0</v>
      </c>
      <c r="AK1108" s="109">
        <f t="shared" ca="1" si="385"/>
        <v>0</v>
      </c>
      <c r="AL1108" s="109">
        <f t="shared" ca="1" si="385"/>
        <v>0</v>
      </c>
      <c r="AM1108" s="109">
        <f t="shared" ca="1" si="385"/>
        <v>0</v>
      </c>
      <c r="AN1108" s="109">
        <f t="shared" ca="1" si="385"/>
        <v>0</v>
      </c>
      <c r="AO1108" s="109">
        <f t="shared" ca="1" si="385"/>
        <v>0</v>
      </c>
      <c r="AP1108" s="109">
        <f t="shared" ca="1" si="385"/>
        <v>0</v>
      </c>
      <c r="AQ1108" s="109">
        <f t="shared" ca="1" si="385"/>
        <v>0</v>
      </c>
      <c r="AR1108" s="109">
        <f t="shared" ca="1" si="385"/>
        <v>0</v>
      </c>
      <c r="AS1108" s="109">
        <f t="shared" ca="1" si="385"/>
        <v>0</v>
      </c>
      <c r="AT1108" s="109">
        <f t="shared" ca="1" si="385"/>
        <v>0</v>
      </c>
      <c r="AU1108" s="109">
        <f t="shared" ca="1" si="385"/>
        <v>0</v>
      </c>
      <c r="AV1108" s="109">
        <f t="shared" ca="1" si="385"/>
        <v>0</v>
      </c>
      <c r="AW1108" s="109">
        <f t="shared" ca="1" si="385"/>
        <v>0</v>
      </c>
      <c r="AX1108" s="109">
        <f t="shared" ca="1" si="385"/>
        <v>0</v>
      </c>
    </row>
    <row r="1109" spans="1:50" ht="15" customHeight="1" x14ac:dyDescent="0.25">
      <c r="A1109" s="106"/>
      <c r="B1109" s="692"/>
      <c r="C1109" s="601"/>
      <c r="D1109" s="117"/>
      <c r="E1109" s="109" t="str">
        <f t="shared" ref="E1109:AX1109" si="386" xml:space="preserve"> E$1020</f>
        <v>Dividend withholding tax</v>
      </c>
      <c r="F1109" s="117">
        <f t="shared" si="386"/>
        <v>0</v>
      </c>
      <c r="G1109" s="109" t="str">
        <f t="shared" si="386"/>
        <v>US$ mn</v>
      </c>
      <c r="H1109" s="109">
        <f t="shared" si="386"/>
        <v>0</v>
      </c>
      <c r="I1109" s="109">
        <f t="shared" ca="1" si="386"/>
        <v>1298.7191290606788</v>
      </c>
      <c r="J1109" s="109">
        <f t="shared" si="386"/>
        <v>0</v>
      </c>
      <c r="K1109" s="109">
        <f t="shared" ca="1" si="386"/>
        <v>0</v>
      </c>
      <c r="L1109" s="109">
        <f t="shared" ca="1" si="386"/>
        <v>0</v>
      </c>
      <c r="M1109" s="109">
        <f t="shared" ca="1" si="386"/>
        <v>0</v>
      </c>
      <c r="N1109" s="109">
        <f t="shared" ca="1" si="386"/>
        <v>0</v>
      </c>
      <c r="O1109" s="109">
        <f t="shared" ca="1" si="386"/>
        <v>0</v>
      </c>
      <c r="P1109" s="109">
        <f t="shared" ca="1" si="386"/>
        <v>40.104766686240026</v>
      </c>
      <c r="Q1109" s="109">
        <f t="shared" ca="1" si="386"/>
        <v>51.072334906157579</v>
      </c>
      <c r="R1109" s="109">
        <f t="shared" ca="1" si="386"/>
        <v>91.385235268950353</v>
      </c>
      <c r="S1109" s="109">
        <f t="shared" ca="1" si="386"/>
        <v>105.06839660095721</v>
      </c>
      <c r="T1109" s="109">
        <f t="shared" ca="1" si="386"/>
        <v>93.246758532091789</v>
      </c>
      <c r="U1109" s="109">
        <f t="shared" ca="1" si="386"/>
        <v>85.203378601686396</v>
      </c>
      <c r="V1109" s="109">
        <f t="shared" ca="1" si="386"/>
        <v>83.284819199201095</v>
      </c>
      <c r="W1109" s="109">
        <f t="shared" ca="1" si="386"/>
        <v>82.173622423359006</v>
      </c>
      <c r="X1109" s="109">
        <f t="shared" ca="1" si="386"/>
        <v>85.712592603456429</v>
      </c>
      <c r="Y1109" s="109">
        <f t="shared" ca="1" si="386"/>
        <v>89.301520765805492</v>
      </c>
      <c r="Z1109" s="109">
        <f t="shared" ca="1" si="386"/>
        <v>92.941406070051244</v>
      </c>
      <c r="AA1109" s="109">
        <f t="shared" ca="1" si="386"/>
        <v>96.294784686139749</v>
      </c>
      <c r="AB1109" s="109">
        <f t="shared" ca="1" si="386"/>
        <v>97.947101249412526</v>
      </c>
      <c r="AC1109" s="109">
        <f t="shared" ca="1" si="386"/>
        <v>84.372915876574666</v>
      </c>
      <c r="AD1109" s="109">
        <f t="shared" ca="1" si="386"/>
        <v>45.220201956431993</v>
      </c>
      <c r="AE1109" s="109">
        <f t="shared" ca="1" si="386"/>
        <v>32.507740982521568</v>
      </c>
      <c r="AF1109" s="109">
        <f t="shared" ca="1" si="386"/>
        <v>42.881552651641329</v>
      </c>
      <c r="AG1109" s="109">
        <f t="shared" ca="1" si="386"/>
        <v>0</v>
      </c>
      <c r="AH1109" s="109">
        <f t="shared" ca="1" si="386"/>
        <v>0</v>
      </c>
      <c r="AI1109" s="109">
        <f t="shared" ca="1" si="386"/>
        <v>0</v>
      </c>
      <c r="AJ1109" s="109">
        <f t="shared" ca="1" si="386"/>
        <v>0</v>
      </c>
      <c r="AK1109" s="109">
        <f t="shared" ca="1" si="386"/>
        <v>0</v>
      </c>
      <c r="AL1109" s="109">
        <f t="shared" ca="1" si="386"/>
        <v>0</v>
      </c>
      <c r="AM1109" s="109">
        <f t="shared" ca="1" si="386"/>
        <v>0</v>
      </c>
      <c r="AN1109" s="109">
        <f t="shared" ca="1" si="386"/>
        <v>0</v>
      </c>
      <c r="AO1109" s="109">
        <f t="shared" ca="1" si="386"/>
        <v>0</v>
      </c>
      <c r="AP1109" s="109">
        <f t="shared" ca="1" si="386"/>
        <v>0</v>
      </c>
      <c r="AQ1109" s="109">
        <f t="shared" ca="1" si="386"/>
        <v>0</v>
      </c>
      <c r="AR1109" s="109">
        <f t="shared" ca="1" si="386"/>
        <v>0</v>
      </c>
      <c r="AS1109" s="109">
        <f t="shared" ca="1" si="386"/>
        <v>0</v>
      </c>
      <c r="AT1109" s="109">
        <f t="shared" ca="1" si="386"/>
        <v>0</v>
      </c>
      <c r="AU1109" s="109">
        <f t="shared" ca="1" si="386"/>
        <v>0</v>
      </c>
      <c r="AV1109" s="109">
        <f t="shared" ca="1" si="386"/>
        <v>0</v>
      </c>
      <c r="AW1109" s="109">
        <f t="shared" ca="1" si="386"/>
        <v>0</v>
      </c>
      <c r="AX1109" s="109">
        <f t="shared" ca="1" si="386"/>
        <v>0</v>
      </c>
    </row>
    <row r="1110" spans="1:50" ht="15" customHeight="1" x14ac:dyDescent="0.25">
      <c r="A1110" s="106"/>
      <c r="B1110" s="692"/>
      <c r="C1110" s="601"/>
      <c r="D1110" s="117"/>
      <c r="E1110" s="109" t="str">
        <f t="shared" ref="E1110:AX1110" si="387" xml:space="preserve"> E$370</f>
        <v>Interest withholding tax</v>
      </c>
      <c r="F1110" s="117">
        <f t="shared" si="387"/>
        <v>0</v>
      </c>
      <c r="G1110" s="109" t="str">
        <f t="shared" si="387"/>
        <v>US$ mn</v>
      </c>
      <c r="H1110" s="109">
        <f t="shared" si="387"/>
        <v>0</v>
      </c>
      <c r="I1110" s="109">
        <f t="shared" ca="1" si="387"/>
        <v>110.11328598713973</v>
      </c>
      <c r="J1110" s="109">
        <f t="shared" si="387"/>
        <v>0</v>
      </c>
      <c r="K1110" s="109">
        <f t="shared" ca="1" si="387"/>
        <v>0</v>
      </c>
      <c r="L1110" s="109">
        <f t="shared" ca="1" si="387"/>
        <v>0</v>
      </c>
      <c r="M1110" s="109">
        <f t="shared" ca="1" si="387"/>
        <v>0</v>
      </c>
      <c r="N1110" s="109">
        <f t="shared" ca="1" si="387"/>
        <v>0</v>
      </c>
      <c r="O1110" s="109">
        <f t="shared" ca="1" si="387"/>
        <v>0</v>
      </c>
      <c r="P1110" s="109">
        <f t="shared" ca="1" si="387"/>
        <v>0</v>
      </c>
      <c r="Q1110" s="109">
        <f t="shared" ca="1" si="387"/>
        <v>20.020597452207227</v>
      </c>
      <c r="R1110" s="109">
        <f t="shared" ca="1" si="387"/>
        <v>18.018537706986503</v>
      </c>
      <c r="S1110" s="109">
        <f t="shared" ca="1" si="387"/>
        <v>16.01647796176578</v>
      </c>
      <c r="T1110" s="109">
        <f t="shared" ca="1" si="387"/>
        <v>14.014418216545057</v>
      </c>
      <c r="U1110" s="109">
        <f t="shared" ca="1" si="387"/>
        <v>12.012358471324333</v>
      </c>
      <c r="V1110" s="109">
        <f t="shared" ca="1" si="387"/>
        <v>10.010298726103612</v>
      </c>
      <c r="W1110" s="109">
        <f t="shared" ca="1" si="387"/>
        <v>8.00823898088289</v>
      </c>
      <c r="X1110" s="109">
        <f t="shared" ca="1" si="387"/>
        <v>6.0061792356621666</v>
      </c>
      <c r="Y1110" s="109">
        <f t="shared" ca="1" si="387"/>
        <v>4.004119490441445</v>
      </c>
      <c r="Z1110" s="109">
        <f t="shared" ca="1" si="387"/>
        <v>2.0020597452207225</v>
      </c>
      <c r="AA1110" s="109">
        <f t="shared" ca="1" si="387"/>
        <v>0</v>
      </c>
      <c r="AB1110" s="109">
        <f t="shared" ca="1" si="387"/>
        <v>0</v>
      </c>
      <c r="AC1110" s="109">
        <f t="shared" ca="1" si="387"/>
        <v>0</v>
      </c>
      <c r="AD1110" s="109">
        <f t="shared" ca="1" si="387"/>
        <v>0</v>
      </c>
      <c r="AE1110" s="109">
        <f t="shared" ca="1" si="387"/>
        <v>0</v>
      </c>
      <c r="AF1110" s="109">
        <f t="shared" ca="1" si="387"/>
        <v>0</v>
      </c>
      <c r="AG1110" s="109">
        <f t="shared" ca="1" si="387"/>
        <v>0</v>
      </c>
      <c r="AH1110" s="109">
        <f t="shared" ca="1" si="387"/>
        <v>0</v>
      </c>
      <c r="AI1110" s="109">
        <f t="shared" ca="1" si="387"/>
        <v>0</v>
      </c>
      <c r="AJ1110" s="109">
        <f t="shared" ca="1" si="387"/>
        <v>0</v>
      </c>
      <c r="AK1110" s="109">
        <f t="shared" ca="1" si="387"/>
        <v>0</v>
      </c>
      <c r="AL1110" s="109">
        <f t="shared" ca="1" si="387"/>
        <v>0</v>
      </c>
      <c r="AM1110" s="109">
        <f t="shared" ca="1" si="387"/>
        <v>0</v>
      </c>
      <c r="AN1110" s="109">
        <f t="shared" ca="1" si="387"/>
        <v>0</v>
      </c>
      <c r="AO1110" s="109">
        <f t="shared" ca="1" si="387"/>
        <v>0</v>
      </c>
      <c r="AP1110" s="109">
        <f t="shared" ca="1" si="387"/>
        <v>0</v>
      </c>
      <c r="AQ1110" s="109">
        <f t="shared" ca="1" si="387"/>
        <v>0</v>
      </c>
      <c r="AR1110" s="109">
        <f t="shared" ca="1" si="387"/>
        <v>0</v>
      </c>
      <c r="AS1110" s="109">
        <f t="shared" ca="1" si="387"/>
        <v>0</v>
      </c>
      <c r="AT1110" s="109">
        <f t="shared" ca="1" si="387"/>
        <v>0</v>
      </c>
      <c r="AU1110" s="109">
        <f t="shared" ca="1" si="387"/>
        <v>0</v>
      </c>
      <c r="AV1110" s="109">
        <f t="shared" ca="1" si="387"/>
        <v>0</v>
      </c>
      <c r="AW1110" s="109">
        <f t="shared" ca="1" si="387"/>
        <v>0</v>
      </c>
      <c r="AX1110" s="109">
        <f t="shared" ca="1" si="387"/>
        <v>0</v>
      </c>
    </row>
    <row r="1111" spans="1:50" ht="15" customHeight="1" x14ac:dyDescent="0.25">
      <c r="A1111" s="106"/>
      <c r="B1111" s="692"/>
      <c r="C1111" s="601"/>
      <c r="D1111" s="117"/>
      <c r="E1111" s="109" t="str">
        <f xml:space="preserve"> E$998</f>
        <v>VAT cashflow: government</v>
      </c>
      <c r="F1111" s="109">
        <f t="shared" ref="F1111:AX1111" si="388" xml:space="preserve"> F$998</f>
        <v>0</v>
      </c>
      <c r="G1111" s="109" t="str">
        <f t="shared" si="388"/>
        <v>US$ mn</v>
      </c>
      <c r="H1111" s="109">
        <f t="shared" si="388"/>
        <v>0</v>
      </c>
      <c r="I1111" s="109">
        <f t="shared" ca="1" si="388"/>
        <v>0</v>
      </c>
      <c r="J1111" s="109">
        <f t="shared" si="388"/>
        <v>0</v>
      </c>
      <c r="K1111" s="109">
        <f t="shared" ca="1" si="388"/>
        <v>0</v>
      </c>
      <c r="L1111" s="109">
        <f t="shared" ca="1" si="388"/>
        <v>0</v>
      </c>
      <c r="M1111" s="109">
        <f t="shared" ca="1" si="388"/>
        <v>0</v>
      </c>
      <c r="N1111" s="109">
        <f t="shared" ca="1" si="388"/>
        <v>0</v>
      </c>
      <c r="O1111" s="109">
        <f t="shared" ca="1" si="388"/>
        <v>0</v>
      </c>
      <c r="P1111" s="109">
        <f t="shared" ca="1" si="388"/>
        <v>0</v>
      </c>
      <c r="Q1111" s="109">
        <f t="shared" ca="1" si="388"/>
        <v>0</v>
      </c>
      <c r="R1111" s="109">
        <f t="shared" ca="1" si="388"/>
        <v>0</v>
      </c>
      <c r="S1111" s="109">
        <f t="shared" ca="1" si="388"/>
        <v>0</v>
      </c>
      <c r="T1111" s="109">
        <f t="shared" ca="1" si="388"/>
        <v>0</v>
      </c>
      <c r="U1111" s="109">
        <f t="shared" ca="1" si="388"/>
        <v>0</v>
      </c>
      <c r="V1111" s="109">
        <f t="shared" ca="1" si="388"/>
        <v>0</v>
      </c>
      <c r="W1111" s="109">
        <f t="shared" ca="1" si="388"/>
        <v>0</v>
      </c>
      <c r="X1111" s="109">
        <f t="shared" ca="1" si="388"/>
        <v>0</v>
      </c>
      <c r="Y1111" s="109">
        <f t="shared" ca="1" si="388"/>
        <v>0</v>
      </c>
      <c r="Z1111" s="109">
        <f t="shared" ca="1" si="388"/>
        <v>0</v>
      </c>
      <c r="AA1111" s="109">
        <f t="shared" ca="1" si="388"/>
        <v>0</v>
      </c>
      <c r="AB1111" s="109">
        <f t="shared" ca="1" si="388"/>
        <v>0</v>
      </c>
      <c r="AC1111" s="109">
        <f t="shared" ca="1" si="388"/>
        <v>0</v>
      </c>
      <c r="AD1111" s="109">
        <f t="shared" ca="1" si="388"/>
        <v>0</v>
      </c>
      <c r="AE1111" s="109">
        <f t="shared" ca="1" si="388"/>
        <v>0</v>
      </c>
      <c r="AF1111" s="109">
        <f t="shared" ca="1" si="388"/>
        <v>0</v>
      </c>
      <c r="AG1111" s="109">
        <f t="shared" ca="1" si="388"/>
        <v>0</v>
      </c>
      <c r="AH1111" s="109">
        <f t="shared" ca="1" si="388"/>
        <v>0</v>
      </c>
      <c r="AI1111" s="109">
        <f t="shared" ca="1" si="388"/>
        <v>0</v>
      </c>
      <c r="AJ1111" s="109">
        <f t="shared" ca="1" si="388"/>
        <v>0</v>
      </c>
      <c r="AK1111" s="109">
        <f t="shared" ca="1" si="388"/>
        <v>0</v>
      </c>
      <c r="AL1111" s="109">
        <f t="shared" ca="1" si="388"/>
        <v>0</v>
      </c>
      <c r="AM1111" s="109">
        <f t="shared" ca="1" si="388"/>
        <v>0</v>
      </c>
      <c r="AN1111" s="109">
        <f t="shared" ca="1" si="388"/>
        <v>0</v>
      </c>
      <c r="AO1111" s="109">
        <f t="shared" ca="1" si="388"/>
        <v>0</v>
      </c>
      <c r="AP1111" s="109">
        <f t="shared" ca="1" si="388"/>
        <v>0</v>
      </c>
      <c r="AQ1111" s="109">
        <f t="shared" ca="1" si="388"/>
        <v>0</v>
      </c>
      <c r="AR1111" s="109">
        <f t="shared" ca="1" si="388"/>
        <v>0</v>
      </c>
      <c r="AS1111" s="109">
        <f t="shared" ca="1" si="388"/>
        <v>0</v>
      </c>
      <c r="AT1111" s="109">
        <f t="shared" ca="1" si="388"/>
        <v>0</v>
      </c>
      <c r="AU1111" s="109">
        <f t="shared" ca="1" si="388"/>
        <v>0</v>
      </c>
      <c r="AV1111" s="109">
        <f t="shared" ca="1" si="388"/>
        <v>0</v>
      </c>
      <c r="AW1111" s="109">
        <f t="shared" ca="1" si="388"/>
        <v>0</v>
      </c>
      <c r="AX1111" s="109">
        <f t="shared" ca="1" si="388"/>
        <v>0</v>
      </c>
    </row>
    <row r="1112" spans="1:50" s="485" customFormat="1" ht="15" customHeight="1" x14ac:dyDescent="0.25">
      <c r="A1112" s="496"/>
      <c r="B1112" s="693"/>
      <c r="C1112" s="661"/>
      <c r="D1112" s="501"/>
      <c r="E1112" s="496" t="str">
        <f xml:space="preserve"> Translate!E$397</f>
        <v>Government revenues excluding participation</v>
      </c>
      <c r="F1112" s="501"/>
      <c r="G1112" s="496" t="str">
        <f xml:space="preserve"> Translate!E$603</f>
        <v>US$ mn</v>
      </c>
      <c r="H1112" s="496"/>
      <c r="I1112" s="496">
        <f ca="1" xml:space="preserve"> SUM(K1112:AX1112)</f>
        <v>20938.889345396881</v>
      </c>
      <c r="J1112" s="496"/>
      <c r="K1112" s="496">
        <f t="shared" ref="K1112:AX1112" ca="1" si="389">SUM(K1103:K1111)</f>
        <v>10</v>
      </c>
      <c r="L1112" s="496">
        <f t="shared" ca="1" si="389"/>
        <v>0</v>
      </c>
      <c r="M1112" s="496">
        <f t="shared" ca="1" si="389"/>
        <v>0</v>
      </c>
      <c r="N1112" s="496">
        <f t="shared" ca="1" si="389"/>
        <v>0</v>
      </c>
      <c r="O1112" s="496">
        <f t="shared" ca="1" si="389"/>
        <v>95.884661854786174</v>
      </c>
      <c r="P1112" s="496">
        <f t="shared" ca="1" si="389"/>
        <v>407.08330854984001</v>
      </c>
      <c r="Q1112" s="496">
        <f t="shared" ca="1" si="389"/>
        <v>818.34866936010894</v>
      </c>
      <c r="R1112" s="496">
        <f t="shared" ca="1" si="389"/>
        <v>1001.7663204260878</v>
      </c>
      <c r="S1112" s="496">
        <f t="shared" ca="1" si="389"/>
        <v>1125.1595776711476</v>
      </c>
      <c r="T1112" s="496">
        <f t="shared" ca="1" si="389"/>
        <v>1295.2810743840259</v>
      </c>
      <c r="U1112" s="496">
        <f t="shared" ca="1" si="389"/>
        <v>1432.3924945682957</v>
      </c>
      <c r="V1112" s="496">
        <f t="shared" ca="1" si="389"/>
        <v>1515.3946616531666</v>
      </c>
      <c r="W1112" s="496">
        <f t="shared" ca="1" si="389"/>
        <v>1541.1702010108581</v>
      </c>
      <c r="X1112" s="496">
        <f t="shared" ca="1" si="389"/>
        <v>1577.1441187080206</v>
      </c>
      <c r="Y1112" s="496">
        <f t="shared" ca="1" si="389"/>
        <v>1613.7446191869485</v>
      </c>
      <c r="Z1112" s="496">
        <f t="shared" ca="1" si="389"/>
        <v>1650.9842341032765</v>
      </c>
      <c r="AA1112" s="496">
        <f t="shared" ca="1" si="389"/>
        <v>1346.0757172260385</v>
      </c>
      <c r="AB1112" s="496">
        <f t="shared" ca="1" si="389"/>
        <v>1109.0901351503715</v>
      </c>
      <c r="AC1112" s="496">
        <f t="shared" ca="1" si="389"/>
        <v>945.52083821668054</v>
      </c>
      <c r="AD1112" s="496">
        <f t="shared" ca="1" si="389"/>
        <v>737.95529036480423</v>
      </c>
      <c r="AE1112" s="496">
        <f t="shared" ca="1" si="389"/>
        <v>591.39960488635143</v>
      </c>
      <c r="AF1112" s="496">
        <f t="shared" ca="1" si="389"/>
        <v>505.54922375907813</v>
      </c>
      <c r="AG1112" s="496">
        <f t="shared" ca="1" si="389"/>
        <v>368.83067535997384</v>
      </c>
      <c r="AH1112" s="496">
        <f t="shared" ca="1" si="389"/>
        <v>289.53200913223253</v>
      </c>
      <c r="AI1112" s="496">
        <f t="shared" ca="1" si="389"/>
        <v>240.67094607017114</v>
      </c>
      <c r="AJ1112" s="496">
        <f t="shared" ca="1" si="389"/>
        <v>203.81123392119463</v>
      </c>
      <c r="AK1112" s="496">
        <f t="shared" ca="1" si="389"/>
        <v>159.96453627817743</v>
      </c>
      <c r="AL1112" s="496">
        <f t="shared" ca="1" si="389"/>
        <v>124.10653573980426</v>
      </c>
      <c r="AM1112" s="496">
        <f t="shared" ca="1" si="389"/>
        <v>101.27156193795571</v>
      </c>
      <c r="AN1112" s="496">
        <f t="shared" ca="1" si="389"/>
        <v>75.017385741563231</v>
      </c>
      <c r="AO1112" s="496">
        <f t="shared" ca="1" si="389"/>
        <v>55.739710135920838</v>
      </c>
      <c r="AP1112" s="496">
        <f t="shared" ca="1" si="389"/>
        <v>0</v>
      </c>
      <c r="AQ1112" s="496">
        <f t="shared" ca="1" si="389"/>
        <v>0</v>
      </c>
      <c r="AR1112" s="496">
        <f t="shared" ca="1" si="389"/>
        <v>0</v>
      </c>
      <c r="AS1112" s="496">
        <f t="shared" ca="1" si="389"/>
        <v>0</v>
      </c>
      <c r="AT1112" s="496">
        <f t="shared" ca="1" si="389"/>
        <v>0</v>
      </c>
      <c r="AU1112" s="496">
        <f t="shared" ca="1" si="389"/>
        <v>0</v>
      </c>
      <c r="AV1112" s="496">
        <f t="shared" ca="1" si="389"/>
        <v>0</v>
      </c>
      <c r="AW1112" s="496">
        <f t="shared" ca="1" si="389"/>
        <v>0</v>
      </c>
      <c r="AX1112" s="496">
        <f t="shared" ca="1" si="389"/>
        <v>0</v>
      </c>
    </row>
    <row r="1113" spans="1:50" ht="15" customHeight="1" x14ac:dyDescent="0.25">
      <c r="A1113" s="106"/>
      <c r="B1113" s="692"/>
      <c r="C1113" s="601"/>
      <c r="D1113" s="117"/>
      <c r="E1113" s="109" t="str">
        <f xml:space="preserve"> E$1097</f>
        <v>SOC net cash flow before tax, after carried interest, including share of lender cashflows</v>
      </c>
      <c r="F1113" s="109">
        <f t="shared" ref="F1113:AX1113" si="390" xml:space="preserve"> F$1097</f>
        <v>0</v>
      </c>
      <c r="G1113" s="109" t="str">
        <f t="shared" si="390"/>
        <v>US$ mn</v>
      </c>
      <c r="H1113" s="109">
        <f t="shared" si="390"/>
        <v>0</v>
      </c>
      <c r="I1113" s="109">
        <f t="shared" ca="1" si="390"/>
        <v>5348.1970588667227</v>
      </c>
      <c r="J1113" s="109">
        <f t="shared" si="390"/>
        <v>0</v>
      </c>
      <c r="K1113" s="109">
        <f t="shared" ca="1" si="390"/>
        <v>0</v>
      </c>
      <c r="L1113" s="109">
        <f t="shared" ca="1" si="390"/>
        <v>-7.14</v>
      </c>
      <c r="M1113" s="109">
        <f t="shared" ca="1" si="390"/>
        <v>-43.696799999999996</v>
      </c>
      <c r="N1113" s="109">
        <f t="shared" ca="1" si="390"/>
        <v>-178.28294399999999</v>
      </c>
      <c r="O1113" s="109">
        <f t="shared" ca="1" si="390"/>
        <v>-181.84860287999999</v>
      </c>
      <c r="P1113" s="109">
        <f t="shared" ca="1" si="390"/>
        <v>-324.59975614080003</v>
      </c>
      <c r="Q1113" s="109">
        <f t="shared" ca="1" si="390"/>
        <v>120.89652462312704</v>
      </c>
      <c r="R1113" s="109">
        <f t="shared" ca="1" si="390"/>
        <v>372.91479832582809</v>
      </c>
      <c r="S1113" s="109">
        <f t="shared" ca="1" si="390"/>
        <v>427.9880533123075</v>
      </c>
      <c r="T1113" s="109">
        <f t="shared" ca="1" si="390"/>
        <v>437.28838991944468</v>
      </c>
      <c r="U1113" s="109">
        <f t="shared" ca="1" si="390"/>
        <v>446.76672501974389</v>
      </c>
      <c r="V1113" s="109">
        <f t="shared" ca="1" si="390"/>
        <v>456.42661858306832</v>
      </c>
      <c r="W1113" s="109">
        <f t="shared" ca="1" si="390"/>
        <v>453.52300718560105</v>
      </c>
      <c r="X1113" s="109">
        <f t="shared" ca="1" si="390"/>
        <v>463.55698380614228</v>
      </c>
      <c r="Y1113" s="109">
        <f t="shared" ca="1" si="390"/>
        <v>473.78363172011348</v>
      </c>
      <c r="Z1113" s="109">
        <f t="shared" ca="1" si="390"/>
        <v>484.20680435338329</v>
      </c>
      <c r="AA1113" s="109">
        <f t="shared" ca="1" si="390"/>
        <v>371.78581114493267</v>
      </c>
      <c r="AB1113" s="109">
        <f t="shared" ca="1" si="390"/>
        <v>348.01025399118669</v>
      </c>
      <c r="AC1113" s="109">
        <f t="shared" ca="1" si="390"/>
        <v>302.76742287502299</v>
      </c>
      <c r="AD1113" s="109">
        <f t="shared" ca="1" si="390"/>
        <v>184.38692441759952</v>
      </c>
      <c r="AE1113" s="109">
        <f t="shared" ca="1" si="390"/>
        <v>136.96637236979458</v>
      </c>
      <c r="AF1113" s="109">
        <f t="shared" ca="1" si="390"/>
        <v>155.94822230456782</v>
      </c>
      <c r="AG1113" s="109">
        <f t="shared" ca="1" si="390"/>
        <v>123.57207346535795</v>
      </c>
      <c r="AH1113" s="109">
        <f t="shared" ca="1" si="390"/>
        <v>95.515367494579522</v>
      </c>
      <c r="AI1113" s="109">
        <f t="shared" ca="1" si="390"/>
        <v>72.542493063200425</v>
      </c>
      <c r="AJ1113" s="109">
        <f t="shared" ca="1" si="390"/>
        <v>53.782185174209324</v>
      </c>
      <c r="AK1113" s="109">
        <f t="shared" ca="1" si="390"/>
        <v>38.5145851717879</v>
      </c>
      <c r="AL1113" s="109">
        <f t="shared" ca="1" si="390"/>
        <v>26.145002066181853</v>
      </c>
      <c r="AM1113" s="109">
        <f t="shared" ca="1" si="390"/>
        <v>20.760955418311376</v>
      </c>
      <c r="AN1113" s="109">
        <f t="shared" ca="1" si="390"/>
        <v>11.023464796666303</v>
      </c>
      <c r="AO1113" s="109">
        <f t="shared" ca="1" si="390"/>
        <v>4.6924912853637437</v>
      </c>
      <c r="AP1113" s="109">
        <f t="shared" ca="1" si="390"/>
        <v>0</v>
      </c>
      <c r="AQ1113" s="109">
        <f t="shared" ca="1" si="390"/>
        <v>0</v>
      </c>
      <c r="AR1113" s="109">
        <f t="shared" ca="1" si="390"/>
        <v>0</v>
      </c>
      <c r="AS1113" s="109">
        <f t="shared" ca="1" si="390"/>
        <v>0</v>
      </c>
      <c r="AT1113" s="109">
        <f t="shared" ca="1" si="390"/>
        <v>0</v>
      </c>
      <c r="AU1113" s="109">
        <f t="shared" ca="1" si="390"/>
        <v>0</v>
      </c>
      <c r="AV1113" s="109">
        <f t="shared" ca="1" si="390"/>
        <v>0</v>
      </c>
      <c r="AW1113" s="109">
        <f t="shared" ca="1" si="390"/>
        <v>0</v>
      </c>
      <c r="AX1113" s="109">
        <f t="shared" ca="1" si="390"/>
        <v>0</v>
      </c>
    </row>
    <row r="1114" spans="1:50" s="485" customFormat="1" ht="15" customHeight="1" x14ac:dyDescent="0.25">
      <c r="A1114" s="493"/>
      <c r="B1114" s="693"/>
      <c r="C1114" s="641"/>
      <c r="D1114" s="495"/>
      <c r="E1114" s="494" t="str">
        <f xml:space="preserve"> Translate!E$398</f>
        <v>Government revenues including participation</v>
      </c>
      <c r="F1114" s="495"/>
      <c r="G1114" s="494" t="str">
        <f xml:space="preserve"> Translate!E$603</f>
        <v>US$ mn</v>
      </c>
      <c r="H1114" s="494"/>
      <c r="I1114" s="519">
        <f ca="1" xml:space="preserve"> SUM(K1114:AX1114)</f>
        <v>26287.086404263599</v>
      </c>
      <c r="J1114" s="494"/>
      <c r="K1114" s="494">
        <f t="shared" ref="K1114:AX1114" ca="1" si="391" xml:space="preserve"> K1112 + K1113</f>
        <v>10</v>
      </c>
      <c r="L1114" s="494">
        <f t="shared" ca="1" si="391"/>
        <v>-7.14</v>
      </c>
      <c r="M1114" s="494">
        <f t="shared" ca="1" si="391"/>
        <v>-43.696799999999996</v>
      </c>
      <c r="N1114" s="494">
        <f t="shared" ca="1" si="391"/>
        <v>-178.28294399999999</v>
      </c>
      <c r="O1114" s="494">
        <f t="shared" ca="1" si="391"/>
        <v>-85.963941025213813</v>
      </c>
      <c r="P1114" s="494">
        <f t="shared" ca="1" si="391"/>
        <v>82.483552409039987</v>
      </c>
      <c r="Q1114" s="494">
        <f t="shared" ca="1" si="391"/>
        <v>939.24519398323594</v>
      </c>
      <c r="R1114" s="494">
        <f t="shared" ca="1" si="391"/>
        <v>1374.6811187519158</v>
      </c>
      <c r="S1114" s="494">
        <f t="shared" ca="1" si="391"/>
        <v>1553.1476309834552</v>
      </c>
      <c r="T1114" s="494">
        <f t="shared" ca="1" si="391"/>
        <v>1732.5694643034706</v>
      </c>
      <c r="U1114" s="494">
        <f t="shared" ca="1" si="391"/>
        <v>1879.1592195880396</v>
      </c>
      <c r="V1114" s="494">
        <f t="shared" ca="1" si="391"/>
        <v>1971.821280236235</v>
      </c>
      <c r="W1114" s="494">
        <f t="shared" ca="1" si="391"/>
        <v>1994.6932081964592</v>
      </c>
      <c r="X1114" s="494">
        <f t="shared" ca="1" si="391"/>
        <v>2040.7011025141628</v>
      </c>
      <c r="Y1114" s="494">
        <f t="shared" ca="1" si="391"/>
        <v>2087.5282509070621</v>
      </c>
      <c r="Z1114" s="494">
        <f t="shared" ca="1" si="391"/>
        <v>2135.19103845666</v>
      </c>
      <c r="AA1114" s="494">
        <f t="shared" ca="1" si="391"/>
        <v>1717.8615283709712</v>
      </c>
      <c r="AB1114" s="494">
        <f t="shared" ca="1" si="391"/>
        <v>1457.100389141558</v>
      </c>
      <c r="AC1114" s="494">
        <f t="shared" ca="1" si="391"/>
        <v>1248.2882610917036</v>
      </c>
      <c r="AD1114" s="494">
        <f t="shared" ca="1" si="391"/>
        <v>922.34221478240374</v>
      </c>
      <c r="AE1114" s="494">
        <f t="shared" ca="1" si="391"/>
        <v>728.36597725614604</v>
      </c>
      <c r="AF1114" s="494">
        <f t="shared" ca="1" si="391"/>
        <v>661.49744606364595</v>
      </c>
      <c r="AG1114" s="494">
        <f t="shared" ca="1" si="391"/>
        <v>492.4027488253318</v>
      </c>
      <c r="AH1114" s="494">
        <f t="shared" ca="1" si="391"/>
        <v>385.04737662681202</v>
      </c>
      <c r="AI1114" s="494">
        <f t="shared" ca="1" si="391"/>
        <v>313.21343913337159</v>
      </c>
      <c r="AJ1114" s="494">
        <f t="shared" ca="1" si="391"/>
        <v>257.59341909540393</v>
      </c>
      <c r="AK1114" s="494">
        <f t="shared" ca="1" si="391"/>
        <v>198.47912144996533</v>
      </c>
      <c r="AL1114" s="494">
        <f t="shared" ca="1" si="391"/>
        <v>150.25153780598612</v>
      </c>
      <c r="AM1114" s="494">
        <f t="shared" ca="1" si="391"/>
        <v>122.03251735626708</v>
      </c>
      <c r="AN1114" s="494">
        <f t="shared" ca="1" si="391"/>
        <v>86.040850538229535</v>
      </c>
      <c r="AO1114" s="494">
        <f t="shared" ca="1" si="391"/>
        <v>60.432201421284581</v>
      </c>
      <c r="AP1114" s="494">
        <f t="shared" ca="1" si="391"/>
        <v>0</v>
      </c>
      <c r="AQ1114" s="494">
        <f t="shared" ca="1" si="391"/>
        <v>0</v>
      </c>
      <c r="AR1114" s="494">
        <f t="shared" ca="1" si="391"/>
        <v>0</v>
      </c>
      <c r="AS1114" s="494">
        <f t="shared" ca="1" si="391"/>
        <v>0</v>
      </c>
      <c r="AT1114" s="494">
        <f t="shared" ca="1" si="391"/>
        <v>0</v>
      </c>
      <c r="AU1114" s="494">
        <f t="shared" ca="1" si="391"/>
        <v>0</v>
      </c>
      <c r="AV1114" s="494">
        <f t="shared" ca="1" si="391"/>
        <v>0</v>
      </c>
      <c r="AW1114" s="494">
        <f t="shared" ca="1" si="391"/>
        <v>0</v>
      </c>
      <c r="AX1114" s="494">
        <f t="shared" ca="1" si="391"/>
        <v>0</v>
      </c>
    </row>
    <row r="1115" spans="1:50" ht="15" customHeight="1" x14ac:dyDescent="0.25">
      <c r="A1115" s="106"/>
      <c r="B1115" s="692"/>
      <c r="C1115" s="601"/>
      <c r="D1115" s="117"/>
      <c r="E1115" s="109"/>
      <c r="F1115" s="117"/>
      <c r="G1115" s="109"/>
      <c r="H1115" s="109"/>
      <c r="I1115" s="109"/>
      <c r="J1115" s="109"/>
      <c r="K1115" s="109"/>
      <c r="L1115" s="109"/>
      <c r="M1115" s="109"/>
      <c r="N1115" s="109"/>
      <c r="O1115" s="109"/>
      <c r="P1115" s="109"/>
      <c r="Q1115" s="109"/>
      <c r="R1115" s="109"/>
      <c r="S1115" s="109"/>
      <c r="T1115" s="109"/>
      <c r="U1115" s="109"/>
      <c r="V1115" s="109"/>
      <c r="W1115" s="109"/>
      <c r="X1115" s="109"/>
      <c r="Y1115" s="109"/>
      <c r="Z1115" s="109"/>
      <c r="AA1115" s="109"/>
      <c r="AB1115" s="109"/>
      <c r="AC1115" s="109"/>
      <c r="AD1115" s="109"/>
      <c r="AE1115" s="109"/>
      <c r="AF1115" s="109"/>
      <c r="AG1115" s="109"/>
      <c r="AH1115" s="109"/>
      <c r="AI1115" s="109"/>
      <c r="AJ1115" s="109"/>
      <c r="AK1115" s="109"/>
      <c r="AL1115" s="109"/>
      <c r="AM1115" s="109"/>
      <c r="AN1115" s="109"/>
      <c r="AO1115" s="109"/>
      <c r="AP1115" s="109"/>
      <c r="AQ1115" s="109"/>
      <c r="AR1115" s="109"/>
      <c r="AS1115" s="109"/>
      <c r="AT1115" s="109"/>
      <c r="AU1115" s="109"/>
      <c r="AV1115" s="109"/>
      <c r="AW1115" s="109"/>
      <c r="AX1115" s="109"/>
    </row>
    <row r="1116" spans="1:50" ht="15" customHeight="1" x14ac:dyDescent="0.25">
      <c r="A1116" s="106"/>
      <c r="B1116" s="692" t="str">
        <f>Translate!E$623 &amp; ": " &amp; Inputs!F$91</f>
        <v>Government revenues: real</v>
      </c>
      <c r="C1116" s="601"/>
      <c r="D1116" s="117"/>
      <c r="E1116" s="109"/>
      <c r="F1116" s="117"/>
      <c r="G1116" s="109"/>
      <c r="H1116" s="109"/>
      <c r="I1116" s="109"/>
      <c r="J1116" s="109"/>
      <c r="K1116" s="109"/>
      <c r="L1116" s="109"/>
      <c r="M1116" s="109"/>
      <c r="N1116" s="109"/>
      <c r="O1116" s="109"/>
      <c r="P1116" s="109"/>
      <c r="Q1116" s="109"/>
      <c r="R1116" s="109"/>
      <c r="S1116" s="109"/>
      <c r="T1116" s="109"/>
      <c r="U1116" s="109"/>
      <c r="V1116" s="109"/>
      <c r="W1116" s="109"/>
      <c r="X1116" s="109"/>
      <c r="Y1116" s="109"/>
      <c r="Z1116" s="109"/>
      <c r="AA1116" s="109"/>
      <c r="AB1116" s="109"/>
      <c r="AC1116" s="109"/>
      <c r="AD1116" s="109"/>
      <c r="AE1116" s="109"/>
      <c r="AF1116" s="109"/>
      <c r="AG1116" s="109"/>
      <c r="AH1116" s="109"/>
      <c r="AI1116" s="109"/>
      <c r="AJ1116" s="109"/>
      <c r="AK1116" s="109"/>
      <c r="AL1116" s="109"/>
      <c r="AM1116" s="109"/>
      <c r="AN1116" s="109"/>
      <c r="AO1116" s="109"/>
      <c r="AP1116" s="109"/>
      <c r="AQ1116" s="109"/>
      <c r="AR1116" s="109"/>
      <c r="AS1116" s="109"/>
      <c r="AT1116" s="109"/>
      <c r="AU1116" s="109"/>
      <c r="AV1116" s="109"/>
      <c r="AW1116" s="109"/>
      <c r="AX1116" s="109"/>
    </row>
    <row r="1117" spans="1:50" s="800" customFormat="1" ht="15" customHeight="1" x14ac:dyDescent="0.25">
      <c r="B1117" s="724"/>
      <c r="C1117" s="802"/>
      <c r="E1117" s="800" t="str">
        <f>ProjectCashflows!E$200</f>
        <v>Inflation index</v>
      </c>
      <c r="F1117" s="800">
        <f>ProjectCashflows!F$200</f>
        <v>0</v>
      </c>
      <c r="G1117" s="800" t="str">
        <f>ProjectCashflows!G$200</f>
        <v>Index</v>
      </c>
      <c r="H1117" s="800" t="str">
        <f>ProjectCashflows!H$200</f>
        <v>base year is first project year</v>
      </c>
      <c r="I1117" s="800">
        <f>ProjectCashflows!I$200</f>
        <v>0</v>
      </c>
      <c r="J1117" s="800">
        <f>ProjectCashflows!J$200</f>
        <v>0</v>
      </c>
      <c r="K1117" s="800">
        <f ca="1">ProjectCashflows!K$200</f>
        <v>1</v>
      </c>
      <c r="L1117" s="800">
        <f ca="1">ProjectCashflows!L$200</f>
        <v>1.02</v>
      </c>
      <c r="M1117" s="800">
        <f ca="1">ProjectCashflows!M$200</f>
        <v>1.0404</v>
      </c>
      <c r="N1117" s="800">
        <f ca="1">ProjectCashflows!N$200</f>
        <v>1.0612079999999999</v>
      </c>
      <c r="O1117" s="800">
        <f ca="1">ProjectCashflows!O$200</f>
        <v>1.08243216</v>
      </c>
      <c r="P1117" s="800">
        <f ca="1">ProjectCashflows!P$200</f>
        <v>1.1040808032</v>
      </c>
      <c r="Q1117" s="800">
        <f ca="1">ProjectCashflows!Q$200</f>
        <v>1.1261624192640001</v>
      </c>
      <c r="R1117" s="800">
        <f ca="1">ProjectCashflows!R$200</f>
        <v>1.14868566764928</v>
      </c>
      <c r="S1117" s="800">
        <f ca="1">ProjectCashflows!S$200</f>
        <v>1.1716593810022657</v>
      </c>
      <c r="T1117" s="800">
        <f ca="1">ProjectCashflows!T$200</f>
        <v>1.1950925686223111</v>
      </c>
      <c r="U1117" s="800">
        <f ca="1">ProjectCashflows!U$200</f>
        <v>1.2189944199947573</v>
      </c>
      <c r="V1117" s="800">
        <f ca="1">ProjectCashflows!V$200</f>
        <v>1.2433743083946525</v>
      </c>
      <c r="W1117" s="800">
        <f ca="1">ProjectCashflows!W$200</f>
        <v>1.2682417945625455</v>
      </c>
      <c r="X1117" s="800">
        <f ca="1">ProjectCashflows!X$200</f>
        <v>1.2936066304537963</v>
      </c>
      <c r="Y1117" s="800">
        <f ca="1">ProjectCashflows!Y$200</f>
        <v>1.3194787630628724</v>
      </c>
      <c r="Z1117" s="800">
        <f ca="1">ProjectCashflows!Z$200</f>
        <v>1.3458683383241299</v>
      </c>
      <c r="AA1117" s="800">
        <f ca="1">ProjectCashflows!AA$200</f>
        <v>1.3727857050906125</v>
      </c>
      <c r="AB1117" s="800">
        <f ca="1">ProjectCashflows!AB$200</f>
        <v>1.4002414191924248</v>
      </c>
      <c r="AC1117" s="800">
        <f ca="1">ProjectCashflows!AC$200</f>
        <v>1.4282462475762734</v>
      </c>
      <c r="AD1117" s="800">
        <f ca="1">ProjectCashflows!AD$200</f>
        <v>1.4568111725277988</v>
      </c>
      <c r="AE1117" s="800">
        <f ca="1">ProjectCashflows!AE$200</f>
        <v>1.4859473959783549</v>
      </c>
      <c r="AF1117" s="800">
        <f ca="1">ProjectCashflows!AF$200</f>
        <v>1.5156663438979221</v>
      </c>
      <c r="AG1117" s="800">
        <f ca="1">ProjectCashflows!AG$200</f>
        <v>1.5459796707758806</v>
      </c>
      <c r="AH1117" s="800">
        <f ca="1">ProjectCashflows!AH$200</f>
        <v>1.5768992641913981</v>
      </c>
      <c r="AI1117" s="800">
        <f ca="1">ProjectCashflows!AI$200</f>
        <v>1.6084372494752261</v>
      </c>
      <c r="AJ1117" s="800">
        <f ca="1">ProjectCashflows!AJ$200</f>
        <v>1.6406059944647307</v>
      </c>
      <c r="AK1117" s="800">
        <f ca="1">ProjectCashflows!AK$200</f>
        <v>1.6734181143540252</v>
      </c>
      <c r="AL1117" s="800">
        <f ca="1">ProjectCashflows!AL$200</f>
        <v>1.7068864766411058</v>
      </c>
      <c r="AM1117" s="800">
        <f ca="1">ProjectCashflows!AM$200</f>
        <v>1.7410242061739281</v>
      </c>
      <c r="AN1117" s="800">
        <f ca="1">ProjectCashflows!AN$200</f>
        <v>1.7758446902974065</v>
      </c>
      <c r="AO1117" s="800">
        <f ca="1">ProjectCashflows!AO$200</f>
        <v>1.8113615841033548</v>
      </c>
      <c r="AP1117" s="800">
        <f ca="1">ProjectCashflows!AP$200</f>
        <v>1.8475888157854219</v>
      </c>
      <c r="AQ1117" s="800">
        <f ca="1">ProjectCashflows!AQ$200</f>
        <v>1.8845405921011305</v>
      </c>
      <c r="AR1117" s="800">
        <f ca="1">ProjectCashflows!AR$200</f>
        <v>1</v>
      </c>
      <c r="AS1117" s="800">
        <f ca="1">ProjectCashflows!AS$200</f>
        <v>1</v>
      </c>
      <c r="AT1117" s="800">
        <f ca="1">ProjectCashflows!AT$200</f>
        <v>1</v>
      </c>
      <c r="AU1117" s="800">
        <f ca="1">ProjectCashflows!AU$200</f>
        <v>1</v>
      </c>
      <c r="AV1117" s="800">
        <f ca="1">ProjectCashflows!AV$200</f>
        <v>1</v>
      </c>
      <c r="AW1117" s="800">
        <f ca="1">ProjectCashflows!AW$200</f>
        <v>1</v>
      </c>
      <c r="AX1117" s="800">
        <f ca="1">ProjectCashflows!AX$200</f>
        <v>1</v>
      </c>
    </row>
    <row r="1118" spans="1:50" s="40" customFormat="1" ht="15" customHeight="1" x14ac:dyDescent="0.25">
      <c r="A1118" s="290"/>
      <c r="B1118" s="692"/>
      <c r="C1118" s="638"/>
      <c r="D1118" s="357"/>
      <c r="E1118" s="40" t="str">
        <f xml:space="preserve"> Inputs!E$52</f>
        <v>Label for real terms cashflows</v>
      </c>
      <c r="F1118" s="283" t="str">
        <f xml:space="preserve"> Inputs!F$52</f>
        <v>US$ mn 2021</v>
      </c>
      <c r="G1118" s="40" t="str">
        <f xml:space="preserve"> Inputs!G$52</f>
        <v>Label</v>
      </c>
    </row>
    <row r="1119" spans="1:50" ht="15" customHeight="1" x14ac:dyDescent="0.25">
      <c r="A1119" s="106"/>
      <c r="B1119" s="692"/>
      <c r="C1119" s="601"/>
      <c r="D1119" s="117"/>
      <c r="E1119" s="109"/>
      <c r="F1119" s="117"/>
      <c r="G1119" s="109"/>
      <c r="H1119" s="109"/>
      <c r="I1119" s="109"/>
      <c r="J1119" s="109"/>
    </row>
    <row r="1120" spans="1:50" ht="15" customHeight="1" x14ac:dyDescent="0.25">
      <c r="A1120" s="170"/>
      <c r="E1120" s="77" t="str">
        <f t="shared" ref="E1120:E1131" si="392" xml:space="preserve"> E1103</f>
        <v>Bonuses</v>
      </c>
      <c r="G1120" s="3" t="str">
        <f t="shared" ref="G1120:G1131" si="393" xml:space="preserve"> $F$1118</f>
        <v>US$ mn 2021</v>
      </c>
      <c r="I1120" s="3">
        <f ca="1" xml:space="preserve"> SUM(K1120:AX1120)</f>
        <v>56.192271301325711</v>
      </c>
      <c r="K1120" s="3">
        <f t="shared" ref="K1120:AX1120" ca="1" si="394" xml:space="preserve"> K1103 / K$1117</f>
        <v>10</v>
      </c>
      <c r="L1120" s="3">
        <f t="shared" ca="1" si="394"/>
        <v>0</v>
      </c>
      <c r="M1120" s="3">
        <f t="shared" ca="1" si="394"/>
        <v>0</v>
      </c>
      <c r="N1120" s="3">
        <f t="shared" ca="1" si="394"/>
        <v>0</v>
      </c>
      <c r="O1120" s="3">
        <f t="shared" ca="1" si="394"/>
        <v>46.192271301325711</v>
      </c>
      <c r="P1120" s="3">
        <f t="shared" ca="1" si="394"/>
        <v>0</v>
      </c>
      <c r="Q1120" s="3">
        <f t="shared" ca="1" si="394"/>
        <v>0</v>
      </c>
      <c r="R1120" s="3">
        <f t="shared" ca="1" si="394"/>
        <v>0</v>
      </c>
      <c r="S1120" s="3">
        <f t="shared" ca="1" si="394"/>
        <v>0</v>
      </c>
      <c r="T1120" s="3">
        <f t="shared" ca="1" si="394"/>
        <v>0</v>
      </c>
      <c r="U1120" s="3">
        <f t="shared" ca="1" si="394"/>
        <v>0</v>
      </c>
      <c r="V1120" s="3">
        <f t="shared" ca="1" si="394"/>
        <v>0</v>
      </c>
      <c r="W1120" s="3">
        <f t="shared" ca="1" si="394"/>
        <v>0</v>
      </c>
      <c r="X1120" s="3">
        <f t="shared" ca="1" si="394"/>
        <v>0</v>
      </c>
      <c r="Y1120" s="3">
        <f t="shared" ca="1" si="394"/>
        <v>0</v>
      </c>
      <c r="Z1120" s="3">
        <f t="shared" ca="1" si="394"/>
        <v>0</v>
      </c>
      <c r="AA1120" s="3">
        <f t="shared" ca="1" si="394"/>
        <v>0</v>
      </c>
      <c r="AB1120" s="3">
        <f t="shared" ca="1" si="394"/>
        <v>0</v>
      </c>
      <c r="AC1120" s="3">
        <f t="shared" ca="1" si="394"/>
        <v>0</v>
      </c>
      <c r="AD1120" s="3">
        <f t="shared" ca="1" si="394"/>
        <v>0</v>
      </c>
      <c r="AE1120" s="3">
        <f t="shared" ca="1" si="394"/>
        <v>0</v>
      </c>
      <c r="AF1120" s="3">
        <f t="shared" ca="1" si="394"/>
        <v>0</v>
      </c>
      <c r="AG1120" s="3">
        <f t="shared" ca="1" si="394"/>
        <v>0</v>
      </c>
      <c r="AH1120" s="3">
        <f t="shared" ca="1" si="394"/>
        <v>0</v>
      </c>
      <c r="AI1120" s="3">
        <f t="shared" ca="1" si="394"/>
        <v>0</v>
      </c>
      <c r="AJ1120" s="3">
        <f t="shared" ca="1" si="394"/>
        <v>0</v>
      </c>
      <c r="AK1120" s="3">
        <f t="shared" ca="1" si="394"/>
        <v>0</v>
      </c>
      <c r="AL1120" s="3">
        <f t="shared" ca="1" si="394"/>
        <v>0</v>
      </c>
      <c r="AM1120" s="3">
        <f t="shared" ca="1" si="394"/>
        <v>0</v>
      </c>
      <c r="AN1120" s="3">
        <f t="shared" ca="1" si="394"/>
        <v>0</v>
      </c>
      <c r="AO1120" s="3">
        <f t="shared" ca="1" si="394"/>
        <v>0</v>
      </c>
      <c r="AP1120" s="3">
        <f t="shared" ca="1" si="394"/>
        <v>0</v>
      </c>
      <c r="AQ1120" s="3">
        <f t="shared" ca="1" si="394"/>
        <v>0</v>
      </c>
      <c r="AR1120" s="3">
        <f t="shared" ca="1" si="394"/>
        <v>0</v>
      </c>
      <c r="AS1120" s="3">
        <f t="shared" ca="1" si="394"/>
        <v>0</v>
      </c>
      <c r="AT1120" s="3">
        <f t="shared" ca="1" si="394"/>
        <v>0</v>
      </c>
      <c r="AU1120" s="3">
        <f t="shared" ca="1" si="394"/>
        <v>0</v>
      </c>
      <c r="AV1120" s="3">
        <f t="shared" ca="1" si="394"/>
        <v>0</v>
      </c>
      <c r="AW1120" s="3">
        <f t="shared" ca="1" si="394"/>
        <v>0</v>
      </c>
      <c r="AX1120" s="3">
        <f t="shared" ca="1" si="394"/>
        <v>0</v>
      </c>
    </row>
    <row r="1121" spans="1:50" ht="15" customHeight="1" x14ac:dyDescent="0.25">
      <c r="A1121" s="170"/>
      <c r="E1121" s="77" t="str">
        <f t="shared" si="392"/>
        <v>Royalty</v>
      </c>
      <c r="G1121" s="3" t="str">
        <f t="shared" si="393"/>
        <v>US$ mn 2021</v>
      </c>
      <c r="I1121" s="3">
        <f t="shared" ref="I1121:I1131" ca="1" si="395" xml:space="preserve"> SUM(K1121:AX1121)</f>
        <v>8820.6047726449069</v>
      </c>
      <c r="K1121" s="3">
        <f t="shared" ref="K1121:AX1121" ca="1" si="396" xml:space="preserve"> K1104 / K$1117</f>
        <v>0</v>
      </c>
      <c r="L1121" s="3">
        <f t="shared" ca="1" si="396"/>
        <v>0</v>
      </c>
      <c r="M1121" s="3">
        <f t="shared" ca="1" si="396"/>
        <v>0</v>
      </c>
      <c r="N1121" s="3">
        <f t="shared" ca="1" si="396"/>
        <v>0</v>
      </c>
      <c r="O1121" s="3">
        <f t="shared" ca="1" si="396"/>
        <v>38.33167163286209</v>
      </c>
      <c r="P1121" s="3">
        <f t="shared" ca="1" si="396"/>
        <v>301.125</v>
      </c>
      <c r="Q1121" s="3">
        <f t="shared" ca="1" si="396"/>
        <v>602.25000000000011</v>
      </c>
      <c r="R1121" s="3">
        <f t="shared" ca="1" si="396"/>
        <v>602.25000000000011</v>
      </c>
      <c r="S1121" s="3">
        <f t="shared" ca="1" si="396"/>
        <v>602.25000000000011</v>
      </c>
      <c r="T1121" s="3">
        <f t="shared" ca="1" si="396"/>
        <v>602.25</v>
      </c>
      <c r="U1121" s="3">
        <f t="shared" ca="1" si="396"/>
        <v>602.25</v>
      </c>
      <c r="V1121" s="3">
        <f t="shared" ca="1" si="396"/>
        <v>602.25</v>
      </c>
      <c r="W1121" s="3">
        <f t="shared" ca="1" si="396"/>
        <v>602.25000000000011</v>
      </c>
      <c r="X1121" s="3">
        <f t="shared" ca="1" si="396"/>
        <v>602.25</v>
      </c>
      <c r="Y1121" s="3">
        <f t="shared" ca="1" si="396"/>
        <v>602.25</v>
      </c>
      <c r="Z1121" s="3">
        <f t="shared" ca="1" si="396"/>
        <v>602.25</v>
      </c>
      <c r="AA1121" s="3">
        <f t="shared" ca="1" si="396"/>
        <v>487.8225000000001</v>
      </c>
      <c r="AB1121" s="3">
        <f t="shared" ca="1" si="396"/>
        <v>395.13622500000014</v>
      </c>
      <c r="AC1121" s="3">
        <f t="shared" ca="1" si="396"/>
        <v>320.06034225000013</v>
      </c>
      <c r="AD1121" s="3">
        <f t="shared" ca="1" si="396"/>
        <v>259.24887722250014</v>
      </c>
      <c r="AE1121" s="3">
        <f t="shared" ca="1" si="396"/>
        <v>209.99159055022511</v>
      </c>
      <c r="AF1121" s="3">
        <f t="shared" ca="1" si="396"/>
        <v>170.09318834568236</v>
      </c>
      <c r="AG1121" s="3">
        <f t="shared" ca="1" si="396"/>
        <v>137.77548256000273</v>
      </c>
      <c r="AH1121" s="3">
        <f t="shared" ca="1" si="396"/>
        <v>111.5981408736022</v>
      </c>
      <c r="AI1121" s="3">
        <f t="shared" ca="1" si="396"/>
        <v>90.394494107617803</v>
      </c>
      <c r="AJ1121" s="3">
        <f t="shared" ca="1" si="396"/>
        <v>73.219540227170413</v>
      </c>
      <c r="AK1121" s="3">
        <f t="shared" ca="1" si="396"/>
        <v>59.307827584008052</v>
      </c>
      <c r="AL1121" s="3">
        <f t="shared" ca="1" si="396"/>
        <v>48.039340343046504</v>
      </c>
      <c r="AM1121" s="3">
        <f t="shared" ca="1" si="396"/>
        <v>38.911865677867674</v>
      </c>
      <c r="AN1121" s="3">
        <f t="shared" ca="1" si="396"/>
        <v>31.518611199072819</v>
      </c>
      <c r="AO1121" s="3">
        <f t="shared" ca="1" si="396"/>
        <v>25.530075071248987</v>
      </c>
      <c r="AP1121" s="3">
        <f t="shared" ca="1" si="396"/>
        <v>0</v>
      </c>
      <c r="AQ1121" s="3">
        <f t="shared" ca="1" si="396"/>
        <v>0</v>
      </c>
      <c r="AR1121" s="3">
        <f t="shared" ca="1" si="396"/>
        <v>0</v>
      </c>
      <c r="AS1121" s="3">
        <f t="shared" ca="1" si="396"/>
        <v>0</v>
      </c>
      <c r="AT1121" s="3">
        <f t="shared" ca="1" si="396"/>
        <v>0</v>
      </c>
      <c r="AU1121" s="3">
        <f t="shared" ca="1" si="396"/>
        <v>0</v>
      </c>
      <c r="AV1121" s="3">
        <f t="shared" ca="1" si="396"/>
        <v>0</v>
      </c>
      <c r="AW1121" s="3">
        <f t="shared" ca="1" si="396"/>
        <v>0</v>
      </c>
      <c r="AX1121" s="3">
        <f t="shared" ca="1" si="396"/>
        <v>0</v>
      </c>
    </row>
    <row r="1122" spans="1:50" ht="15" customHeight="1" x14ac:dyDescent="0.25">
      <c r="A1122" s="170"/>
      <c r="E1122" s="77" t="str">
        <f t="shared" si="392"/>
        <v>Carbon tax</v>
      </c>
      <c r="G1122" s="3" t="str">
        <f t="shared" si="393"/>
        <v>US$ mn 2021</v>
      </c>
      <c r="I1122" s="3">
        <f ca="1" xml:space="preserve"> SUM(K1122:AX1122)</f>
        <v>788.47391027310312</v>
      </c>
      <c r="K1122" s="3">
        <f t="shared" ref="K1122:AX1122" ca="1" si="397" xml:space="preserve"> K1105 / K$1117</f>
        <v>0</v>
      </c>
      <c r="L1122" s="3">
        <f t="shared" ca="1" si="397"/>
        <v>0</v>
      </c>
      <c r="M1122" s="3">
        <f t="shared" ca="1" si="397"/>
        <v>0</v>
      </c>
      <c r="N1122" s="3">
        <f t="shared" ca="1" si="397"/>
        <v>0</v>
      </c>
      <c r="O1122" s="3">
        <f t="shared" ca="1" si="397"/>
        <v>4.0586633464553898</v>
      </c>
      <c r="P1122" s="3">
        <f t="shared" ca="1" si="397"/>
        <v>31.258771912320125</v>
      </c>
      <c r="Q1122" s="3">
        <f t="shared" ca="1" si="397"/>
        <v>61.291709632000241</v>
      </c>
      <c r="R1122" s="3">
        <f t="shared" ca="1" si="397"/>
        <v>60.089911403921803</v>
      </c>
      <c r="S1122" s="3">
        <f t="shared" ca="1" si="397"/>
        <v>58.911677846982158</v>
      </c>
      <c r="T1122" s="3">
        <f t="shared" ca="1" si="397"/>
        <v>57.756546908806037</v>
      </c>
      <c r="U1122" s="3">
        <f t="shared" ca="1" si="397"/>
        <v>56.624065596868661</v>
      </c>
      <c r="V1122" s="3">
        <f t="shared" ca="1" si="397"/>
        <v>55.513789800851626</v>
      </c>
      <c r="W1122" s="3">
        <f t="shared" ca="1" si="397"/>
        <v>54.42528411848199</v>
      </c>
      <c r="X1122" s="3">
        <f t="shared" ca="1" si="397"/>
        <v>53.358121684786269</v>
      </c>
      <c r="Y1122" s="3">
        <f t="shared" ca="1" si="397"/>
        <v>52.311884004692416</v>
      </c>
      <c r="Z1122" s="3">
        <f t="shared" ca="1" si="397"/>
        <v>51.286160788914131</v>
      </c>
      <c r="AA1122" s="3">
        <f t="shared" ca="1" si="397"/>
        <v>40.727245332372995</v>
      </c>
      <c r="AB1122" s="3">
        <f t="shared" ca="1" si="397"/>
        <v>32.342224234531486</v>
      </c>
      <c r="AC1122" s="3">
        <f t="shared" ca="1" si="397"/>
        <v>25.683531009775006</v>
      </c>
      <c r="AD1122" s="3">
        <f t="shared" ca="1" si="397"/>
        <v>20.395745213644869</v>
      </c>
      <c r="AE1122" s="3">
        <f t="shared" ca="1" si="397"/>
        <v>16.196621199070925</v>
      </c>
      <c r="AF1122" s="3">
        <f t="shared" ca="1" si="397"/>
        <v>12.862022716909262</v>
      </c>
      <c r="AG1122" s="3">
        <f t="shared" ca="1" si="397"/>
        <v>10.213959216369121</v>
      </c>
      <c r="AH1122" s="3">
        <f t="shared" ca="1" si="397"/>
        <v>8.1110852600578323</v>
      </c>
      <c r="AI1122" s="3">
        <f t="shared" ca="1" si="397"/>
        <v>6.4411559418106314</v>
      </c>
      <c r="AJ1122" s="3">
        <f t="shared" ca="1" si="397"/>
        <v>5.1150356008496187</v>
      </c>
      <c r="AK1122" s="3">
        <f t="shared" ca="1" si="397"/>
        <v>4.0619400359688154</v>
      </c>
      <c r="AL1122" s="3">
        <f t="shared" ca="1" si="397"/>
        <v>3.2256582638575884</v>
      </c>
      <c r="AM1122" s="3">
        <f t="shared" ca="1" si="397"/>
        <v>2.5615521507104373</v>
      </c>
      <c r="AN1122" s="3">
        <f t="shared" ca="1" si="397"/>
        <v>2.0341737667406417</v>
      </c>
      <c r="AO1122" s="3">
        <f t="shared" ca="1" si="397"/>
        <v>1.6153732853528631</v>
      </c>
      <c r="AP1122" s="3">
        <f t="shared" ca="1" si="397"/>
        <v>0</v>
      </c>
      <c r="AQ1122" s="3">
        <f t="shared" ca="1" si="397"/>
        <v>0</v>
      </c>
      <c r="AR1122" s="3">
        <f t="shared" ca="1" si="397"/>
        <v>0</v>
      </c>
      <c r="AS1122" s="3">
        <f t="shared" ca="1" si="397"/>
        <v>0</v>
      </c>
      <c r="AT1122" s="3">
        <f t="shared" ca="1" si="397"/>
        <v>0</v>
      </c>
      <c r="AU1122" s="3">
        <f t="shared" ca="1" si="397"/>
        <v>0</v>
      </c>
      <c r="AV1122" s="3">
        <f t="shared" ca="1" si="397"/>
        <v>0</v>
      </c>
      <c r="AW1122" s="3">
        <f t="shared" ca="1" si="397"/>
        <v>0</v>
      </c>
      <c r="AX1122" s="3">
        <f t="shared" ca="1" si="397"/>
        <v>0</v>
      </c>
    </row>
    <row r="1123" spans="1:50" ht="15" customHeight="1" x14ac:dyDescent="0.25">
      <c r="A1123" s="170"/>
      <c r="E1123" s="77" t="str">
        <f t="shared" si="392"/>
        <v>PSC: Government profit oil</v>
      </c>
      <c r="G1123" s="3" t="str">
        <f t="shared" si="393"/>
        <v>US$ mn 2021</v>
      </c>
      <c r="I1123" s="3">
        <f t="shared" ca="1" si="395"/>
        <v>0</v>
      </c>
      <c r="K1123" s="3">
        <f t="shared" ref="K1123:AX1123" ca="1" si="398" xml:space="preserve"> K1106 / K$1117</f>
        <v>0</v>
      </c>
      <c r="L1123" s="3">
        <f t="shared" ca="1" si="398"/>
        <v>0</v>
      </c>
      <c r="M1123" s="3">
        <f t="shared" ca="1" si="398"/>
        <v>0</v>
      </c>
      <c r="N1123" s="3">
        <f t="shared" ca="1" si="398"/>
        <v>0</v>
      </c>
      <c r="O1123" s="3">
        <f t="shared" ca="1" si="398"/>
        <v>0</v>
      </c>
      <c r="P1123" s="3">
        <f t="shared" ca="1" si="398"/>
        <v>0</v>
      </c>
      <c r="Q1123" s="3">
        <f t="shared" ca="1" si="398"/>
        <v>0</v>
      </c>
      <c r="R1123" s="3">
        <f t="shared" ca="1" si="398"/>
        <v>0</v>
      </c>
      <c r="S1123" s="3">
        <f t="shared" ca="1" si="398"/>
        <v>0</v>
      </c>
      <c r="T1123" s="3">
        <f t="shared" ca="1" si="398"/>
        <v>0</v>
      </c>
      <c r="U1123" s="3">
        <f t="shared" ca="1" si="398"/>
        <v>0</v>
      </c>
      <c r="V1123" s="3">
        <f t="shared" ca="1" si="398"/>
        <v>0</v>
      </c>
      <c r="W1123" s="3">
        <f t="shared" ca="1" si="398"/>
        <v>0</v>
      </c>
      <c r="X1123" s="3">
        <f t="shared" ca="1" si="398"/>
        <v>0</v>
      </c>
      <c r="Y1123" s="3">
        <f t="shared" ca="1" si="398"/>
        <v>0</v>
      </c>
      <c r="Z1123" s="3">
        <f t="shared" ca="1" si="398"/>
        <v>0</v>
      </c>
      <c r="AA1123" s="3">
        <f t="shared" ca="1" si="398"/>
        <v>0</v>
      </c>
      <c r="AB1123" s="3">
        <f t="shared" ca="1" si="398"/>
        <v>0</v>
      </c>
      <c r="AC1123" s="3">
        <f t="shared" ca="1" si="398"/>
        <v>0</v>
      </c>
      <c r="AD1123" s="3">
        <f t="shared" ca="1" si="398"/>
        <v>0</v>
      </c>
      <c r="AE1123" s="3">
        <f t="shared" ca="1" si="398"/>
        <v>0</v>
      </c>
      <c r="AF1123" s="3">
        <f t="shared" ca="1" si="398"/>
        <v>0</v>
      </c>
      <c r="AG1123" s="3">
        <f t="shared" ca="1" si="398"/>
        <v>0</v>
      </c>
      <c r="AH1123" s="3">
        <f t="shared" ca="1" si="398"/>
        <v>0</v>
      </c>
      <c r="AI1123" s="3">
        <f t="shared" ca="1" si="398"/>
        <v>0</v>
      </c>
      <c r="AJ1123" s="3">
        <f t="shared" ca="1" si="398"/>
        <v>0</v>
      </c>
      <c r="AK1123" s="3">
        <f t="shared" ca="1" si="398"/>
        <v>0</v>
      </c>
      <c r="AL1123" s="3">
        <f t="shared" ca="1" si="398"/>
        <v>0</v>
      </c>
      <c r="AM1123" s="3">
        <f t="shared" ca="1" si="398"/>
        <v>0</v>
      </c>
      <c r="AN1123" s="3">
        <f t="shared" ca="1" si="398"/>
        <v>0</v>
      </c>
      <c r="AO1123" s="3">
        <f t="shared" ca="1" si="398"/>
        <v>0</v>
      </c>
      <c r="AP1123" s="3">
        <f t="shared" ca="1" si="398"/>
        <v>0</v>
      </c>
      <c r="AQ1123" s="3">
        <f t="shared" ca="1" si="398"/>
        <v>0</v>
      </c>
      <c r="AR1123" s="3">
        <f t="shared" ca="1" si="398"/>
        <v>0</v>
      </c>
      <c r="AS1123" s="3">
        <f t="shared" ca="1" si="398"/>
        <v>0</v>
      </c>
      <c r="AT1123" s="3">
        <f t="shared" ca="1" si="398"/>
        <v>0</v>
      </c>
      <c r="AU1123" s="3">
        <f t="shared" ca="1" si="398"/>
        <v>0</v>
      </c>
      <c r="AV1123" s="3">
        <f t="shared" ca="1" si="398"/>
        <v>0</v>
      </c>
      <c r="AW1123" s="3">
        <f t="shared" ca="1" si="398"/>
        <v>0</v>
      </c>
      <c r="AX1123" s="3">
        <f t="shared" ca="1" si="398"/>
        <v>0</v>
      </c>
    </row>
    <row r="1124" spans="1:50" ht="15" customHeight="1" x14ac:dyDescent="0.25">
      <c r="A1124" s="170"/>
      <c r="E1124" s="77" t="str">
        <f t="shared" si="392"/>
        <v>CIT paid: IOC</v>
      </c>
      <c r="G1124" s="3" t="str">
        <f t="shared" si="393"/>
        <v>US$ mn 2021</v>
      </c>
      <c r="I1124" s="3">
        <f t="shared" ca="1" si="395"/>
        <v>5284.9099061807456</v>
      </c>
      <c r="K1124" s="3">
        <f t="shared" ref="K1124:AX1124" ca="1" si="399" xml:space="preserve"> K1107 / K$1117</f>
        <v>0</v>
      </c>
      <c r="L1124" s="3">
        <f t="shared" ca="1" si="399"/>
        <v>0</v>
      </c>
      <c r="M1124" s="3">
        <f t="shared" ca="1" si="399"/>
        <v>0</v>
      </c>
      <c r="N1124" s="3">
        <f t="shared" ca="1" si="399"/>
        <v>0</v>
      </c>
      <c r="O1124" s="3">
        <f t="shared" ca="1" si="399"/>
        <v>0</v>
      </c>
      <c r="P1124" s="3">
        <f t="shared" ca="1" si="399"/>
        <v>0</v>
      </c>
      <c r="Q1124" s="3">
        <f t="shared" ca="1" si="399"/>
        <v>0</v>
      </c>
      <c r="R1124" s="3">
        <f t="shared" ca="1" si="399"/>
        <v>114.51538729264855</v>
      </c>
      <c r="S1124" s="3">
        <f t="shared" ca="1" si="399"/>
        <v>195.80641321162815</v>
      </c>
      <c r="T1124" s="3">
        <f t="shared" ca="1" si="399"/>
        <v>334.07535839910236</v>
      </c>
      <c r="U1124" s="3">
        <f t="shared" ca="1" si="399"/>
        <v>436.43591744721061</v>
      </c>
      <c r="V1124" s="3">
        <f t="shared" ca="1" si="399"/>
        <v>485.9783111308987</v>
      </c>
      <c r="W1124" s="3">
        <f t="shared" ca="1" si="399"/>
        <v>487.41911950989362</v>
      </c>
      <c r="X1124" s="3">
        <f t="shared" ca="1" si="399"/>
        <v>492.67398502319793</v>
      </c>
      <c r="Y1124" s="3">
        <f t="shared" ca="1" si="399"/>
        <v>497.74084453740647</v>
      </c>
      <c r="Z1124" s="3">
        <f t="shared" ca="1" si="399"/>
        <v>502.62505051172508</v>
      </c>
      <c r="AA1124" s="3">
        <f t="shared" ca="1" si="399"/>
        <v>381.84794303618787</v>
      </c>
      <c r="AB1124" s="3">
        <f t="shared" ca="1" si="399"/>
        <v>294.64205087474636</v>
      </c>
      <c r="AC1124" s="3">
        <f t="shared" ca="1" si="399"/>
        <v>257.19691779881822</v>
      </c>
      <c r="AD1124" s="3">
        <f t="shared" ca="1" si="399"/>
        <v>195.8700506195035</v>
      </c>
      <c r="AE1124" s="3">
        <f t="shared" ca="1" si="399"/>
        <v>149.92999096531136</v>
      </c>
      <c r="AF1124" s="3">
        <f t="shared" ca="1" si="399"/>
        <v>122.30172953659661</v>
      </c>
      <c r="AG1124" s="3">
        <f t="shared" ca="1" si="399"/>
        <v>90.584636739724587</v>
      </c>
      <c r="AH1124" s="3">
        <f t="shared" ca="1" si="399"/>
        <v>63.899210820426987</v>
      </c>
      <c r="AI1124" s="3">
        <f t="shared" ca="1" si="399"/>
        <v>52.794648644967751</v>
      </c>
      <c r="AJ1124" s="3">
        <f t="shared" ca="1" si="399"/>
        <v>45.894663007408411</v>
      </c>
      <c r="AK1124" s="3">
        <f t="shared" ca="1" si="399"/>
        <v>32.221725567562302</v>
      </c>
      <c r="AL1124" s="3">
        <f t="shared" ca="1" si="399"/>
        <v>21.444310089493293</v>
      </c>
      <c r="AM1124" s="3">
        <f t="shared" ca="1" si="399"/>
        <v>16.694390280483116</v>
      </c>
      <c r="AN1124" s="3">
        <f t="shared" ca="1" si="399"/>
        <v>8.6904281661861731</v>
      </c>
      <c r="AO1124" s="3">
        <f t="shared" ca="1" si="399"/>
        <v>3.6268229696185572</v>
      </c>
      <c r="AP1124" s="3">
        <f t="shared" ca="1" si="399"/>
        <v>0</v>
      </c>
      <c r="AQ1124" s="3">
        <f t="shared" ca="1" si="399"/>
        <v>0</v>
      </c>
      <c r="AR1124" s="3">
        <f t="shared" ca="1" si="399"/>
        <v>0</v>
      </c>
      <c r="AS1124" s="3">
        <f t="shared" ca="1" si="399"/>
        <v>0</v>
      </c>
      <c r="AT1124" s="3">
        <f t="shared" ca="1" si="399"/>
        <v>0</v>
      </c>
      <c r="AU1124" s="3">
        <f t="shared" ca="1" si="399"/>
        <v>0</v>
      </c>
      <c r="AV1124" s="3">
        <f t="shared" ca="1" si="399"/>
        <v>0</v>
      </c>
      <c r="AW1124" s="3">
        <f t="shared" ca="1" si="399"/>
        <v>0</v>
      </c>
      <c r="AX1124" s="3">
        <f t="shared" ca="1" si="399"/>
        <v>0</v>
      </c>
    </row>
    <row r="1125" spans="1:50" ht="15" customHeight="1" x14ac:dyDescent="0.25">
      <c r="A1125" s="170"/>
      <c r="E1125" s="77" t="str">
        <f t="shared" si="392"/>
        <v>Resource rent tax: IOC</v>
      </c>
      <c r="G1125" s="3" t="str">
        <f t="shared" si="393"/>
        <v>US$ mn 2021</v>
      </c>
      <c r="I1125" s="3">
        <f t="shared" ca="1" si="395"/>
        <v>0</v>
      </c>
      <c r="K1125" s="3">
        <f t="shared" ref="K1125:AX1125" ca="1" si="400" xml:space="preserve"> K1108 / K$1117</f>
        <v>0</v>
      </c>
      <c r="L1125" s="3">
        <f t="shared" ca="1" si="400"/>
        <v>0</v>
      </c>
      <c r="M1125" s="3">
        <f t="shared" ca="1" si="400"/>
        <v>0</v>
      </c>
      <c r="N1125" s="3">
        <f t="shared" ca="1" si="400"/>
        <v>0</v>
      </c>
      <c r="O1125" s="3">
        <f t="shared" ca="1" si="400"/>
        <v>0</v>
      </c>
      <c r="P1125" s="3">
        <f t="shared" ca="1" si="400"/>
        <v>0</v>
      </c>
      <c r="Q1125" s="3">
        <f t="shared" ca="1" si="400"/>
        <v>0</v>
      </c>
      <c r="R1125" s="3">
        <f t="shared" ca="1" si="400"/>
        <v>0</v>
      </c>
      <c r="S1125" s="3">
        <f t="shared" ca="1" si="400"/>
        <v>0</v>
      </c>
      <c r="T1125" s="3">
        <f t="shared" ca="1" si="400"/>
        <v>0</v>
      </c>
      <c r="U1125" s="3">
        <f t="shared" ca="1" si="400"/>
        <v>0</v>
      </c>
      <c r="V1125" s="3">
        <f t="shared" ca="1" si="400"/>
        <v>0</v>
      </c>
      <c r="W1125" s="3">
        <f t="shared" ca="1" si="400"/>
        <v>0</v>
      </c>
      <c r="X1125" s="3">
        <f t="shared" ca="1" si="400"/>
        <v>0</v>
      </c>
      <c r="Y1125" s="3">
        <f t="shared" ca="1" si="400"/>
        <v>0</v>
      </c>
      <c r="Z1125" s="3">
        <f t="shared" ca="1" si="400"/>
        <v>0</v>
      </c>
      <c r="AA1125" s="3">
        <f t="shared" ca="1" si="400"/>
        <v>0</v>
      </c>
      <c r="AB1125" s="3">
        <f t="shared" ca="1" si="400"/>
        <v>0</v>
      </c>
      <c r="AC1125" s="3">
        <f t="shared" ca="1" si="400"/>
        <v>0</v>
      </c>
      <c r="AD1125" s="3">
        <f t="shared" ca="1" si="400"/>
        <v>0</v>
      </c>
      <c r="AE1125" s="3">
        <f t="shared" ca="1" si="400"/>
        <v>0</v>
      </c>
      <c r="AF1125" s="3">
        <f t="shared" ca="1" si="400"/>
        <v>0</v>
      </c>
      <c r="AG1125" s="3">
        <f t="shared" ca="1" si="400"/>
        <v>0</v>
      </c>
      <c r="AH1125" s="3">
        <f t="shared" ca="1" si="400"/>
        <v>0</v>
      </c>
      <c r="AI1125" s="3">
        <f t="shared" ca="1" si="400"/>
        <v>0</v>
      </c>
      <c r="AJ1125" s="3">
        <f t="shared" ca="1" si="400"/>
        <v>0</v>
      </c>
      <c r="AK1125" s="3">
        <f t="shared" ca="1" si="400"/>
        <v>0</v>
      </c>
      <c r="AL1125" s="3">
        <f t="shared" ca="1" si="400"/>
        <v>0</v>
      </c>
      <c r="AM1125" s="3">
        <f t="shared" ca="1" si="400"/>
        <v>0</v>
      </c>
      <c r="AN1125" s="3">
        <f t="shared" ca="1" si="400"/>
        <v>0</v>
      </c>
      <c r="AO1125" s="3">
        <f t="shared" ca="1" si="400"/>
        <v>0</v>
      </c>
      <c r="AP1125" s="3">
        <f t="shared" ca="1" si="400"/>
        <v>0</v>
      </c>
      <c r="AQ1125" s="3">
        <f t="shared" ca="1" si="400"/>
        <v>0</v>
      </c>
      <c r="AR1125" s="3">
        <f t="shared" ca="1" si="400"/>
        <v>0</v>
      </c>
      <c r="AS1125" s="3">
        <f t="shared" ca="1" si="400"/>
        <v>0</v>
      </c>
      <c r="AT1125" s="3">
        <f t="shared" ca="1" si="400"/>
        <v>0</v>
      </c>
      <c r="AU1125" s="3">
        <f t="shared" ca="1" si="400"/>
        <v>0</v>
      </c>
      <c r="AV1125" s="3">
        <f t="shared" ca="1" si="400"/>
        <v>0</v>
      </c>
      <c r="AW1125" s="3">
        <f t="shared" ca="1" si="400"/>
        <v>0</v>
      </c>
      <c r="AX1125" s="3">
        <f t="shared" ca="1" si="400"/>
        <v>0</v>
      </c>
    </row>
    <row r="1126" spans="1:50" ht="15" customHeight="1" x14ac:dyDescent="0.25">
      <c r="A1126" s="170"/>
      <c r="E1126" s="77" t="str">
        <f t="shared" si="392"/>
        <v>Dividend withholding tax</v>
      </c>
      <c r="G1126" s="3" t="str">
        <f t="shared" si="393"/>
        <v>US$ mn 2021</v>
      </c>
      <c r="I1126" s="3">
        <f t="shared" ca="1" si="395"/>
        <v>1013.9780597960219</v>
      </c>
      <c r="K1126" s="3">
        <f t="shared" ref="K1126:AX1126" ca="1" si="401" xml:space="preserve"> K1109 / K$1117</f>
        <v>0</v>
      </c>
      <c r="L1126" s="3">
        <f t="shared" ca="1" si="401"/>
        <v>0</v>
      </c>
      <c r="M1126" s="3">
        <f t="shared" ca="1" si="401"/>
        <v>0</v>
      </c>
      <c r="N1126" s="3">
        <f t="shared" ca="1" si="401"/>
        <v>0</v>
      </c>
      <c r="O1126" s="3">
        <f t="shared" ca="1" si="401"/>
        <v>0</v>
      </c>
      <c r="P1126" s="3">
        <f t="shared" ca="1" si="401"/>
        <v>36.32412280876801</v>
      </c>
      <c r="Q1126" s="3">
        <f t="shared" ca="1" si="401"/>
        <v>45.350771818096845</v>
      </c>
      <c r="R1126" s="3">
        <f t="shared" ca="1" si="401"/>
        <v>79.556346738411946</v>
      </c>
      <c r="S1126" s="3">
        <f t="shared" ca="1" si="401"/>
        <v>89.674864815300822</v>
      </c>
      <c r="T1126" s="3">
        <f t="shared" ca="1" si="401"/>
        <v>78.024716227284031</v>
      </c>
      <c r="U1126" s="3">
        <f t="shared" ca="1" si="401"/>
        <v>69.896446779512601</v>
      </c>
      <c r="V1126" s="3">
        <f t="shared" ca="1" si="401"/>
        <v>66.982901799484608</v>
      </c>
      <c r="W1126" s="3">
        <f t="shared" ca="1" si="401"/>
        <v>64.793340493642333</v>
      </c>
      <c r="X1126" s="3">
        <f t="shared" ca="1" si="401"/>
        <v>66.258621891407984</v>
      </c>
      <c r="Y1126" s="3">
        <f t="shared" ca="1" si="401"/>
        <v>67.679392246156468</v>
      </c>
      <c r="Z1126" s="3">
        <f t="shared" ca="1" si="401"/>
        <v>69.056833735892425</v>
      </c>
      <c r="AA1126" s="3">
        <f t="shared" ca="1" si="401"/>
        <v>70.145532787132055</v>
      </c>
      <c r="AB1126" s="3">
        <f t="shared" ca="1" si="401"/>
        <v>69.950152814292935</v>
      </c>
      <c r="AC1126" s="3">
        <f t="shared" ca="1" si="401"/>
        <v>59.074488044169605</v>
      </c>
      <c r="AD1126" s="3">
        <f t="shared" ca="1" si="401"/>
        <v>31.04053758591634</v>
      </c>
      <c r="AE1126" s="3">
        <f t="shared" ca="1" si="401"/>
        <v>21.876777785338973</v>
      </c>
      <c r="AF1126" s="3">
        <f t="shared" ca="1" si="401"/>
        <v>28.292211425214134</v>
      </c>
      <c r="AG1126" s="3">
        <f t="shared" ca="1" si="401"/>
        <v>0</v>
      </c>
      <c r="AH1126" s="3">
        <f t="shared" ca="1" si="401"/>
        <v>0</v>
      </c>
      <c r="AI1126" s="3">
        <f t="shared" ca="1" si="401"/>
        <v>0</v>
      </c>
      <c r="AJ1126" s="3">
        <f t="shared" ca="1" si="401"/>
        <v>0</v>
      </c>
      <c r="AK1126" s="3">
        <f t="shared" ca="1" si="401"/>
        <v>0</v>
      </c>
      <c r="AL1126" s="3">
        <f t="shared" ca="1" si="401"/>
        <v>0</v>
      </c>
      <c r="AM1126" s="3">
        <f t="shared" ca="1" si="401"/>
        <v>0</v>
      </c>
      <c r="AN1126" s="3">
        <f t="shared" ca="1" si="401"/>
        <v>0</v>
      </c>
      <c r="AO1126" s="3">
        <f t="shared" ca="1" si="401"/>
        <v>0</v>
      </c>
      <c r="AP1126" s="3">
        <f t="shared" ca="1" si="401"/>
        <v>0</v>
      </c>
      <c r="AQ1126" s="3">
        <f t="shared" ca="1" si="401"/>
        <v>0</v>
      </c>
      <c r="AR1126" s="3">
        <f t="shared" ca="1" si="401"/>
        <v>0</v>
      </c>
      <c r="AS1126" s="3">
        <f t="shared" ca="1" si="401"/>
        <v>0</v>
      </c>
      <c r="AT1126" s="3">
        <f t="shared" ca="1" si="401"/>
        <v>0</v>
      </c>
      <c r="AU1126" s="3">
        <f t="shared" ca="1" si="401"/>
        <v>0</v>
      </c>
      <c r="AV1126" s="3">
        <f t="shared" ca="1" si="401"/>
        <v>0</v>
      </c>
      <c r="AW1126" s="3">
        <f t="shared" ca="1" si="401"/>
        <v>0</v>
      </c>
      <c r="AX1126" s="3">
        <f t="shared" ca="1" si="401"/>
        <v>0</v>
      </c>
    </row>
    <row r="1127" spans="1:50" ht="15" customHeight="1" x14ac:dyDescent="0.25">
      <c r="A1127" s="170"/>
      <c r="E1127" s="77" t="str">
        <f t="shared" si="392"/>
        <v>Interest withholding tax</v>
      </c>
      <c r="G1127" s="3" t="str">
        <f t="shared" si="393"/>
        <v>US$ mn 2021</v>
      </c>
      <c r="I1127" s="3">
        <f t="shared" ca="1" si="395"/>
        <v>92.245313806865923</v>
      </c>
      <c r="K1127" s="3">
        <f t="shared" ref="K1127:AX1128" ca="1" si="402" xml:space="preserve"> K1110 / K$1117</f>
        <v>0</v>
      </c>
      <c r="L1127" s="3">
        <f t="shared" ca="1" si="402"/>
        <v>0</v>
      </c>
      <c r="M1127" s="3">
        <f t="shared" ca="1" si="402"/>
        <v>0</v>
      </c>
      <c r="N1127" s="3">
        <f t="shared" ca="1" si="402"/>
        <v>0</v>
      </c>
      <c r="O1127" s="3">
        <f t="shared" ca="1" si="402"/>
        <v>0</v>
      </c>
      <c r="P1127" s="3">
        <f t="shared" ca="1" si="402"/>
        <v>0</v>
      </c>
      <c r="Q1127" s="3">
        <f t="shared" ca="1" si="402"/>
        <v>17.777717591829806</v>
      </c>
      <c r="R1127" s="3">
        <f t="shared" ca="1" si="402"/>
        <v>15.68622140455571</v>
      </c>
      <c r="S1127" s="3">
        <f t="shared" ca="1" si="402"/>
        <v>13.669909720745714</v>
      </c>
      <c r="T1127" s="3">
        <f t="shared" ca="1" si="402"/>
        <v>11.726638240835785</v>
      </c>
      <c r="U1127" s="3">
        <f t="shared" ca="1" si="402"/>
        <v>9.8543178494418342</v>
      </c>
      <c r="V1127" s="3">
        <f t="shared" ca="1" si="402"/>
        <v>8.0509132756877744</v>
      </c>
      <c r="W1127" s="3">
        <f t="shared" ca="1" si="402"/>
        <v>6.3144417848531562</v>
      </c>
      <c r="X1127" s="3">
        <f t="shared" ca="1" si="402"/>
        <v>4.6429719006273205</v>
      </c>
      <c r="Y1127" s="3">
        <f t="shared" ca="1" si="402"/>
        <v>3.0346221572727585</v>
      </c>
      <c r="Z1127" s="3">
        <f t="shared" ca="1" si="402"/>
        <v>1.4875598810160582</v>
      </c>
      <c r="AA1127" s="3">
        <f t="shared" ca="1" si="402"/>
        <v>0</v>
      </c>
      <c r="AB1127" s="3">
        <f t="shared" ca="1" si="402"/>
        <v>0</v>
      </c>
      <c r="AC1127" s="3">
        <f t="shared" ca="1" si="402"/>
        <v>0</v>
      </c>
      <c r="AD1127" s="3">
        <f t="shared" ca="1" si="402"/>
        <v>0</v>
      </c>
      <c r="AE1127" s="3">
        <f t="shared" ca="1" si="402"/>
        <v>0</v>
      </c>
      <c r="AF1127" s="3">
        <f t="shared" ca="1" si="402"/>
        <v>0</v>
      </c>
      <c r="AG1127" s="3">
        <f t="shared" ca="1" si="402"/>
        <v>0</v>
      </c>
      <c r="AH1127" s="3">
        <f t="shared" ca="1" si="402"/>
        <v>0</v>
      </c>
      <c r="AI1127" s="3">
        <f t="shared" ca="1" si="402"/>
        <v>0</v>
      </c>
      <c r="AJ1127" s="3">
        <f t="shared" ca="1" si="402"/>
        <v>0</v>
      </c>
      <c r="AK1127" s="3">
        <f t="shared" ca="1" si="402"/>
        <v>0</v>
      </c>
      <c r="AL1127" s="3">
        <f t="shared" ca="1" si="402"/>
        <v>0</v>
      </c>
      <c r="AM1127" s="3">
        <f t="shared" ca="1" si="402"/>
        <v>0</v>
      </c>
      <c r="AN1127" s="3">
        <f t="shared" ca="1" si="402"/>
        <v>0</v>
      </c>
      <c r="AO1127" s="3">
        <f t="shared" ca="1" si="402"/>
        <v>0</v>
      </c>
      <c r="AP1127" s="3">
        <f t="shared" ca="1" si="402"/>
        <v>0</v>
      </c>
      <c r="AQ1127" s="3">
        <f t="shared" ca="1" si="402"/>
        <v>0</v>
      </c>
      <c r="AR1127" s="3">
        <f t="shared" ca="1" si="402"/>
        <v>0</v>
      </c>
      <c r="AS1127" s="3">
        <f t="shared" ca="1" si="402"/>
        <v>0</v>
      </c>
      <c r="AT1127" s="3">
        <f t="shared" ca="1" si="402"/>
        <v>0</v>
      </c>
      <c r="AU1127" s="3">
        <f t="shared" ca="1" si="402"/>
        <v>0</v>
      </c>
      <c r="AV1127" s="3">
        <f t="shared" ca="1" si="402"/>
        <v>0</v>
      </c>
      <c r="AW1127" s="3">
        <f t="shared" ca="1" si="402"/>
        <v>0</v>
      </c>
      <c r="AX1127" s="3">
        <f t="shared" ca="1" si="402"/>
        <v>0</v>
      </c>
    </row>
    <row r="1128" spans="1:50" ht="15" customHeight="1" x14ac:dyDescent="0.25">
      <c r="A1128" s="170"/>
      <c r="E1128" s="77" t="str">
        <f t="shared" si="392"/>
        <v>VAT cashflow: government</v>
      </c>
      <c r="G1128" s="3" t="str">
        <f t="shared" si="393"/>
        <v>US$ mn 2021</v>
      </c>
      <c r="I1128" s="3">
        <f ca="1" xml:space="preserve"> SUM(K1128:AX1128)</f>
        <v>0</v>
      </c>
      <c r="K1128" s="3">
        <f t="shared" ca="1" si="402"/>
        <v>0</v>
      </c>
      <c r="L1128" s="3">
        <f t="shared" ca="1" si="402"/>
        <v>0</v>
      </c>
      <c r="M1128" s="3">
        <f t="shared" ca="1" si="402"/>
        <v>0</v>
      </c>
      <c r="N1128" s="3">
        <f t="shared" ca="1" si="402"/>
        <v>0</v>
      </c>
      <c r="O1128" s="3">
        <f t="shared" ca="1" si="402"/>
        <v>0</v>
      </c>
      <c r="P1128" s="3">
        <f t="shared" ca="1" si="402"/>
        <v>0</v>
      </c>
      <c r="Q1128" s="3">
        <f t="shared" ca="1" si="402"/>
        <v>0</v>
      </c>
      <c r="R1128" s="3">
        <f t="shared" ca="1" si="402"/>
        <v>0</v>
      </c>
      <c r="S1128" s="3">
        <f t="shared" ca="1" si="402"/>
        <v>0</v>
      </c>
      <c r="T1128" s="3">
        <f t="shared" ca="1" si="402"/>
        <v>0</v>
      </c>
      <c r="U1128" s="3">
        <f t="shared" ca="1" si="402"/>
        <v>0</v>
      </c>
      <c r="V1128" s="3">
        <f t="shared" ca="1" si="402"/>
        <v>0</v>
      </c>
      <c r="W1128" s="3">
        <f t="shared" ca="1" si="402"/>
        <v>0</v>
      </c>
      <c r="X1128" s="3">
        <f t="shared" ca="1" si="402"/>
        <v>0</v>
      </c>
      <c r="Y1128" s="3">
        <f t="shared" ca="1" si="402"/>
        <v>0</v>
      </c>
      <c r="Z1128" s="3">
        <f t="shared" ca="1" si="402"/>
        <v>0</v>
      </c>
      <c r="AA1128" s="3">
        <f t="shared" ca="1" si="402"/>
        <v>0</v>
      </c>
      <c r="AB1128" s="3">
        <f t="shared" ca="1" si="402"/>
        <v>0</v>
      </c>
      <c r="AC1128" s="3">
        <f t="shared" ca="1" si="402"/>
        <v>0</v>
      </c>
      <c r="AD1128" s="3">
        <f t="shared" ca="1" si="402"/>
        <v>0</v>
      </c>
      <c r="AE1128" s="3">
        <f t="shared" ca="1" si="402"/>
        <v>0</v>
      </c>
      <c r="AF1128" s="3">
        <f t="shared" ca="1" si="402"/>
        <v>0</v>
      </c>
      <c r="AG1128" s="3">
        <f t="shared" ca="1" si="402"/>
        <v>0</v>
      </c>
      <c r="AH1128" s="3">
        <f t="shared" ca="1" si="402"/>
        <v>0</v>
      </c>
      <c r="AI1128" s="3">
        <f t="shared" ca="1" si="402"/>
        <v>0</v>
      </c>
      <c r="AJ1128" s="3">
        <f t="shared" ca="1" si="402"/>
        <v>0</v>
      </c>
      <c r="AK1128" s="3">
        <f t="shared" ca="1" si="402"/>
        <v>0</v>
      </c>
      <c r="AL1128" s="3">
        <f t="shared" ca="1" si="402"/>
        <v>0</v>
      </c>
      <c r="AM1128" s="3">
        <f t="shared" ca="1" si="402"/>
        <v>0</v>
      </c>
      <c r="AN1128" s="3">
        <f t="shared" ca="1" si="402"/>
        <v>0</v>
      </c>
      <c r="AO1128" s="3">
        <f t="shared" ca="1" si="402"/>
        <v>0</v>
      </c>
      <c r="AP1128" s="3">
        <f t="shared" ca="1" si="402"/>
        <v>0</v>
      </c>
      <c r="AQ1128" s="3">
        <f t="shared" ca="1" si="402"/>
        <v>0</v>
      </c>
      <c r="AR1128" s="3">
        <f t="shared" ca="1" si="402"/>
        <v>0</v>
      </c>
      <c r="AS1128" s="3">
        <f t="shared" ca="1" si="402"/>
        <v>0</v>
      </c>
      <c r="AT1128" s="3">
        <f t="shared" ca="1" si="402"/>
        <v>0</v>
      </c>
      <c r="AU1128" s="3">
        <f t="shared" ca="1" si="402"/>
        <v>0</v>
      </c>
      <c r="AV1128" s="3">
        <f t="shared" ca="1" si="402"/>
        <v>0</v>
      </c>
      <c r="AW1128" s="3">
        <f t="shared" ca="1" si="402"/>
        <v>0</v>
      </c>
      <c r="AX1128" s="3">
        <f t="shared" ca="1" si="402"/>
        <v>0</v>
      </c>
    </row>
    <row r="1129" spans="1:50" s="518" customFormat="1" ht="15" customHeight="1" x14ac:dyDescent="0.25">
      <c r="B1129" s="679"/>
      <c r="C1129" s="662"/>
      <c r="D1129" s="520"/>
      <c r="E1129" s="518" t="str">
        <f t="shared" si="392"/>
        <v>Government revenues excluding participation</v>
      </c>
      <c r="F1129" s="520"/>
      <c r="G1129" s="518" t="str">
        <f t="shared" si="393"/>
        <v>US$ mn 2021</v>
      </c>
      <c r="I1129" s="518">
        <f t="shared" ca="1" si="395"/>
        <v>16056.404234002975</v>
      </c>
      <c r="K1129" s="518">
        <f t="shared" ref="K1129:AX1129" ca="1" si="403">SUM(K1120:K1128)</f>
        <v>10</v>
      </c>
      <c r="L1129" s="518">
        <f t="shared" ca="1" si="403"/>
        <v>0</v>
      </c>
      <c r="M1129" s="518">
        <f t="shared" ca="1" si="403"/>
        <v>0</v>
      </c>
      <c r="N1129" s="518">
        <f t="shared" ca="1" si="403"/>
        <v>0</v>
      </c>
      <c r="O1129" s="518">
        <f t="shared" ca="1" si="403"/>
        <v>88.582606280643191</v>
      </c>
      <c r="P1129" s="518">
        <f t="shared" ca="1" si="403"/>
        <v>368.70789472108811</v>
      </c>
      <c r="Q1129" s="518">
        <f t="shared" ca="1" si="403"/>
        <v>726.67019904192705</v>
      </c>
      <c r="R1129" s="518">
        <f t="shared" ca="1" si="403"/>
        <v>872.09786683953803</v>
      </c>
      <c r="S1129" s="518">
        <f t="shared" ca="1" si="403"/>
        <v>960.31286559465696</v>
      </c>
      <c r="T1129" s="518">
        <f t="shared" ca="1" si="403"/>
        <v>1083.8332597760284</v>
      </c>
      <c r="U1129" s="518">
        <f t="shared" ca="1" si="403"/>
        <v>1175.0607476730338</v>
      </c>
      <c r="V1129" s="518">
        <f t="shared" ca="1" si="403"/>
        <v>1218.7759160069227</v>
      </c>
      <c r="W1129" s="518">
        <f t="shared" ca="1" si="403"/>
        <v>1215.2021859068711</v>
      </c>
      <c r="X1129" s="518">
        <f t="shared" ca="1" si="403"/>
        <v>1219.1837005000195</v>
      </c>
      <c r="Y1129" s="518">
        <f t="shared" ca="1" si="403"/>
        <v>1223.0167429455282</v>
      </c>
      <c r="Z1129" s="518">
        <f t="shared" ca="1" si="403"/>
        <v>1226.7056049175478</v>
      </c>
      <c r="AA1129" s="518">
        <f t="shared" ca="1" si="403"/>
        <v>980.543221155693</v>
      </c>
      <c r="AB1129" s="518">
        <f t="shared" ca="1" si="403"/>
        <v>792.07065292357095</v>
      </c>
      <c r="AC1129" s="518">
        <f t="shared" ca="1" si="403"/>
        <v>662.01527910276286</v>
      </c>
      <c r="AD1129" s="518">
        <f t="shared" ca="1" si="403"/>
        <v>506.55521064156488</v>
      </c>
      <c r="AE1129" s="518">
        <f t="shared" ca="1" si="403"/>
        <v>397.99498049994634</v>
      </c>
      <c r="AF1129" s="518">
        <f t="shared" ca="1" si="403"/>
        <v>333.54915202440236</v>
      </c>
      <c r="AG1129" s="518">
        <f t="shared" ca="1" si="403"/>
        <v>238.57407851609645</v>
      </c>
      <c r="AH1129" s="518">
        <f t="shared" ca="1" si="403"/>
        <v>183.60843695408704</v>
      </c>
      <c r="AI1129" s="518">
        <f t="shared" ca="1" si="403"/>
        <v>149.63029869439617</v>
      </c>
      <c r="AJ1129" s="518">
        <f t="shared" ca="1" si="403"/>
        <v>124.22923883542845</v>
      </c>
      <c r="AK1129" s="518">
        <f t="shared" ca="1" si="403"/>
        <v>95.591493187539172</v>
      </c>
      <c r="AL1129" s="518">
        <f t="shared" ca="1" si="403"/>
        <v>72.709308696397386</v>
      </c>
      <c r="AM1129" s="518">
        <f t="shared" ca="1" si="403"/>
        <v>58.167808109061227</v>
      </c>
      <c r="AN1129" s="518">
        <f t="shared" ca="1" si="403"/>
        <v>42.243213131999632</v>
      </c>
      <c r="AO1129" s="518">
        <f t="shared" ca="1" si="403"/>
        <v>30.772271326220409</v>
      </c>
      <c r="AP1129" s="518">
        <f t="shared" ca="1" si="403"/>
        <v>0</v>
      </c>
      <c r="AQ1129" s="518">
        <f t="shared" ca="1" si="403"/>
        <v>0</v>
      </c>
      <c r="AR1129" s="518">
        <f t="shared" ca="1" si="403"/>
        <v>0</v>
      </c>
      <c r="AS1129" s="518">
        <f t="shared" ca="1" si="403"/>
        <v>0</v>
      </c>
      <c r="AT1129" s="518">
        <f t="shared" ca="1" si="403"/>
        <v>0</v>
      </c>
      <c r="AU1129" s="518">
        <f t="shared" ca="1" si="403"/>
        <v>0</v>
      </c>
      <c r="AV1129" s="518">
        <f t="shared" ca="1" si="403"/>
        <v>0</v>
      </c>
      <c r="AW1129" s="518">
        <f t="shared" ca="1" si="403"/>
        <v>0</v>
      </c>
      <c r="AX1129" s="518">
        <f t="shared" ca="1" si="403"/>
        <v>0</v>
      </c>
    </row>
    <row r="1130" spans="1:50" ht="15" customHeight="1" x14ac:dyDescent="0.25">
      <c r="A1130" s="170"/>
      <c r="E1130" s="77" t="str">
        <f t="shared" si="392"/>
        <v>SOC net cash flow before tax, after carried interest, including share of lender cashflows</v>
      </c>
      <c r="G1130" s="3" t="str">
        <f t="shared" si="393"/>
        <v>US$ mn 2021</v>
      </c>
      <c r="I1130" s="3">
        <f t="shared" ca="1" si="395"/>
        <v>3982.9846625612686</v>
      </c>
      <c r="K1130" s="3">
        <f t="shared" ref="K1130:AX1130" ca="1" si="404" xml:space="preserve"> K1113 / K$1117</f>
        <v>0</v>
      </c>
      <c r="L1130" s="3">
        <f t="shared" ca="1" si="404"/>
        <v>-7</v>
      </c>
      <c r="M1130" s="3">
        <f t="shared" ca="1" si="404"/>
        <v>-42</v>
      </c>
      <c r="N1130" s="3">
        <f t="shared" ca="1" si="404"/>
        <v>-168</v>
      </c>
      <c r="O1130" s="3">
        <f t="shared" ca="1" si="404"/>
        <v>-168</v>
      </c>
      <c r="P1130" s="3">
        <f t="shared" ca="1" si="404"/>
        <v>-294</v>
      </c>
      <c r="Q1130" s="3">
        <f t="shared" ca="1" si="404"/>
        <v>107.35265407110511</v>
      </c>
      <c r="R1130" s="3">
        <f t="shared" ca="1" si="404"/>
        <v>324.64477343830453</v>
      </c>
      <c r="S1130" s="3">
        <f t="shared" ca="1" si="404"/>
        <v>365.28368248645455</v>
      </c>
      <c r="T1130" s="3">
        <f t="shared" ca="1" si="404"/>
        <v>365.90336297007161</v>
      </c>
      <c r="U1130" s="3">
        <f t="shared" ca="1" si="404"/>
        <v>366.50432331073785</v>
      </c>
      <c r="V1130" s="3">
        <f t="shared" ca="1" si="404"/>
        <v>367.08705938469217</v>
      </c>
      <c r="W1130" s="3">
        <f t="shared" ca="1" si="404"/>
        <v>357.59979613511689</v>
      </c>
      <c r="X1130" s="3">
        <f t="shared" ca="1" si="404"/>
        <v>358.34462571015644</v>
      </c>
      <c r="Y1130" s="3">
        <f t="shared" ca="1" si="404"/>
        <v>359.06878153941</v>
      </c>
      <c r="Z1130" s="3">
        <f t="shared" ca="1" si="404"/>
        <v>359.7727879952327</v>
      </c>
      <c r="AA1130" s="3">
        <f t="shared" ca="1" si="404"/>
        <v>270.82581772687712</v>
      </c>
      <c r="AB1130" s="3">
        <f t="shared" ca="1" si="404"/>
        <v>248.53589475441893</v>
      </c>
      <c r="AC1130" s="3">
        <f t="shared" ca="1" si="404"/>
        <v>211.98544956012856</v>
      </c>
      <c r="AD1130" s="3">
        <f t="shared" ca="1" si="404"/>
        <v>126.56885661966672</v>
      </c>
      <c r="AE1130" s="3">
        <f t="shared" ca="1" si="404"/>
        <v>92.174442204675259</v>
      </c>
      <c r="AF1130" s="3">
        <f t="shared" ca="1" si="404"/>
        <v>102.89086574523206</v>
      </c>
      <c r="AG1130" s="3">
        <f t="shared" ca="1" si="404"/>
        <v>79.931240883226394</v>
      </c>
      <c r="AH1130" s="3">
        <f t="shared" ca="1" si="404"/>
        <v>60.57163552775063</v>
      </c>
      <c r="AI1130" s="3">
        <f t="shared" ca="1" si="404"/>
        <v>45.101226726046271</v>
      </c>
      <c r="AJ1130" s="3">
        <f t="shared" ca="1" si="404"/>
        <v>32.781902148148902</v>
      </c>
      <c r="AK1130" s="3">
        <f t="shared" ca="1" si="404"/>
        <v>23.015518262544532</v>
      </c>
      <c r="AL1130" s="3">
        <f t="shared" ca="1" si="404"/>
        <v>15.317364349638096</v>
      </c>
      <c r="AM1130" s="3">
        <f t="shared" ca="1" si="404"/>
        <v>11.924564486059397</v>
      </c>
      <c r="AN1130" s="3">
        <f t="shared" ca="1" si="404"/>
        <v>6.2074486901330133</v>
      </c>
      <c r="AO1130" s="3">
        <f t="shared" ca="1" si="404"/>
        <v>2.5905878354412502</v>
      </c>
      <c r="AP1130" s="3">
        <f t="shared" ca="1" si="404"/>
        <v>0</v>
      </c>
      <c r="AQ1130" s="3">
        <f t="shared" ca="1" si="404"/>
        <v>0</v>
      </c>
      <c r="AR1130" s="3">
        <f t="shared" ca="1" si="404"/>
        <v>0</v>
      </c>
      <c r="AS1130" s="3">
        <f t="shared" ca="1" si="404"/>
        <v>0</v>
      </c>
      <c r="AT1130" s="3">
        <f t="shared" ca="1" si="404"/>
        <v>0</v>
      </c>
      <c r="AU1130" s="3">
        <f t="shared" ca="1" si="404"/>
        <v>0</v>
      </c>
      <c r="AV1130" s="3">
        <f t="shared" ca="1" si="404"/>
        <v>0</v>
      </c>
      <c r="AW1130" s="3">
        <f t="shared" ca="1" si="404"/>
        <v>0</v>
      </c>
      <c r="AX1130" s="3">
        <f t="shared" ca="1" si="404"/>
        <v>0</v>
      </c>
    </row>
    <row r="1131" spans="1:50" s="518" customFormat="1" ht="15" customHeight="1" x14ac:dyDescent="0.25">
      <c r="B1131" s="679"/>
      <c r="C1131" s="662"/>
      <c r="D1131" s="520"/>
      <c r="E1131" s="518" t="str">
        <f t="shared" si="392"/>
        <v>Government revenues including participation</v>
      </c>
      <c r="F1131" s="520"/>
      <c r="G1131" s="518" t="str">
        <f t="shared" si="393"/>
        <v>US$ mn 2021</v>
      </c>
      <c r="I1131" s="518">
        <f t="shared" ca="1" si="395"/>
        <v>20039.388896564244</v>
      </c>
      <c r="K1131" s="496">
        <f t="shared" ref="K1131:AX1131" ca="1" si="405" xml:space="preserve"> K1129 + K1130</f>
        <v>10</v>
      </c>
      <c r="L1131" s="496">
        <f t="shared" ca="1" si="405"/>
        <v>-7</v>
      </c>
      <c r="M1131" s="496">
        <f t="shared" ca="1" si="405"/>
        <v>-42</v>
      </c>
      <c r="N1131" s="496">
        <f t="shared" ca="1" si="405"/>
        <v>-168</v>
      </c>
      <c r="O1131" s="496">
        <f t="shared" ca="1" si="405"/>
        <v>-79.417393719356809</v>
      </c>
      <c r="P1131" s="496">
        <f t="shared" ca="1" si="405"/>
        <v>74.70789472108811</v>
      </c>
      <c r="Q1131" s="496">
        <f t="shared" ca="1" si="405"/>
        <v>834.02285311303217</v>
      </c>
      <c r="R1131" s="496">
        <f t="shared" ca="1" si="405"/>
        <v>1196.7426402778426</v>
      </c>
      <c r="S1131" s="496">
        <f t="shared" ca="1" si="405"/>
        <v>1325.5965480811115</v>
      </c>
      <c r="T1131" s="496">
        <f t="shared" ca="1" si="405"/>
        <v>1449.7366227461</v>
      </c>
      <c r="U1131" s="496">
        <f t="shared" ca="1" si="405"/>
        <v>1541.5650709837716</v>
      </c>
      <c r="V1131" s="496">
        <f t="shared" ca="1" si="405"/>
        <v>1585.8629753916148</v>
      </c>
      <c r="W1131" s="496">
        <f t="shared" ca="1" si="405"/>
        <v>1572.8019820419881</v>
      </c>
      <c r="X1131" s="496">
        <f t="shared" ca="1" si="405"/>
        <v>1577.5283262101759</v>
      </c>
      <c r="Y1131" s="496">
        <f t="shared" ca="1" si="405"/>
        <v>1582.0855244849381</v>
      </c>
      <c r="Z1131" s="496">
        <f t="shared" ca="1" si="405"/>
        <v>1586.4783929127805</v>
      </c>
      <c r="AA1131" s="496">
        <f t="shared" ca="1" si="405"/>
        <v>1251.3690388825701</v>
      </c>
      <c r="AB1131" s="496">
        <f t="shared" ca="1" si="405"/>
        <v>1040.60654767799</v>
      </c>
      <c r="AC1131" s="496">
        <f t="shared" ca="1" si="405"/>
        <v>874.00072866289145</v>
      </c>
      <c r="AD1131" s="496">
        <f t="shared" ca="1" si="405"/>
        <v>633.12406726123163</v>
      </c>
      <c r="AE1131" s="496">
        <f t="shared" ca="1" si="405"/>
        <v>490.16942270462158</v>
      </c>
      <c r="AF1131" s="496">
        <f t="shared" ca="1" si="405"/>
        <v>436.44001776963444</v>
      </c>
      <c r="AG1131" s="496">
        <f t="shared" ca="1" si="405"/>
        <v>318.50531939932284</v>
      </c>
      <c r="AH1131" s="496">
        <f t="shared" ca="1" si="405"/>
        <v>244.18007248183767</v>
      </c>
      <c r="AI1131" s="496">
        <f t="shared" ca="1" si="405"/>
        <v>194.73152542044244</v>
      </c>
      <c r="AJ1131" s="496">
        <f t="shared" ca="1" si="405"/>
        <v>157.01114098357735</v>
      </c>
      <c r="AK1131" s="496">
        <f t="shared" ca="1" si="405"/>
        <v>118.6070114500837</v>
      </c>
      <c r="AL1131" s="496">
        <f t="shared" ca="1" si="405"/>
        <v>88.026673046035484</v>
      </c>
      <c r="AM1131" s="496">
        <f t="shared" ca="1" si="405"/>
        <v>70.092372595120622</v>
      </c>
      <c r="AN1131" s="496">
        <f t="shared" ca="1" si="405"/>
        <v>48.450661822132645</v>
      </c>
      <c r="AO1131" s="496">
        <f t="shared" ca="1" si="405"/>
        <v>33.36285916166166</v>
      </c>
      <c r="AP1131" s="496">
        <f t="shared" ca="1" si="405"/>
        <v>0</v>
      </c>
      <c r="AQ1131" s="496">
        <f t="shared" ca="1" si="405"/>
        <v>0</v>
      </c>
      <c r="AR1131" s="496">
        <f t="shared" ca="1" si="405"/>
        <v>0</v>
      </c>
      <c r="AS1131" s="496">
        <f t="shared" ca="1" si="405"/>
        <v>0</v>
      </c>
      <c r="AT1131" s="496">
        <f t="shared" ca="1" si="405"/>
        <v>0</v>
      </c>
      <c r="AU1131" s="496">
        <f t="shared" ca="1" si="405"/>
        <v>0</v>
      </c>
      <c r="AV1131" s="496">
        <f t="shared" ca="1" si="405"/>
        <v>0</v>
      </c>
      <c r="AW1131" s="496">
        <f t="shared" ca="1" si="405"/>
        <v>0</v>
      </c>
      <c r="AX1131" s="496">
        <f t="shared" ca="1" si="405"/>
        <v>0</v>
      </c>
    </row>
    <row r="1132" spans="1:50" ht="15" customHeight="1" x14ac:dyDescent="0.25">
      <c r="A1132" s="106"/>
      <c r="B1132" s="692"/>
      <c r="C1132" s="601"/>
      <c r="D1132" s="117"/>
      <c r="E1132" s="109"/>
      <c r="F1132" s="117"/>
      <c r="G1132" s="109"/>
      <c r="H1132" s="109"/>
      <c r="I1132" s="109"/>
      <c r="J1132" s="109"/>
    </row>
    <row r="1133" spans="1:50" ht="15" customHeight="1" x14ac:dyDescent="0.25">
      <c r="A1133" s="106"/>
      <c r="B1133" s="692"/>
      <c r="C1133" s="601" t="str">
        <f>Translate!$E$690</f>
        <v>Project totals</v>
      </c>
      <c r="D1133" s="117"/>
      <c r="E1133" s="109"/>
      <c r="F1133" s="117"/>
      <c r="G1133" s="109"/>
      <c r="H1133" s="109"/>
      <c r="I1133" s="109"/>
      <c r="J1133" s="109"/>
    </row>
    <row r="1134" spans="1:50" ht="15" customHeight="1" x14ac:dyDescent="0.25">
      <c r="A1134" s="106"/>
      <c r="B1134" s="692"/>
      <c r="C1134" s="601"/>
      <c r="D1134" s="117"/>
      <c r="E1134" s="211" t="str">
        <f>Translate!E$601 &amp; ": "  &amp; E1120</f>
        <v>Total: Bonuses</v>
      </c>
      <c r="F1134" s="194">
        <f t="shared" ref="F1134:F1145" ca="1" si="406" xml:space="preserve"> SUM(K1120:AX1120)</f>
        <v>56.192271301325711</v>
      </c>
      <c r="G1134" s="211" t="str">
        <f t="shared" ref="G1134:G1145" si="407" xml:space="preserve"> G1120</f>
        <v>US$ mn 2021</v>
      </c>
      <c r="H1134" s="109"/>
      <c r="I1134" s="109"/>
      <c r="J1134" s="109"/>
    </row>
    <row r="1135" spans="1:50" ht="15" customHeight="1" x14ac:dyDescent="0.25">
      <c r="A1135" s="106"/>
      <c r="B1135" s="692"/>
      <c r="C1135" s="601"/>
      <c r="D1135" s="117"/>
      <c r="E1135" s="211" t="str">
        <f>Translate!E$601 &amp; ": "  &amp; E1121</f>
        <v>Total: Royalty</v>
      </c>
      <c r="F1135" s="194">
        <f t="shared" ca="1" si="406"/>
        <v>8820.6047726449069</v>
      </c>
      <c r="G1135" s="211" t="str">
        <f t="shared" si="407"/>
        <v>US$ mn 2021</v>
      </c>
      <c r="H1135" s="109"/>
      <c r="I1135" s="109"/>
      <c r="J1135" s="109"/>
    </row>
    <row r="1136" spans="1:50" ht="15" customHeight="1" x14ac:dyDescent="0.25">
      <c r="A1136" s="106"/>
      <c r="B1136" s="692"/>
      <c r="C1136" s="601"/>
      <c r="D1136" s="117"/>
      <c r="E1136" s="211" t="str">
        <f>Translate!E$601 &amp; ": "  &amp; E1122</f>
        <v>Total: Carbon tax</v>
      </c>
      <c r="F1136" s="194">
        <f t="shared" ca="1" si="406"/>
        <v>788.47391027310312</v>
      </c>
      <c r="G1136" s="211" t="str">
        <f t="shared" si="407"/>
        <v>US$ mn 2021</v>
      </c>
      <c r="H1136" s="109"/>
      <c r="I1136" s="109"/>
      <c r="J1136" s="109"/>
    </row>
    <row r="1137" spans="1:50" ht="15" customHeight="1" x14ac:dyDescent="0.25">
      <c r="A1137" s="106"/>
      <c r="B1137" s="692"/>
      <c r="C1137" s="601"/>
      <c r="D1137" s="117"/>
      <c r="E1137" s="211" t="str">
        <f>Translate!E$601 &amp; ": "  &amp; E1123</f>
        <v>Total: PSC: Government profit oil</v>
      </c>
      <c r="F1137" s="194">
        <f t="shared" ca="1" si="406"/>
        <v>0</v>
      </c>
      <c r="G1137" s="211" t="str">
        <f t="shared" si="407"/>
        <v>US$ mn 2021</v>
      </c>
      <c r="H1137" s="109"/>
      <c r="I1137" s="109"/>
      <c r="J1137" s="109"/>
    </row>
    <row r="1138" spans="1:50" ht="15" customHeight="1" x14ac:dyDescent="0.25">
      <c r="A1138" s="106"/>
      <c r="B1138" s="692"/>
      <c r="C1138" s="601"/>
      <c r="D1138" s="117"/>
      <c r="E1138" s="211" t="str">
        <f>Translate!E$601 &amp; ": "  &amp; E1124</f>
        <v>Total: CIT paid: IOC</v>
      </c>
      <c r="F1138" s="194">
        <f t="shared" ca="1" si="406"/>
        <v>5284.9099061807456</v>
      </c>
      <c r="G1138" s="211" t="str">
        <f t="shared" si="407"/>
        <v>US$ mn 2021</v>
      </c>
      <c r="H1138" s="109"/>
      <c r="I1138" s="109"/>
      <c r="J1138" s="109"/>
    </row>
    <row r="1139" spans="1:50" ht="15" customHeight="1" x14ac:dyDescent="0.25">
      <c r="A1139" s="106"/>
      <c r="B1139" s="692"/>
      <c r="C1139" s="601"/>
      <c r="D1139" s="117"/>
      <c r="E1139" s="211" t="str">
        <f>Translate!E$601 &amp; ": "  &amp; E1125</f>
        <v>Total: Resource rent tax: IOC</v>
      </c>
      <c r="F1139" s="194">
        <f t="shared" ca="1" si="406"/>
        <v>0</v>
      </c>
      <c r="G1139" s="211" t="str">
        <f t="shared" si="407"/>
        <v>US$ mn 2021</v>
      </c>
      <c r="H1139" s="109"/>
      <c r="I1139" s="109"/>
      <c r="J1139" s="109"/>
    </row>
    <row r="1140" spans="1:50" ht="15" customHeight="1" x14ac:dyDescent="0.25">
      <c r="A1140" s="106"/>
      <c r="B1140" s="692"/>
      <c r="C1140" s="601"/>
      <c r="D1140" s="117"/>
      <c r="E1140" s="211" t="str">
        <f>Translate!E$601 &amp; ": "  &amp; E1126</f>
        <v>Total: Dividend withholding tax</v>
      </c>
      <c r="F1140" s="194">
        <f t="shared" ca="1" si="406"/>
        <v>1013.9780597960219</v>
      </c>
      <c r="G1140" s="211" t="str">
        <f t="shared" si="407"/>
        <v>US$ mn 2021</v>
      </c>
      <c r="H1140" s="109"/>
      <c r="I1140" s="109"/>
      <c r="J1140" s="109"/>
    </row>
    <row r="1141" spans="1:50" ht="15" customHeight="1" x14ac:dyDescent="0.25">
      <c r="A1141" s="106"/>
      <c r="B1141" s="692"/>
      <c r="C1141" s="601"/>
      <c r="D1141" s="117"/>
      <c r="E1141" s="211" t="str">
        <f>Translate!E$601 &amp; ": "  &amp; E1127</f>
        <v>Total: Interest withholding tax</v>
      </c>
      <c r="F1141" s="194">
        <f t="shared" ca="1" si="406"/>
        <v>92.245313806865923</v>
      </c>
      <c r="G1141" s="211" t="str">
        <f t="shared" si="407"/>
        <v>US$ mn 2021</v>
      </c>
      <c r="H1141" s="109"/>
      <c r="I1141" s="109"/>
      <c r="J1141" s="109"/>
    </row>
    <row r="1142" spans="1:50" ht="15" customHeight="1" x14ac:dyDescent="0.25">
      <c r="A1142" s="106"/>
      <c r="B1142" s="692"/>
      <c r="C1142" s="601"/>
      <c r="D1142" s="117"/>
      <c r="E1142" s="211" t="str">
        <f>Translate!E$601 &amp; ": "  &amp; E1128</f>
        <v>Total: VAT cashflow: government</v>
      </c>
      <c r="F1142" s="194">
        <f t="shared" ca="1" si="406"/>
        <v>0</v>
      </c>
      <c r="G1142" s="211" t="str">
        <f t="shared" si="407"/>
        <v>US$ mn 2021</v>
      </c>
      <c r="H1142" s="109"/>
      <c r="I1142" s="109"/>
      <c r="J1142" s="109"/>
    </row>
    <row r="1143" spans="1:50" ht="15" customHeight="1" x14ac:dyDescent="0.25">
      <c r="A1143" s="106"/>
      <c r="B1143" s="692"/>
      <c r="C1143" s="601"/>
      <c r="D1143" s="117"/>
      <c r="E1143" s="211" t="str">
        <f>Translate!E$601 &amp; ": "  &amp; E1129</f>
        <v>Total: Government revenues excluding participation</v>
      </c>
      <c r="F1143" s="194">
        <f t="shared" ca="1" si="406"/>
        <v>16056.404234002975</v>
      </c>
      <c r="G1143" s="211" t="str">
        <f t="shared" si="407"/>
        <v>US$ mn 2021</v>
      </c>
      <c r="H1143" s="109"/>
      <c r="I1143" s="109"/>
      <c r="J1143" s="109"/>
    </row>
    <row r="1144" spans="1:50" ht="15" customHeight="1" x14ac:dyDescent="0.25">
      <c r="A1144" s="106"/>
      <c r="B1144" s="692"/>
      <c r="C1144" s="601"/>
      <c r="D1144" s="117"/>
      <c r="E1144" s="211" t="str">
        <f>Translate!E$601 &amp; ": "  &amp; E1130</f>
        <v>Total: SOC net cash flow before tax, after carried interest, including share of lender cashflows</v>
      </c>
      <c r="F1144" s="194">
        <f t="shared" ca="1" si="406"/>
        <v>3982.9846625612686</v>
      </c>
      <c r="G1144" s="211" t="str">
        <f t="shared" si="407"/>
        <v>US$ mn 2021</v>
      </c>
      <c r="H1144" s="109"/>
      <c r="I1144" s="109"/>
      <c r="J1144" s="109"/>
    </row>
    <row r="1145" spans="1:50" ht="15" customHeight="1" x14ac:dyDescent="0.25">
      <c r="A1145" s="106"/>
      <c r="B1145" s="692"/>
      <c r="C1145" s="601"/>
      <c r="D1145" s="117"/>
      <c r="E1145" s="211" t="str">
        <f>Translate!E$601 &amp; ": "  &amp; E1131</f>
        <v>Total: Government revenues including participation</v>
      </c>
      <c r="F1145" s="194">
        <f t="shared" ca="1" si="406"/>
        <v>20039.388896564244</v>
      </c>
      <c r="G1145" s="211" t="str">
        <f t="shared" si="407"/>
        <v>US$ mn 2021</v>
      </c>
      <c r="H1145" s="109"/>
      <c r="I1145" s="109"/>
      <c r="J1145" s="109"/>
    </row>
    <row r="1146" spans="1:50" ht="15" customHeight="1" x14ac:dyDescent="0.25">
      <c r="A1146" s="106"/>
      <c r="B1146" s="692"/>
      <c r="C1146" s="601"/>
      <c r="D1146" s="117"/>
      <c r="E1146" s="109"/>
      <c r="F1146" s="117"/>
      <c r="G1146" s="109"/>
      <c r="H1146" s="109"/>
      <c r="I1146" s="109"/>
      <c r="J1146" s="109"/>
    </row>
    <row r="1147" spans="1:50" ht="15" customHeight="1" x14ac:dyDescent="0.25">
      <c r="A1147" s="106"/>
      <c r="B1147" s="692"/>
      <c r="C1147" s="601"/>
      <c r="D1147" s="117"/>
      <c r="E1147" s="109" t="str">
        <f xml:space="preserve"> Translate!E$755 &amp; " " &amp;FiscalModel!E$1145</f>
        <v>Check:  Total: Government revenues including participation</v>
      </c>
      <c r="F1147" s="157">
        <f ca="1" xml:space="preserve"> IF( ABS( SUM(F1134:F1142) + F1144 - F1145) &gt; CHK_TOL, 1, 0)</f>
        <v>0</v>
      </c>
      <c r="G1147" s="109" t="str">
        <f xml:space="preserve"> Translate!E$604</f>
        <v>Check</v>
      </c>
      <c r="H1147" s="109"/>
      <c r="I1147" s="109"/>
      <c r="J1147" s="109"/>
    </row>
    <row r="1148" spans="1:50" ht="15" customHeight="1" x14ac:dyDescent="0.25">
      <c r="A1148" s="106"/>
      <c r="B1148" s="692"/>
      <c r="C1148" s="601"/>
      <c r="D1148" s="117"/>
      <c r="E1148" s="109"/>
      <c r="F1148" s="117"/>
      <c r="G1148" s="109"/>
      <c r="H1148" s="109"/>
      <c r="I1148" s="109"/>
      <c r="J1148" s="109"/>
      <c r="K1148" s="109"/>
      <c r="L1148" s="109"/>
      <c r="M1148" s="109"/>
      <c r="N1148" s="109"/>
      <c r="O1148" s="109"/>
      <c r="P1148" s="109"/>
      <c r="Q1148" s="109"/>
      <c r="R1148" s="109"/>
      <c r="S1148" s="109"/>
      <c r="T1148" s="109"/>
      <c r="U1148" s="109"/>
      <c r="V1148" s="109"/>
      <c r="W1148" s="109"/>
      <c r="X1148" s="109"/>
      <c r="Y1148" s="109"/>
      <c r="Z1148" s="109"/>
      <c r="AA1148" s="109"/>
      <c r="AB1148" s="109"/>
      <c r="AC1148" s="109"/>
      <c r="AD1148" s="109"/>
      <c r="AE1148" s="109"/>
      <c r="AF1148" s="109"/>
      <c r="AG1148" s="109"/>
      <c r="AH1148" s="109"/>
      <c r="AI1148" s="109"/>
      <c r="AJ1148" s="109"/>
      <c r="AK1148" s="109"/>
      <c r="AL1148" s="109"/>
      <c r="AM1148" s="109"/>
      <c r="AN1148" s="109"/>
      <c r="AO1148" s="109"/>
      <c r="AP1148" s="109"/>
      <c r="AQ1148" s="109"/>
      <c r="AR1148" s="109"/>
      <c r="AS1148" s="109"/>
      <c r="AT1148" s="109"/>
      <c r="AU1148" s="109"/>
      <c r="AV1148" s="109"/>
      <c r="AW1148" s="109"/>
      <c r="AX1148" s="109"/>
    </row>
    <row r="1149" spans="1:50" ht="15" customHeight="1" x14ac:dyDescent="0.25">
      <c r="A1149" s="66" t="str">
        <f>Translate!$E$481</f>
        <v>Cashflow reconilication</v>
      </c>
      <c r="B1149" s="789"/>
      <c r="C1149" s="660"/>
      <c r="D1149" s="286"/>
      <c r="E1149" s="66"/>
      <c r="F1149" s="286"/>
      <c r="G1149" s="66"/>
      <c r="H1149" s="66"/>
      <c r="I1149" s="66"/>
      <c r="J1149" s="66"/>
      <c r="K1149" s="66"/>
      <c r="L1149" s="66"/>
      <c r="M1149" s="66"/>
      <c r="N1149" s="66"/>
      <c r="O1149" s="66"/>
      <c r="P1149" s="66"/>
      <c r="Q1149" s="66"/>
      <c r="R1149" s="66"/>
      <c r="S1149" s="66"/>
      <c r="T1149" s="66"/>
      <c r="U1149" s="66"/>
      <c r="V1149" s="66"/>
      <c r="W1149" s="66"/>
      <c r="X1149" s="66"/>
      <c r="Y1149" s="66"/>
      <c r="Z1149" s="66"/>
      <c r="AA1149" s="66"/>
      <c r="AB1149" s="66"/>
      <c r="AC1149" s="66"/>
      <c r="AD1149" s="66"/>
      <c r="AE1149" s="66"/>
      <c r="AF1149" s="66"/>
      <c r="AG1149" s="66"/>
      <c r="AH1149" s="66"/>
      <c r="AI1149" s="66"/>
      <c r="AJ1149" s="66"/>
      <c r="AK1149" s="66"/>
      <c r="AL1149" s="66"/>
      <c r="AM1149" s="66"/>
      <c r="AN1149" s="66"/>
      <c r="AO1149" s="66"/>
      <c r="AP1149" s="66"/>
      <c r="AQ1149" s="66"/>
      <c r="AR1149" s="66"/>
      <c r="AS1149" s="66"/>
      <c r="AT1149" s="66"/>
      <c r="AU1149" s="66"/>
      <c r="AV1149" s="66"/>
      <c r="AW1149" s="66"/>
      <c r="AX1149" s="66"/>
    </row>
    <row r="1150" spans="1:50" ht="15" customHeight="1" x14ac:dyDescent="0.25">
      <c r="A1150" s="106"/>
      <c r="B1150" s="692"/>
      <c r="C1150" s="601"/>
      <c r="D1150" s="117"/>
      <c r="E1150" s="109"/>
      <c r="F1150" s="117"/>
      <c r="G1150" s="109"/>
      <c r="H1150" s="109"/>
      <c r="I1150" s="109"/>
      <c r="J1150" s="109"/>
      <c r="K1150" s="109"/>
      <c r="L1150" s="109"/>
      <c r="M1150" s="109"/>
      <c r="N1150" s="109"/>
      <c r="O1150" s="109"/>
      <c r="P1150" s="109"/>
      <c r="Q1150" s="109"/>
      <c r="R1150" s="109"/>
      <c r="S1150" s="109"/>
      <c r="T1150" s="109"/>
      <c r="U1150" s="109"/>
      <c r="V1150" s="109"/>
      <c r="W1150" s="109"/>
      <c r="X1150" s="109"/>
      <c r="Y1150" s="109"/>
      <c r="Z1150" s="109"/>
      <c r="AA1150" s="109"/>
      <c r="AB1150" s="109"/>
      <c r="AC1150" s="109"/>
      <c r="AD1150" s="109"/>
      <c r="AE1150" s="109"/>
      <c r="AF1150" s="109"/>
      <c r="AG1150" s="109"/>
      <c r="AH1150" s="109"/>
      <c r="AI1150" s="109"/>
      <c r="AJ1150" s="109"/>
      <c r="AK1150" s="109"/>
      <c r="AL1150" s="109"/>
      <c r="AM1150" s="109"/>
      <c r="AN1150" s="109"/>
      <c r="AO1150" s="109"/>
      <c r="AP1150" s="109"/>
      <c r="AQ1150" s="109"/>
      <c r="AR1150" s="109"/>
      <c r="AS1150" s="109"/>
      <c r="AT1150" s="109"/>
      <c r="AU1150" s="109"/>
      <c r="AV1150" s="109"/>
      <c r="AW1150" s="109"/>
      <c r="AX1150" s="109"/>
    </row>
    <row r="1151" spans="1:50" s="40" customFormat="1" ht="15" customHeight="1" x14ac:dyDescent="0.25">
      <c r="A1151" s="290"/>
      <c r="B1151" s="692"/>
      <c r="C1151" s="638"/>
      <c r="D1151" s="357"/>
      <c r="E1151" s="290" t="str">
        <f xml:space="preserve"> ProjectCashflows!E$245</f>
        <v>Cashflow before decommissioning fund</v>
      </c>
      <c r="F1151" s="357">
        <f xml:space="preserve"> ProjectCashflows!F$245</f>
        <v>0</v>
      </c>
      <c r="G1151" s="290" t="str">
        <f xml:space="preserve"> ProjectCashflows!G$245</f>
        <v>US$ mn</v>
      </c>
      <c r="H1151" s="290">
        <f xml:space="preserve"> ProjectCashflows!H$245</f>
        <v>0</v>
      </c>
      <c r="I1151" s="290">
        <f ca="1" xml:space="preserve"> ProjectCashflows!I$245</f>
        <v>38774.104672459696</v>
      </c>
      <c r="J1151" s="290">
        <f xml:space="preserve"> ProjectCashflows!J$245</f>
        <v>0</v>
      </c>
      <c r="K1151" s="290">
        <f ca="1" xml:space="preserve"> ProjectCashflows!K$245</f>
        <v>-420</v>
      </c>
      <c r="L1151" s="290">
        <f ca="1" xml:space="preserve"> ProjectCashflows!L$245</f>
        <v>-51</v>
      </c>
      <c r="M1151" s="290">
        <f ca="1" xml:space="preserve"> ProjectCashflows!M$245</f>
        <v>-312.12</v>
      </c>
      <c r="N1151" s="290">
        <f ca="1" xml:space="preserve"> ProjectCashflows!N$245</f>
        <v>-1273.4495999999999</v>
      </c>
      <c r="O1151" s="290">
        <f ca="1" xml:space="preserve"> ProjectCashflows!O$245</f>
        <v>-1145.5830293901518</v>
      </c>
      <c r="P1151" s="290">
        <f ca="1" xml:space="preserve"> ProjectCashflows!P$245</f>
        <v>-854.97257197800013</v>
      </c>
      <c r="Q1151" s="290">
        <f ca="1" xml:space="preserve"> ProjectCashflows!Q$245</f>
        <v>1859.5756948096803</v>
      </c>
      <c r="R1151" s="290">
        <f ca="1" xml:space="preserve"> ProjectCashflows!R$245</f>
        <v>2643.4128926779058</v>
      </c>
      <c r="S1151" s="290">
        <f ca="1" xml:space="preserve"> ProjectCashflows!S$245</f>
        <v>2930.6130267319172</v>
      </c>
      <c r="T1151" s="290">
        <f ca="1" xml:space="preserve"> ProjectCashflows!T$245</f>
        <v>2989.2252872665558</v>
      </c>
      <c r="U1151" s="290">
        <f ca="1" xml:space="preserve"> ProjectCashflows!U$245</f>
        <v>3049.0097930118864</v>
      </c>
      <c r="V1151" s="290">
        <f ca="1" xml:space="preserve"> ProjectCashflows!V$245</f>
        <v>3109.9899888721243</v>
      </c>
      <c r="W1151" s="290">
        <f ca="1" xml:space="preserve"> ProjectCashflows!W$245</f>
        <v>3172.1897886495672</v>
      </c>
      <c r="X1151" s="290">
        <f ca="1" xml:space="preserve"> ProjectCashflows!X$245</f>
        <v>3235.6335844225578</v>
      </c>
      <c r="Y1151" s="290">
        <f ca="1" xml:space="preserve"> ProjectCashflows!Y$245</f>
        <v>3300.3462561110096</v>
      </c>
      <c r="Z1151" s="290">
        <f ca="1" xml:space="preserve"> ProjectCashflows!Z$245</f>
        <v>3366.3531812332299</v>
      </c>
      <c r="AA1151" s="290">
        <f ca="1" xml:space="preserve"> ProjectCashflows!AA$245</f>
        <v>2648.2580635116151</v>
      </c>
      <c r="AB1151" s="290">
        <f ca="1" xml:space="preserve"> ProjectCashflows!AB$245</f>
        <v>2402.367773351657</v>
      </c>
      <c r="AC1151" s="290">
        <f ca="1" xml:space="preserve"> ProjectCashflows!AC$245</f>
        <v>2071.387976946261</v>
      </c>
      <c r="AD1151" s="290">
        <f ca="1" xml:space="preserve"> ProjectCashflows!AD$245</f>
        <v>1393.0675053556774</v>
      </c>
      <c r="AE1151" s="290">
        <f ca="1" xml:space="preserve"> ProjectCashflows!AE$245</f>
        <v>1084.6791190642259</v>
      </c>
      <c r="AF1151" s="290">
        <f ca="1" xml:space="preserve"> ProjectCashflows!AF$245</f>
        <v>1120.7836403365359</v>
      </c>
      <c r="AG1151" s="290">
        <f ca="1" xml:space="preserve"> ProjectCashflows!AG$245</f>
        <v>910.39250876791743</v>
      </c>
      <c r="AH1151" s="290">
        <f ca="1" xml:space="preserve"> ProjectCashflows!AH$245</f>
        <v>730.08970104537377</v>
      </c>
      <c r="AI1151" s="290">
        <f ca="1" xml:space="preserve"> ProjectCashflows!AI$245</f>
        <v>582.21000489803623</v>
      </c>
      <c r="AJ1151" s="290">
        <f ca="1" xml:space="preserve"> ProjectCashflows!AJ$245</f>
        <v>461.17057351373421</v>
      </c>
      <c r="AK1151" s="290">
        <f ca="1" xml:space="preserve"> ProjectCashflows!AK$245</f>
        <v>362.36051586199994</v>
      </c>
      <c r="AL1151" s="290">
        <f ca="1" xml:space="preserve"> ProjectCashflows!AL$245</f>
        <v>-144.74960301683154</v>
      </c>
      <c r="AM1151" s="290">
        <f ca="1" xml:space="preserve"> ProjectCashflows!AM$245</f>
        <v>216.86080583060547</v>
      </c>
      <c r="AN1151" s="290">
        <f ca="1" xml:space="preserve"> ProjectCashflows!AN$245</f>
        <v>155.55166339629073</v>
      </c>
      <c r="AO1151" s="290">
        <f ca="1" xml:space="preserve"> ProjectCashflows!AO$245</f>
        <v>113.48248314995762</v>
      </c>
      <c r="AP1151" s="290">
        <f ca="1" xml:space="preserve"> ProjectCashflows!AP$245</f>
        <v>-461.89720394635549</v>
      </c>
      <c r="AQ1151" s="290">
        <f ca="1" xml:space="preserve"> ProjectCashflows!AQ$245</f>
        <v>-471.1351480252826</v>
      </c>
      <c r="AR1151" s="290">
        <f ca="1" xml:space="preserve"> ProjectCashflows!AR$245</f>
        <v>0</v>
      </c>
      <c r="AS1151" s="290">
        <f ca="1" xml:space="preserve"> ProjectCashflows!AS$245</f>
        <v>0</v>
      </c>
      <c r="AT1151" s="290">
        <f ca="1" xml:space="preserve"> ProjectCashflows!AT$245</f>
        <v>0</v>
      </c>
      <c r="AU1151" s="290">
        <f ca="1" xml:space="preserve"> ProjectCashflows!AU$245</f>
        <v>0</v>
      </c>
      <c r="AV1151" s="290">
        <f ca="1" xml:space="preserve"> ProjectCashflows!AV$245</f>
        <v>0</v>
      </c>
      <c r="AW1151" s="290">
        <f ca="1" xml:space="preserve"> ProjectCashflows!AW$245</f>
        <v>0</v>
      </c>
      <c r="AX1151" s="290">
        <f ca="1" xml:space="preserve"> ProjectCashflows!AX$245</f>
        <v>0</v>
      </c>
    </row>
    <row r="1152" spans="1:50" ht="15" customHeight="1" x14ac:dyDescent="0.25">
      <c r="A1152" s="86"/>
      <c r="B1152" s="677"/>
      <c r="C1152" s="604"/>
      <c r="D1152" s="162"/>
      <c r="E1152" s="89" t="str">
        <f t="shared" ref="E1152:AX1152" si="408" xml:space="preserve"> E$152</f>
        <v>Net decommissioning cashflows</v>
      </c>
      <c r="F1152" s="162">
        <f t="shared" si="408"/>
        <v>0</v>
      </c>
      <c r="G1152" s="89" t="str">
        <f t="shared" si="408"/>
        <v>US$ mn</v>
      </c>
      <c r="H1152" s="89">
        <f t="shared" si="408"/>
        <v>0</v>
      </c>
      <c r="I1152" s="89">
        <f t="shared" ca="1" si="408"/>
        <v>217.30899052555242</v>
      </c>
      <c r="J1152" s="89">
        <f t="shared" si="408"/>
        <v>0</v>
      </c>
      <c r="K1152" s="89">
        <f t="shared" ca="1" si="408"/>
        <v>0</v>
      </c>
      <c r="L1152" s="89">
        <f t="shared" ca="1" si="408"/>
        <v>0</v>
      </c>
      <c r="M1152" s="89">
        <f t="shared" ca="1" si="408"/>
        <v>0</v>
      </c>
      <c r="N1152" s="89">
        <f t="shared" ca="1" si="408"/>
        <v>0</v>
      </c>
      <c r="O1152" s="89">
        <f t="shared" ca="1" si="408"/>
        <v>0</v>
      </c>
      <c r="P1152" s="89">
        <f t="shared" ca="1" si="408"/>
        <v>0</v>
      </c>
      <c r="Q1152" s="89">
        <f t="shared" ca="1" si="408"/>
        <v>0</v>
      </c>
      <c r="R1152" s="89">
        <f t="shared" ca="1" si="408"/>
        <v>0</v>
      </c>
      <c r="S1152" s="89">
        <f t="shared" ca="1" si="408"/>
        <v>0</v>
      </c>
      <c r="T1152" s="89">
        <f t="shared" ca="1" si="408"/>
        <v>0</v>
      </c>
      <c r="U1152" s="89">
        <f t="shared" ca="1" si="408"/>
        <v>0</v>
      </c>
      <c r="V1152" s="89">
        <f t="shared" ca="1" si="408"/>
        <v>0</v>
      </c>
      <c r="W1152" s="89">
        <f t="shared" ca="1" si="408"/>
        <v>-63.743472965385962</v>
      </c>
      <c r="X1152" s="89">
        <f t="shared" ca="1" si="408"/>
        <v>-63.743472965385962</v>
      </c>
      <c r="Y1152" s="89">
        <f t="shared" ca="1" si="408"/>
        <v>-63.743472965385962</v>
      </c>
      <c r="Z1152" s="89">
        <f t="shared" ca="1" si="408"/>
        <v>-63.743472965385962</v>
      </c>
      <c r="AA1152" s="89">
        <f t="shared" ca="1" si="408"/>
        <v>-63.743472965385962</v>
      </c>
      <c r="AB1152" s="89">
        <f t="shared" ca="1" si="408"/>
        <v>-63.743472965385962</v>
      </c>
      <c r="AC1152" s="89">
        <f t="shared" ca="1" si="408"/>
        <v>-63.743472965385962</v>
      </c>
      <c r="AD1152" s="89">
        <f t="shared" ca="1" si="408"/>
        <v>-63.743472965385962</v>
      </c>
      <c r="AE1152" s="89">
        <f t="shared" ca="1" si="408"/>
        <v>-63.743472965385962</v>
      </c>
      <c r="AF1152" s="89">
        <f t="shared" ca="1" si="408"/>
        <v>-63.743472965385962</v>
      </c>
      <c r="AG1152" s="89">
        <f t="shared" ca="1" si="408"/>
        <v>-63.743472965385962</v>
      </c>
      <c r="AH1152" s="89">
        <f t="shared" ca="1" si="408"/>
        <v>-63.743472965385962</v>
      </c>
      <c r="AI1152" s="89">
        <f t="shared" ca="1" si="408"/>
        <v>-63.743472965385962</v>
      </c>
      <c r="AJ1152" s="89">
        <f t="shared" ca="1" si="408"/>
        <v>-63.743472965385962</v>
      </c>
      <c r="AK1152" s="89">
        <f t="shared" ca="1" si="408"/>
        <v>-63.743472965385962</v>
      </c>
      <c r="AL1152" s="89">
        <f t="shared" ca="1" si="408"/>
        <v>362.97814619489054</v>
      </c>
      <c r="AM1152" s="89">
        <f t="shared" ca="1" si="408"/>
        <v>-40.849804386728749</v>
      </c>
      <c r="AN1152" s="89">
        <f t="shared" ca="1" si="408"/>
        <v>-40.849804386728749</v>
      </c>
      <c r="AO1152" s="89">
        <f t="shared" ca="1" si="408"/>
        <v>-40.849804386728749</v>
      </c>
      <c r="AP1152" s="89">
        <f t="shared" ca="1" si="408"/>
        <v>461.89720394635549</v>
      </c>
      <c r="AQ1152" s="89">
        <f t="shared" ca="1" si="408"/>
        <v>471.13514802528232</v>
      </c>
      <c r="AR1152" s="89">
        <f t="shared" ca="1" si="408"/>
        <v>0</v>
      </c>
      <c r="AS1152" s="89">
        <f t="shared" ca="1" si="408"/>
        <v>0</v>
      </c>
      <c r="AT1152" s="89">
        <f t="shared" ca="1" si="408"/>
        <v>0</v>
      </c>
      <c r="AU1152" s="89">
        <f t="shared" ca="1" si="408"/>
        <v>0</v>
      </c>
      <c r="AV1152" s="89">
        <f t="shared" ca="1" si="408"/>
        <v>0</v>
      </c>
      <c r="AW1152" s="89">
        <f t="shared" ca="1" si="408"/>
        <v>0</v>
      </c>
      <c r="AX1152" s="89">
        <f t="shared" ca="1" si="408"/>
        <v>0</v>
      </c>
    </row>
    <row r="1153" spans="1:50" s="485" customFormat="1" ht="15" customHeight="1" x14ac:dyDescent="0.25">
      <c r="A1153" s="479"/>
      <c r="B1153" s="687"/>
      <c r="C1153" s="621"/>
      <c r="D1153" s="481"/>
      <c r="E1153" s="483" t="str">
        <f xml:space="preserve"> Translate!E$234</f>
        <v>Cashflows before fiscal regime after decommissioning</v>
      </c>
      <c r="F1153" s="481"/>
      <c r="G1153" s="483" t="str">
        <f xml:space="preserve"> Translate!E$603</f>
        <v>US$ mn</v>
      </c>
      <c r="H1153" s="483"/>
      <c r="I1153" s="483">
        <f ca="1" xml:space="preserve"> SUM(K1153:AX1153)</f>
        <v>38991.413662985266</v>
      </c>
      <c r="J1153" s="483"/>
      <c r="K1153" s="483">
        <f t="shared" ref="K1153:AX1153" ca="1" si="409" xml:space="preserve"> K1151 + K1152</f>
        <v>-420</v>
      </c>
      <c r="L1153" s="483">
        <f t="shared" ca="1" si="409"/>
        <v>-51</v>
      </c>
      <c r="M1153" s="483">
        <f t="shared" ca="1" si="409"/>
        <v>-312.12</v>
      </c>
      <c r="N1153" s="483">
        <f t="shared" ca="1" si="409"/>
        <v>-1273.4495999999999</v>
      </c>
      <c r="O1153" s="483">
        <f t="shared" ca="1" si="409"/>
        <v>-1145.5830293901518</v>
      </c>
      <c r="P1153" s="483">
        <f t="shared" ca="1" si="409"/>
        <v>-854.97257197800013</v>
      </c>
      <c r="Q1153" s="483">
        <f t="shared" ca="1" si="409"/>
        <v>1859.5756948096803</v>
      </c>
      <c r="R1153" s="483">
        <f t="shared" ca="1" si="409"/>
        <v>2643.4128926779058</v>
      </c>
      <c r="S1153" s="483">
        <f t="shared" ca="1" si="409"/>
        <v>2930.6130267319172</v>
      </c>
      <c r="T1153" s="483">
        <f t="shared" ca="1" si="409"/>
        <v>2989.2252872665558</v>
      </c>
      <c r="U1153" s="483">
        <f t="shared" ca="1" si="409"/>
        <v>3049.0097930118864</v>
      </c>
      <c r="V1153" s="483">
        <f t="shared" ca="1" si="409"/>
        <v>3109.9899888721243</v>
      </c>
      <c r="W1153" s="483">
        <f t="shared" ca="1" si="409"/>
        <v>3108.4463156841812</v>
      </c>
      <c r="X1153" s="483">
        <f t="shared" ca="1" si="409"/>
        <v>3171.8901114571718</v>
      </c>
      <c r="Y1153" s="483">
        <f t="shared" ca="1" si="409"/>
        <v>3236.6027831456236</v>
      </c>
      <c r="Z1153" s="483">
        <f t="shared" ca="1" si="409"/>
        <v>3302.6097082678439</v>
      </c>
      <c r="AA1153" s="483">
        <f t="shared" ca="1" si="409"/>
        <v>2584.5145905462291</v>
      </c>
      <c r="AB1153" s="483">
        <f t="shared" ca="1" si="409"/>
        <v>2338.624300386271</v>
      </c>
      <c r="AC1153" s="483">
        <f t="shared" ca="1" si="409"/>
        <v>2007.644503980875</v>
      </c>
      <c r="AD1153" s="483">
        <f t="shared" ca="1" si="409"/>
        <v>1329.3240323902914</v>
      </c>
      <c r="AE1153" s="483">
        <f t="shared" ca="1" si="409"/>
        <v>1020.9356460988399</v>
      </c>
      <c r="AF1153" s="483">
        <f t="shared" ca="1" si="409"/>
        <v>1057.0401673711499</v>
      </c>
      <c r="AG1153" s="483">
        <f t="shared" ca="1" si="409"/>
        <v>846.64903580253144</v>
      </c>
      <c r="AH1153" s="483">
        <f t="shared" ca="1" si="409"/>
        <v>666.34622807998778</v>
      </c>
      <c r="AI1153" s="483">
        <f t="shared" ca="1" si="409"/>
        <v>518.46653193265024</v>
      </c>
      <c r="AJ1153" s="483">
        <f t="shared" ca="1" si="409"/>
        <v>397.42710054834822</v>
      </c>
      <c r="AK1153" s="483">
        <f t="shared" ca="1" si="409"/>
        <v>298.61704289661395</v>
      </c>
      <c r="AL1153" s="483">
        <f t="shared" ca="1" si="409"/>
        <v>218.228543178059</v>
      </c>
      <c r="AM1153" s="483">
        <f t="shared" ca="1" si="409"/>
        <v>176.01100144387672</v>
      </c>
      <c r="AN1153" s="483">
        <f t="shared" ca="1" si="409"/>
        <v>114.70185900956199</v>
      </c>
      <c r="AO1153" s="483">
        <f t="shared" ca="1" si="409"/>
        <v>72.632678763228867</v>
      </c>
      <c r="AP1153" s="483">
        <f t="shared" ca="1" si="409"/>
        <v>0</v>
      </c>
      <c r="AQ1153" s="483">
        <f t="shared" ca="1" si="409"/>
        <v>0</v>
      </c>
      <c r="AR1153" s="483">
        <f t="shared" ca="1" si="409"/>
        <v>0</v>
      </c>
      <c r="AS1153" s="483">
        <f t="shared" ca="1" si="409"/>
        <v>0</v>
      </c>
      <c r="AT1153" s="483">
        <f t="shared" ca="1" si="409"/>
        <v>0</v>
      </c>
      <c r="AU1153" s="483">
        <f t="shared" ca="1" si="409"/>
        <v>0</v>
      </c>
      <c r="AV1153" s="483">
        <f t="shared" ca="1" si="409"/>
        <v>0</v>
      </c>
      <c r="AW1153" s="483">
        <f t="shared" ca="1" si="409"/>
        <v>0</v>
      </c>
      <c r="AX1153" s="483">
        <f t="shared" ca="1" si="409"/>
        <v>0</v>
      </c>
    </row>
    <row r="1154" spans="1:50" ht="15" customHeight="1" x14ac:dyDescent="0.25">
      <c r="A1154" s="106"/>
      <c r="B1154" s="692"/>
      <c r="C1154" s="601"/>
      <c r="D1154" s="117"/>
      <c r="E1154" s="109"/>
      <c r="F1154" s="117"/>
      <c r="G1154" s="109"/>
      <c r="H1154" s="109"/>
      <c r="I1154" s="109"/>
      <c r="J1154" s="109"/>
      <c r="K1154" s="109"/>
      <c r="L1154" s="109"/>
      <c r="M1154" s="109"/>
      <c r="N1154" s="109"/>
      <c r="O1154" s="109"/>
      <c r="P1154" s="109"/>
      <c r="Q1154" s="109"/>
      <c r="R1154" s="109"/>
      <c r="S1154" s="109"/>
      <c r="T1154" s="109"/>
      <c r="U1154" s="109"/>
      <c r="V1154" s="109"/>
      <c r="W1154" s="109"/>
      <c r="X1154" s="109"/>
      <c r="Y1154" s="109"/>
      <c r="Z1154" s="109"/>
      <c r="AA1154" s="109"/>
      <c r="AB1154" s="109"/>
      <c r="AC1154" s="109"/>
      <c r="AD1154" s="109"/>
      <c r="AE1154" s="109"/>
      <c r="AF1154" s="109"/>
      <c r="AG1154" s="109"/>
      <c r="AH1154" s="109"/>
      <c r="AI1154" s="109"/>
      <c r="AJ1154" s="109"/>
      <c r="AK1154" s="109"/>
      <c r="AL1154" s="109"/>
      <c r="AM1154" s="109"/>
      <c r="AN1154" s="109"/>
      <c r="AO1154" s="109"/>
      <c r="AP1154" s="109"/>
      <c r="AQ1154" s="109"/>
      <c r="AR1154" s="109"/>
      <c r="AS1154" s="109"/>
      <c r="AT1154" s="109"/>
      <c r="AU1154" s="109"/>
      <c r="AV1154" s="109"/>
      <c r="AW1154" s="109"/>
      <c r="AX1154" s="109"/>
    </row>
    <row r="1155" spans="1:50" ht="15" customHeight="1" x14ac:dyDescent="0.25">
      <c r="A1155" s="106"/>
      <c r="B1155" s="692"/>
      <c r="C1155" s="601"/>
      <c r="D1155" s="117"/>
      <c r="E1155" s="109" t="str">
        <f t="shared" ref="E1155:AX1155" si="410" xml:space="preserve"> E$1112</f>
        <v>Government revenues excluding participation</v>
      </c>
      <c r="F1155" s="117">
        <f t="shared" si="410"/>
        <v>0</v>
      </c>
      <c r="G1155" s="109" t="str">
        <f t="shared" si="410"/>
        <v>US$ mn</v>
      </c>
      <c r="H1155" s="109">
        <f t="shared" si="410"/>
        <v>0</v>
      </c>
      <c r="I1155" s="109">
        <f t="shared" ca="1" si="410"/>
        <v>20938.889345396881</v>
      </c>
      <c r="J1155" s="109">
        <f t="shared" si="410"/>
        <v>0</v>
      </c>
      <c r="K1155" s="109">
        <f t="shared" ca="1" si="410"/>
        <v>10</v>
      </c>
      <c r="L1155" s="109">
        <f t="shared" ca="1" si="410"/>
        <v>0</v>
      </c>
      <c r="M1155" s="109">
        <f t="shared" ca="1" si="410"/>
        <v>0</v>
      </c>
      <c r="N1155" s="109">
        <f t="shared" ca="1" si="410"/>
        <v>0</v>
      </c>
      <c r="O1155" s="109">
        <f t="shared" ca="1" si="410"/>
        <v>95.884661854786174</v>
      </c>
      <c r="P1155" s="109">
        <f t="shared" ca="1" si="410"/>
        <v>407.08330854984001</v>
      </c>
      <c r="Q1155" s="109">
        <f t="shared" ca="1" si="410"/>
        <v>818.34866936010894</v>
      </c>
      <c r="R1155" s="109">
        <f t="shared" ca="1" si="410"/>
        <v>1001.7663204260878</v>
      </c>
      <c r="S1155" s="109">
        <f t="shared" ca="1" si="410"/>
        <v>1125.1595776711476</v>
      </c>
      <c r="T1155" s="109">
        <f t="shared" ca="1" si="410"/>
        <v>1295.2810743840259</v>
      </c>
      <c r="U1155" s="109">
        <f t="shared" ca="1" si="410"/>
        <v>1432.3924945682957</v>
      </c>
      <c r="V1155" s="109">
        <f t="shared" ca="1" si="410"/>
        <v>1515.3946616531666</v>
      </c>
      <c r="W1155" s="109">
        <f t="shared" ca="1" si="410"/>
        <v>1541.1702010108581</v>
      </c>
      <c r="X1155" s="109">
        <f t="shared" ca="1" si="410"/>
        <v>1577.1441187080206</v>
      </c>
      <c r="Y1155" s="109">
        <f t="shared" ca="1" si="410"/>
        <v>1613.7446191869485</v>
      </c>
      <c r="Z1155" s="109">
        <f t="shared" ca="1" si="410"/>
        <v>1650.9842341032765</v>
      </c>
      <c r="AA1155" s="109">
        <f t="shared" ca="1" si="410"/>
        <v>1346.0757172260385</v>
      </c>
      <c r="AB1155" s="109">
        <f t="shared" ca="1" si="410"/>
        <v>1109.0901351503715</v>
      </c>
      <c r="AC1155" s="109">
        <f t="shared" ca="1" si="410"/>
        <v>945.52083821668054</v>
      </c>
      <c r="AD1155" s="109">
        <f t="shared" ca="1" si="410"/>
        <v>737.95529036480423</v>
      </c>
      <c r="AE1155" s="109">
        <f t="shared" ca="1" si="410"/>
        <v>591.39960488635143</v>
      </c>
      <c r="AF1155" s="109">
        <f t="shared" ca="1" si="410"/>
        <v>505.54922375907813</v>
      </c>
      <c r="AG1155" s="109">
        <f t="shared" ca="1" si="410"/>
        <v>368.83067535997384</v>
      </c>
      <c r="AH1155" s="109">
        <f t="shared" ca="1" si="410"/>
        <v>289.53200913223253</v>
      </c>
      <c r="AI1155" s="109">
        <f t="shared" ca="1" si="410"/>
        <v>240.67094607017114</v>
      </c>
      <c r="AJ1155" s="109">
        <f t="shared" ca="1" si="410"/>
        <v>203.81123392119463</v>
      </c>
      <c r="AK1155" s="109">
        <f t="shared" ca="1" si="410"/>
        <v>159.96453627817743</v>
      </c>
      <c r="AL1155" s="109">
        <f t="shared" ca="1" si="410"/>
        <v>124.10653573980426</v>
      </c>
      <c r="AM1155" s="109">
        <f t="shared" ca="1" si="410"/>
        <v>101.27156193795571</v>
      </c>
      <c r="AN1155" s="109">
        <f t="shared" ca="1" si="410"/>
        <v>75.017385741563231</v>
      </c>
      <c r="AO1155" s="109">
        <f t="shared" ca="1" si="410"/>
        <v>55.739710135920838</v>
      </c>
      <c r="AP1155" s="109">
        <f t="shared" ca="1" si="410"/>
        <v>0</v>
      </c>
      <c r="AQ1155" s="109">
        <f t="shared" ca="1" si="410"/>
        <v>0</v>
      </c>
      <c r="AR1155" s="109">
        <f t="shared" ca="1" si="410"/>
        <v>0</v>
      </c>
      <c r="AS1155" s="109">
        <f t="shared" ca="1" si="410"/>
        <v>0</v>
      </c>
      <c r="AT1155" s="109">
        <f t="shared" ca="1" si="410"/>
        <v>0</v>
      </c>
      <c r="AU1155" s="109">
        <f t="shared" ca="1" si="410"/>
        <v>0</v>
      </c>
      <c r="AV1155" s="109">
        <f t="shared" ca="1" si="410"/>
        <v>0</v>
      </c>
      <c r="AW1155" s="109">
        <f t="shared" ca="1" si="410"/>
        <v>0</v>
      </c>
      <c r="AX1155" s="109">
        <f t="shared" ca="1" si="410"/>
        <v>0</v>
      </c>
    </row>
    <row r="1156" spans="1:50" ht="15" customHeight="1" x14ac:dyDescent="0.25">
      <c r="A1156" s="191"/>
      <c r="B1156" s="692"/>
      <c r="C1156" s="663"/>
      <c r="D1156" s="194"/>
      <c r="E1156" s="191" t="str">
        <f t="shared" ref="E1156:AX1156" si="411" xml:space="preserve"> E$1022</f>
        <v>Net cashflow after fiscal regime: IOC</v>
      </c>
      <c r="F1156" s="194">
        <f t="shared" si="411"/>
        <v>0</v>
      </c>
      <c r="G1156" s="191" t="str">
        <f t="shared" si="411"/>
        <v>US$ mn</v>
      </c>
      <c r="H1156" s="191">
        <f t="shared" si="411"/>
        <v>0</v>
      </c>
      <c r="I1156" s="191">
        <f t="shared" ca="1" si="411"/>
        <v>11688.472161546106</v>
      </c>
      <c r="J1156" s="191">
        <f t="shared" si="411"/>
        <v>0</v>
      </c>
      <c r="K1156" s="191">
        <f t="shared" ca="1" si="411"/>
        <v>-430</v>
      </c>
      <c r="L1156" s="191">
        <f t="shared" ca="1" si="411"/>
        <v>-15.3</v>
      </c>
      <c r="M1156" s="191">
        <f t="shared" ca="1" si="411"/>
        <v>-93.636000000000024</v>
      </c>
      <c r="N1156" s="191">
        <f t="shared" ca="1" si="411"/>
        <v>-382.03487999999993</v>
      </c>
      <c r="O1156" s="191">
        <f t="shared" ca="1" si="411"/>
        <v>-332.22467684493807</v>
      </c>
      <c r="P1156" s="191">
        <f t="shared" ca="1" si="411"/>
        <v>360.94290017616026</v>
      </c>
      <c r="Q1156" s="191">
        <f t="shared" ca="1" si="411"/>
        <v>459.65101415541824</v>
      </c>
      <c r="R1156" s="191">
        <f t="shared" ca="1" si="411"/>
        <v>822.46711742055311</v>
      </c>
      <c r="S1156" s="191">
        <f t="shared" ca="1" si="411"/>
        <v>945.61556940861487</v>
      </c>
      <c r="T1156" s="191">
        <f t="shared" ca="1" si="411"/>
        <v>839.220826788826</v>
      </c>
      <c r="U1156" s="191">
        <f t="shared" ca="1" si="411"/>
        <v>766.83040741517755</v>
      </c>
      <c r="V1156" s="191">
        <f t="shared" ca="1" si="411"/>
        <v>749.56337279280979</v>
      </c>
      <c r="W1156" s="191">
        <f t="shared" ca="1" si="411"/>
        <v>739.56260181023106</v>
      </c>
      <c r="X1156" s="191">
        <f t="shared" ca="1" si="411"/>
        <v>771.41333343110784</v>
      </c>
      <c r="Y1156" s="191">
        <f t="shared" ca="1" si="411"/>
        <v>803.71368689224937</v>
      </c>
      <c r="Z1156" s="191">
        <f t="shared" ca="1" si="411"/>
        <v>836.47265463046119</v>
      </c>
      <c r="AA1156" s="191">
        <f t="shared" ca="1" si="411"/>
        <v>866.65306217525767</v>
      </c>
      <c r="AB1156" s="191">
        <f t="shared" ca="1" si="411"/>
        <v>881.52391124471274</v>
      </c>
      <c r="AC1156" s="191">
        <f t="shared" ca="1" si="411"/>
        <v>759.35624288917188</v>
      </c>
      <c r="AD1156" s="191">
        <f t="shared" ca="1" si="411"/>
        <v>406.98181760788788</v>
      </c>
      <c r="AE1156" s="191">
        <f t="shared" ca="1" si="411"/>
        <v>292.56966884269411</v>
      </c>
      <c r="AF1156" s="191">
        <f t="shared" ca="1" si="411"/>
        <v>395.54272130750405</v>
      </c>
      <c r="AG1156" s="191">
        <f t="shared" ca="1" si="411"/>
        <v>354.24628697719959</v>
      </c>
      <c r="AH1156" s="191">
        <f t="shared" ca="1" si="411"/>
        <v>281.29885145317576</v>
      </c>
      <c r="AI1156" s="191">
        <f t="shared" ca="1" si="411"/>
        <v>205.25309279927879</v>
      </c>
      <c r="AJ1156" s="191">
        <f t="shared" ca="1" si="411"/>
        <v>139.83368145294435</v>
      </c>
      <c r="AK1156" s="191">
        <f t="shared" ca="1" si="411"/>
        <v>100.1379214466486</v>
      </c>
      <c r="AL1156" s="191">
        <f t="shared" ca="1" si="411"/>
        <v>67.977005372072909</v>
      </c>
      <c r="AM1156" s="191">
        <f t="shared" ca="1" si="411"/>
        <v>53.978484087609644</v>
      </c>
      <c r="AN1156" s="191">
        <f t="shared" ca="1" si="411"/>
        <v>28.661008471332469</v>
      </c>
      <c r="AO1156" s="191">
        <f t="shared" ca="1" si="411"/>
        <v>12.200477341944271</v>
      </c>
      <c r="AP1156" s="191">
        <f t="shared" ca="1" si="411"/>
        <v>0</v>
      </c>
      <c r="AQ1156" s="191">
        <f t="shared" ca="1" si="411"/>
        <v>0</v>
      </c>
      <c r="AR1156" s="191">
        <f t="shared" ca="1" si="411"/>
        <v>0</v>
      </c>
      <c r="AS1156" s="191">
        <f t="shared" ca="1" si="411"/>
        <v>0</v>
      </c>
      <c r="AT1156" s="191">
        <f t="shared" ca="1" si="411"/>
        <v>0</v>
      </c>
      <c r="AU1156" s="191">
        <f t="shared" ca="1" si="411"/>
        <v>0</v>
      </c>
      <c r="AV1156" s="191">
        <f t="shared" ca="1" si="411"/>
        <v>0</v>
      </c>
      <c r="AW1156" s="191">
        <f t="shared" ca="1" si="411"/>
        <v>0</v>
      </c>
      <c r="AX1156" s="191">
        <f t="shared" ca="1" si="411"/>
        <v>0</v>
      </c>
    </row>
    <row r="1157" spans="1:50" ht="15" customHeight="1" x14ac:dyDescent="0.25">
      <c r="A1157" s="191"/>
      <c r="B1157" s="692"/>
      <c r="C1157" s="663"/>
      <c r="D1157" s="194"/>
      <c r="E1157" s="211" t="str">
        <f xml:space="preserve"> E$1097</f>
        <v>SOC net cash flow before tax, after carried interest, including share of lender cashflows</v>
      </c>
      <c r="F1157" s="211">
        <f t="shared" ref="F1157:AX1157" si="412" xml:space="preserve"> F$1097</f>
        <v>0</v>
      </c>
      <c r="G1157" s="211" t="str">
        <f t="shared" si="412"/>
        <v>US$ mn</v>
      </c>
      <c r="H1157" s="211">
        <f t="shared" si="412"/>
        <v>0</v>
      </c>
      <c r="I1157" s="211">
        <f t="shared" ca="1" si="412"/>
        <v>5348.1970588667227</v>
      </c>
      <c r="J1157" s="211">
        <f t="shared" si="412"/>
        <v>0</v>
      </c>
      <c r="K1157" s="211">
        <f t="shared" ca="1" si="412"/>
        <v>0</v>
      </c>
      <c r="L1157" s="211">
        <f t="shared" ca="1" si="412"/>
        <v>-7.14</v>
      </c>
      <c r="M1157" s="211">
        <f t="shared" ca="1" si="412"/>
        <v>-43.696799999999996</v>
      </c>
      <c r="N1157" s="211">
        <f t="shared" ca="1" si="412"/>
        <v>-178.28294399999999</v>
      </c>
      <c r="O1157" s="211">
        <f t="shared" ca="1" si="412"/>
        <v>-181.84860287999999</v>
      </c>
      <c r="P1157" s="211">
        <f t="shared" ca="1" si="412"/>
        <v>-324.59975614080003</v>
      </c>
      <c r="Q1157" s="211">
        <f t="shared" ca="1" si="412"/>
        <v>120.89652462312704</v>
      </c>
      <c r="R1157" s="211">
        <f t="shared" ca="1" si="412"/>
        <v>372.91479832582809</v>
      </c>
      <c r="S1157" s="211">
        <f t="shared" ca="1" si="412"/>
        <v>427.9880533123075</v>
      </c>
      <c r="T1157" s="211">
        <f t="shared" ca="1" si="412"/>
        <v>437.28838991944468</v>
      </c>
      <c r="U1157" s="211">
        <f t="shared" ca="1" si="412"/>
        <v>446.76672501974389</v>
      </c>
      <c r="V1157" s="211">
        <f t="shared" ca="1" si="412"/>
        <v>456.42661858306832</v>
      </c>
      <c r="W1157" s="211">
        <f t="shared" ca="1" si="412"/>
        <v>453.52300718560105</v>
      </c>
      <c r="X1157" s="211">
        <f t="shared" ca="1" si="412"/>
        <v>463.55698380614228</v>
      </c>
      <c r="Y1157" s="211">
        <f t="shared" ca="1" si="412"/>
        <v>473.78363172011348</v>
      </c>
      <c r="Z1157" s="211">
        <f t="shared" ca="1" si="412"/>
        <v>484.20680435338329</v>
      </c>
      <c r="AA1157" s="211">
        <f t="shared" ca="1" si="412"/>
        <v>371.78581114493267</v>
      </c>
      <c r="AB1157" s="211">
        <f t="shared" ca="1" si="412"/>
        <v>348.01025399118669</v>
      </c>
      <c r="AC1157" s="211">
        <f t="shared" ca="1" si="412"/>
        <v>302.76742287502299</v>
      </c>
      <c r="AD1157" s="211">
        <f t="shared" ca="1" si="412"/>
        <v>184.38692441759952</v>
      </c>
      <c r="AE1157" s="211">
        <f t="shared" ca="1" si="412"/>
        <v>136.96637236979458</v>
      </c>
      <c r="AF1157" s="211">
        <f t="shared" ca="1" si="412"/>
        <v>155.94822230456782</v>
      </c>
      <c r="AG1157" s="211">
        <f t="shared" ca="1" si="412"/>
        <v>123.57207346535795</v>
      </c>
      <c r="AH1157" s="211">
        <f t="shared" ca="1" si="412"/>
        <v>95.515367494579522</v>
      </c>
      <c r="AI1157" s="211">
        <f t="shared" ca="1" si="412"/>
        <v>72.542493063200425</v>
      </c>
      <c r="AJ1157" s="211">
        <f t="shared" ca="1" si="412"/>
        <v>53.782185174209324</v>
      </c>
      <c r="AK1157" s="211">
        <f t="shared" ca="1" si="412"/>
        <v>38.5145851717879</v>
      </c>
      <c r="AL1157" s="211">
        <f t="shared" ca="1" si="412"/>
        <v>26.145002066181853</v>
      </c>
      <c r="AM1157" s="211">
        <f t="shared" ca="1" si="412"/>
        <v>20.760955418311376</v>
      </c>
      <c r="AN1157" s="211">
        <f t="shared" ca="1" si="412"/>
        <v>11.023464796666303</v>
      </c>
      <c r="AO1157" s="211">
        <f t="shared" ca="1" si="412"/>
        <v>4.6924912853637437</v>
      </c>
      <c r="AP1157" s="211">
        <f t="shared" ca="1" si="412"/>
        <v>0</v>
      </c>
      <c r="AQ1157" s="211">
        <f t="shared" ca="1" si="412"/>
        <v>0</v>
      </c>
      <c r="AR1157" s="211">
        <f t="shared" ca="1" si="412"/>
        <v>0</v>
      </c>
      <c r="AS1157" s="211">
        <f t="shared" ca="1" si="412"/>
        <v>0</v>
      </c>
      <c r="AT1157" s="211">
        <f t="shared" ca="1" si="412"/>
        <v>0</v>
      </c>
      <c r="AU1157" s="211">
        <f t="shared" ca="1" si="412"/>
        <v>0</v>
      </c>
      <c r="AV1157" s="211">
        <f t="shared" ca="1" si="412"/>
        <v>0</v>
      </c>
      <c r="AW1157" s="211">
        <f t="shared" ca="1" si="412"/>
        <v>0</v>
      </c>
      <c r="AX1157" s="211">
        <f t="shared" ca="1" si="412"/>
        <v>0</v>
      </c>
    </row>
    <row r="1158" spans="1:50" s="257" customFormat="1" ht="15" customHeight="1" x14ac:dyDescent="0.25">
      <c r="A1158" s="211"/>
      <c r="B1158" s="1054"/>
      <c r="C1158" s="642"/>
      <c r="D1158" s="250"/>
      <c r="E1158" s="211" t="str">
        <f xml:space="preserve"> E$415</f>
        <v>Lender cashflows after interest withholding tax: IOC parent</v>
      </c>
      <c r="F1158" s="211">
        <f t="shared" ref="F1158:AX1158" si="413" xml:space="preserve"> F$415</f>
        <v>0</v>
      </c>
      <c r="G1158" s="211" t="str">
        <f t="shared" si="413"/>
        <v>US$ mn</v>
      </c>
      <c r="H1158" s="211">
        <f t="shared" si="413"/>
        <v>0</v>
      </c>
      <c r="I1158" s="211">
        <f t="shared" ca="1" si="413"/>
        <v>1015.8550971755473</v>
      </c>
      <c r="J1158" s="211">
        <f t="shared" si="413"/>
        <v>0</v>
      </c>
      <c r="K1158" s="211">
        <f t="shared" ca="1" si="413"/>
        <v>0</v>
      </c>
      <c r="L1158" s="211">
        <f t="shared" ca="1" si="413"/>
        <v>-28.559999999999995</v>
      </c>
      <c r="M1158" s="211">
        <f t="shared" ca="1" si="413"/>
        <v>-174.78719999999998</v>
      </c>
      <c r="N1158" s="211">
        <f t="shared" ca="1" si="413"/>
        <v>-713.13177599999995</v>
      </c>
      <c r="O1158" s="211">
        <f t="shared" ca="1" si="413"/>
        <v>-727.39441151999995</v>
      </c>
      <c r="P1158" s="211">
        <f t="shared" ca="1" si="413"/>
        <v>-1298.3990245631999</v>
      </c>
      <c r="Q1158" s="211">
        <f t="shared" ca="1" si="413"/>
        <v>460.67948667102621</v>
      </c>
      <c r="R1158" s="211">
        <f t="shared" ca="1" si="413"/>
        <v>446.26465650543685</v>
      </c>
      <c r="S1158" s="211">
        <f t="shared" ca="1" si="413"/>
        <v>431.84982633984771</v>
      </c>
      <c r="T1158" s="211">
        <f t="shared" ca="1" si="413"/>
        <v>417.4349961742584</v>
      </c>
      <c r="U1158" s="211">
        <f t="shared" ca="1" si="413"/>
        <v>403.02016600866926</v>
      </c>
      <c r="V1158" s="211">
        <f t="shared" ca="1" si="413"/>
        <v>388.60533584308013</v>
      </c>
      <c r="W1158" s="211">
        <f t="shared" ca="1" si="413"/>
        <v>374.19050567749093</v>
      </c>
      <c r="X1158" s="211">
        <f t="shared" ca="1" si="413"/>
        <v>359.77567551190162</v>
      </c>
      <c r="Y1158" s="211">
        <f t="shared" ca="1" si="413"/>
        <v>345.36084534631249</v>
      </c>
      <c r="Z1158" s="211">
        <f t="shared" ca="1" si="413"/>
        <v>330.94601518072329</v>
      </c>
      <c r="AA1158" s="211">
        <f t="shared" ca="1" si="413"/>
        <v>0</v>
      </c>
      <c r="AB1158" s="211">
        <f t="shared" ca="1" si="413"/>
        <v>0</v>
      </c>
      <c r="AC1158" s="211">
        <f t="shared" ca="1" si="413"/>
        <v>0</v>
      </c>
      <c r="AD1158" s="211">
        <f t="shared" ca="1" si="413"/>
        <v>0</v>
      </c>
      <c r="AE1158" s="211">
        <f t="shared" ca="1" si="413"/>
        <v>0</v>
      </c>
      <c r="AF1158" s="211">
        <f t="shared" ca="1" si="413"/>
        <v>0</v>
      </c>
      <c r="AG1158" s="211">
        <f t="shared" ca="1" si="413"/>
        <v>0</v>
      </c>
      <c r="AH1158" s="211">
        <f t="shared" ca="1" si="413"/>
        <v>0</v>
      </c>
      <c r="AI1158" s="211">
        <f t="shared" ca="1" si="413"/>
        <v>0</v>
      </c>
      <c r="AJ1158" s="211">
        <f t="shared" ca="1" si="413"/>
        <v>0</v>
      </c>
      <c r="AK1158" s="211">
        <f t="shared" ca="1" si="413"/>
        <v>0</v>
      </c>
      <c r="AL1158" s="211">
        <f t="shared" ca="1" si="413"/>
        <v>0</v>
      </c>
      <c r="AM1158" s="211">
        <f t="shared" ca="1" si="413"/>
        <v>0</v>
      </c>
      <c r="AN1158" s="211">
        <f t="shared" ca="1" si="413"/>
        <v>0</v>
      </c>
      <c r="AO1158" s="211">
        <f t="shared" ca="1" si="413"/>
        <v>0</v>
      </c>
      <c r="AP1158" s="211">
        <f t="shared" ca="1" si="413"/>
        <v>0</v>
      </c>
      <c r="AQ1158" s="211">
        <f t="shared" ca="1" si="413"/>
        <v>0</v>
      </c>
      <c r="AR1158" s="211">
        <f t="shared" ca="1" si="413"/>
        <v>0</v>
      </c>
      <c r="AS1158" s="211">
        <f t="shared" ca="1" si="413"/>
        <v>0</v>
      </c>
      <c r="AT1158" s="211">
        <f t="shared" ca="1" si="413"/>
        <v>0</v>
      </c>
      <c r="AU1158" s="211">
        <f t="shared" ca="1" si="413"/>
        <v>0</v>
      </c>
      <c r="AV1158" s="211">
        <f t="shared" ca="1" si="413"/>
        <v>0</v>
      </c>
      <c r="AW1158" s="211">
        <f t="shared" ca="1" si="413"/>
        <v>0</v>
      </c>
      <c r="AX1158" s="211">
        <f t="shared" ca="1" si="413"/>
        <v>0</v>
      </c>
    </row>
    <row r="1159" spans="1:50" s="485" customFormat="1" ht="15" customHeight="1" x14ac:dyDescent="0.25">
      <c r="A1159" s="493"/>
      <c r="B1159" s="693"/>
      <c r="C1159" s="641"/>
      <c r="D1159" s="495"/>
      <c r="E1159" s="494" t="str">
        <f xml:space="preserve"> Translate!E$399</f>
        <v>Sum of participant cashflows</v>
      </c>
      <c r="F1159" s="495"/>
      <c r="G1159" s="494" t="str">
        <f xml:space="preserve"> Translate!E$603</f>
        <v>US$ mn</v>
      </c>
      <c r="H1159" s="494"/>
      <c r="I1159" s="494">
        <f ca="1" xml:space="preserve"> SUM(K1159:AX1159)</f>
        <v>38991.413662985266</v>
      </c>
      <c r="J1159" s="494"/>
      <c r="K1159" s="494">
        <f t="shared" ref="K1159:AX1159" ca="1" si="414">SUM(K1155:K1158)</f>
        <v>-420</v>
      </c>
      <c r="L1159" s="494">
        <f t="shared" ca="1" si="414"/>
        <v>-51</v>
      </c>
      <c r="M1159" s="494">
        <f t="shared" ca="1" si="414"/>
        <v>-312.12</v>
      </c>
      <c r="N1159" s="494">
        <f t="shared" ca="1" si="414"/>
        <v>-1273.4495999999999</v>
      </c>
      <c r="O1159" s="494">
        <f t="shared" ca="1" si="414"/>
        <v>-1145.5830293901518</v>
      </c>
      <c r="P1159" s="494">
        <f t="shared" ca="1" si="414"/>
        <v>-854.97257197799968</v>
      </c>
      <c r="Q1159" s="494">
        <f t="shared" ca="1" si="414"/>
        <v>1859.5756948096805</v>
      </c>
      <c r="R1159" s="494">
        <f t="shared" ca="1" si="414"/>
        <v>2643.4128926779058</v>
      </c>
      <c r="S1159" s="494">
        <f t="shared" ca="1" si="414"/>
        <v>2930.6130267319177</v>
      </c>
      <c r="T1159" s="494">
        <f t="shared" ca="1" si="414"/>
        <v>2989.2252872665549</v>
      </c>
      <c r="U1159" s="494">
        <f t="shared" ca="1" si="414"/>
        <v>3049.0097930118859</v>
      </c>
      <c r="V1159" s="494">
        <f t="shared" ca="1" si="414"/>
        <v>3109.9899888721247</v>
      </c>
      <c r="W1159" s="494">
        <f t="shared" ca="1" si="414"/>
        <v>3108.4463156841807</v>
      </c>
      <c r="X1159" s="494">
        <f t="shared" ca="1" si="414"/>
        <v>3171.8901114571727</v>
      </c>
      <c r="Y1159" s="494">
        <f t="shared" ca="1" si="414"/>
        <v>3236.602783145624</v>
      </c>
      <c r="Z1159" s="494">
        <f t="shared" ca="1" si="414"/>
        <v>3302.6097082678443</v>
      </c>
      <c r="AA1159" s="494">
        <f t="shared" ca="1" si="414"/>
        <v>2584.5145905462291</v>
      </c>
      <c r="AB1159" s="494">
        <f t="shared" ca="1" si="414"/>
        <v>2338.624300386271</v>
      </c>
      <c r="AC1159" s="494">
        <f t="shared" ca="1" si="414"/>
        <v>2007.6445039808755</v>
      </c>
      <c r="AD1159" s="494">
        <f t="shared" ca="1" si="414"/>
        <v>1329.3240323902914</v>
      </c>
      <c r="AE1159" s="494">
        <f t="shared" ca="1" si="414"/>
        <v>1020.9356460988402</v>
      </c>
      <c r="AF1159" s="494">
        <f t="shared" ca="1" si="414"/>
        <v>1057.0401673711499</v>
      </c>
      <c r="AG1159" s="494">
        <f t="shared" ca="1" si="414"/>
        <v>846.64903580253133</v>
      </c>
      <c r="AH1159" s="494">
        <f t="shared" ca="1" si="414"/>
        <v>666.3462280799879</v>
      </c>
      <c r="AI1159" s="494">
        <f t="shared" ca="1" si="414"/>
        <v>518.46653193265035</v>
      </c>
      <c r="AJ1159" s="494">
        <f t="shared" ca="1" si="414"/>
        <v>397.42710054834828</v>
      </c>
      <c r="AK1159" s="494">
        <f t="shared" ca="1" si="414"/>
        <v>298.61704289661395</v>
      </c>
      <c r="AL1159" s="494">
        <f t="shared" ca="1" si="414"/>
        <v>218.22854317805903</v>
      </c>
      <c r="AM1159" s="494">
        <f t="shared" ca="1" si="414"/>
        <v>176.01100144387672</v>
      </c>
      <c r="AN1159" s="494">
        <f t="shared" ca="1" si="414"/>
        <v>114.701859009562</v>
      </c>
      <c r="AO1159" s="494">
        <f t="shared" ca="1" si="414"/>
        <v>72.632678763228853</v>
      </c>
      <c r="AP1159" s="494">
        <f t="shared" ca="1" si="414"/>
        <v>0</v>
      </c>
      <c r="AQ1159" s="494">
        <f t="shared" ca="1" si="414"/>
        <v>0</v>
      </c>
      <c r="AR1159" s="494">
        <f t="shared" ca="1" si="414"/>
        <v>0</v>
      </c>
      <c r="AS1159" s="494">
        <f t="shared" ca="1" si="414"/>
        <v>0</v>
      </c>
      <c r="AT1159" s="494">
        <f t="shared" ca="1" si="414"/>
        <v>0</v>
      </c>
      <c r="AU1159" s="494">
        <f t="shared" ca="1" si="414"/>
        <v>0</v>
      </c>
      <c r="AV1159" s="494">
        <f t="shared" ca="1" si="414"/>
        <v>0</v>
      </c>
      <c r="AW1159" s="494">
        <f t="shared" ca="1" si="414"/>
        <v>0</v>
      </c>
      <c r="AX1159" s="494">
        <f t="shared" ca="1" si="414"/>
        <v>0</v>
      </c>
    </row>
    <row r="1160" spans="1:50" ht="15" customHeight="1" x14ac:dyDescent="0.25">
      <c r="A1160" s="106"/>
      <c r="B1160" s="692"/>
      <c r="C1160" s="601"/>
      <c r="D1160" s="117"/>
      <c r="E1160" s="109"/>
      <c r="F1160" s="117"/>
      <c r="G1160" s="109"/>
      <c r="H1160" s="109"/>
      <c r="I1160" s="109"/>
      <c r="J1160" s="109"/>
      <c r="K1160" s="109"/>
      <c r="L1160" s="109"/>
      <c r="M1160" s="109"/>
      <c r="N1160" s="109"/>
      <c r="O1160" s="109"/>
      <c r="P1160" s="109"/>
      <c r="Q1160" s="109"/>
      <c r="R1160" s="109"/>
      <c r="S1160" s="109"/>
      <c r="T1160" s="109"/>
      <c r="U1160" s="109"/>
      <c r="V1160" s="109"/>
      <c r="W1160" s="109"/>
      <c r="X1160" s="109"/>
      <c r="Y1160" s="109"/>
      <c r="Z1160" s="109"/>
      <c r="AA1160" s="109"/>
      <c r="AB1160" s="109"/>
      <c r="AC1160" s="109"/>
      <c r="AD1160" s="109"/>
      <c r="AE1160" s="109"/>
      <c r="AF1160" s="109"/>
      <c r="AG1160" s="109"/>
      <c r="AH1160" s="109"/>
      <c r="AI1160" s="109"/>
      <c r="AJ1160" s="109"/>
      <c r="AK1160" s="109"/>
      <c r="AL1160" s="109"/>
      <c r="AM1160" s="109"/>
      <c r="AN1160" s="109"/>
      <c r="AO1160" s="109"/>
      <c r="AP1160" s="109"/>
      <c r="AQ1160" s="109"/>
      <c r="AR1160" s="109"/>
      <c r="AS1160" s="109"/>
      <c r="AT1160" s="109"/>
      <c r="AU1160" s="109"/>
      <c r="AV1160" s="109"/>
      <c r="AW1160" s="109"/>
      <c r="AX1160" s="109"/>
    </row>
    <row r="1161" spans="1:50" ht="15" customHeight="1" x14ac:dyDescent="0.25">
      <c r="A1161" s="106"/>
      <c r="B1161" s="692"/>
      <c r="C1161" s="601"/>
      <c r="D1161" s="117"/>
      <c r="E1161" s="109" t="str">
        <f xml:space="preserve"> Translate!E$400</f>
        <v>Difference</v>
      </c>
      <c r="F1161" s="117"/>
      <c r="G1161" s="109" t="str">
        <f xml:space="preserve"> Translate!E$603</f>
        <v>US$ mn</v>
      </c>
      <c r="H1161" s="109"/>
      <c r="I1161" s="109">
        <f ca="1" xml:space="preserve"> SUM(K1161:AX1161)</f>
        <v>0</v>
      </c>
      <c r="J1161" s="109"/>
      <c r="K1161" s="109">
        <f t="shared" ref="K1161:AX1161" ca="1" si="415" xml:space="preserve"> K1153 - K1159</f>
        <v>0</v>
      </c>
      <c r="L1161" s="109">
        <f t="shared" ca="1" si="415"/>
        <v>0</v>
      </c>
      <c r="M1161" s="109">
        <f t="shared" ca="1" si="415"/>
        <v>0</v>
      </c>
      <c r="N1161" s="109">
        <f t="shared" ca="1" si="415"/>
        <v>0</v>
      </c>
      <c r="O1161" s="109">
        <f t="shared" ca="1" si="415"/>
        <v>0</v>
      </c>
      <c r="P1161" s="109">
        <f t="shared" ca="1" si="415"/>
        <v>0</v>
      </c>
      <c r="Q1161" s="109">
        <f t="shared" ca="1" si="415"/>
        <v>0</v>
      </c>
      <c r="R1161" s="109">
        <f t="shared" ca="1" si="415"/>
        <v>0</v>
      </c>
      <c r="S1161" s="109">
        <f t="shared" ca="1" si="415"/>
        <v>0</v>
      </c>
      <c r="T1161" s="109">
        <f t="shared" ca="1" si="415"/>
        <v>0</v>
      </c>
      <c r="U1161" s="109">
        <f t="shared" ca="1" si="415"/>
        <v>0</v>
      </c>
      <c r="V1161" s="109">
        <f t="shared" ca="1" si="415"/>
        <v>0</v>
      </c>
      <c r="W1161" s="109">
        <f t="shared" ca="1" si="415"/>
        <v>0</v>
      </c>
      <c r="X1161" s="109">
        <f t="shared" ca="1" si="415"/>
        <v>0</v>
      </c>
      <c r="Y1161" s="109">
        <f t="shared" ca="1" si="415"/>
        <v>0</v>
      </c>
      <c r="Z1161" s="109">
        <f t="shared" ca="1" si="415"/>
        <v>0</v>
      </c>
      <c r="AA1161" s="109">
        <f t="shared" ca="1" si="415"/>
        <v>0</v>
      </c>
      <c r="AB1161" s="109">
        <f t="shared" ca="1" si="415"/>
        <v>0</v>
      </c>
      <c r="AC1161" s="109">
        <f t="shared" ca="1" si="415"/>
        <v>0</v>
      </c>
      <c r="AD1161" s="109">
        <f t="shared" ca="1" si="415"/>
        <v>0</v>
      </c>
      <c r="AE1161" s="109">
        <f t="shared" ca="1" si="415"/>
        <v>0</v>
      </c>
      <c r="AF1161" s="109">
        <f t="shared" ca="1" si="415"/>
        <v>0</v>
      </c>
      <c r="AG1161" s="109">
        <f t="shared" ca="1" si="415"/>
        <v>0</v>
      </c>
      <c r="AH1161" s="109">
        <f t="shared" ca="1" si="415"/>
        <v>0</v>
      </c>
      <c r="AI1161" s="109">
        <f t="shared" ca="1" si="415"/>
        <v>0</v>
      </c>
      <c r="AJ1161" s="109">
        <f t="shared" ca="1" si="415"/>
        <v>0</v>
      </c>
      <c r="AK1161" s="109">
        <f t="shared" ca="1" si="415"/>
        <v>0</v>
      </c>
      <c r="AL1161" s="109">
        <f t="shared" ca="1" si="415"/>
        <v>0</v>
      </c>
      <c r="AM1161" s="109">
        <f t="shared" ca="1" si="415"/>
        <v>0</v>
      </c>
      <c r="AN1161" s="109">
        <f t="shared" ca="1" si="415"/>
        <v>0</v>
      </c>
      <c r="AO1161" s="109">
        <f t="shared" ca="1" si="415"/>
        <v>0</v>
      </c>
      <c r="AP1161" s="109">
        <f t="shared" ca="1" si="415"/>
        <v>0</v>
      </c>
      <c r="AQ1161" s="109">
        <f t="shared" ca="1" si="415"/>
        <v>0</v>
      </c>
      <c r="AR1161" s="109">
        <f t="shared" ca="1" si="415"/>
        <v>0</v>
      </c>
      <c r="AS1161" s="109">
        <f t="shared" ca="1" si="415"/>
        <v>0</v>
      </c>
      <c r="AT1161" s="109">
        <f t="shared" ca="1" si="415"/>
        <v>0</v>
      </c>
      <c r="AU1161" s="109">
        <f t="shared" ca="1" si="415"/>
        <v>0</v>
      </c>
      <c r="AV1161" s="109">
        <f t="shared" ca="1" si="415"/>
        <v>0</v>
      </c>
      <c r="AW1161" s="109">
        <f t="shared" ca="1" si="415"/>
        <v>0</v>
      </c>
      <c r="AX1161" s="109">
        <f t="shared" ca="1" si="415"/>
        <v>0</v>
      </c>
    </row>
    <row r="1162" spans="1:50" ht="15" customHeight="1" x14ac:dyDescent="0.25">
      <c r="A1162" s="106"/>
      <c r="B1162" s="692"/>
      <c r="C1162" s="601"/>
      <c r="D1162" s="117"/>
      <c r="E1162" s="109" t="str">
        <f xml:space="preserve"> Translate!E$755 &amp; " " &amp; Translate!E$481</f>
        <v>Check:  Cashflow reconilication</v>
      </c>
      <c r="F1162" s="157">
        <f ca="1" xml:space="preserve"> MIN( 1, SUM(K1162:AX1162))</f>
        <v>0</v>
      </c>
      <c r="G1162" s="109" t="str">
        <f xml:space="preserve"> Translate!E$604</f>
        <v>Check</v>
      </c>
      <c r="H1162" s="109"/>
      <c r="I1162" s="109">
        <f ca="1" xml:space="preserve"> SUM(K1162:AX1162)</f>
        <v>0</v>
      </c>
      <c r="J1162" s="109"/>
      <c r="K1162" s="71">
        <f t="shared" ref="K1162:AX1162" ca="1" si="416" xml:space="preserve"> IF( ABS(K1161) &gt; CHK_TOL, 1, 0)</f>
        <v>0</v>
      </c>
      <c r="L1162" s="71">
        <f t="shared" ca="1" si="416"/>
        <v>0</v>
      </c>
      <c r="M1162" s="71">
        <f t="shared" ca="1" si="416"/>
        <v>0</v>
      </c>
      <c r="N1162" s="71">
        <f t="shared" ca="1" si="416"/>
        <v>0</v>
      </c>
      <c r="O1162" s="71">
        <f t="shared" ca="1" si="416"/>
        <v>0</v>
      </c>
      <c r="P1162" s="71">
        <f t="shared" ca="1" si="416"/>
        <v>0</v>
      </c>
      <c r="Q1162" s="71">
        <f t="shared" ca="1" si="416"/>
        <v>0</v>
      </c>
      <c r="R1162" s="71">
        <f t="shared" ca="1" si="416"/>
        <v>0</v>
      </c>
      <c r="S1162" s="71">
        <f t="shared" ca="1" si="416"/>
        <v>0</v>
      </c>
      <c r="T1162" s="71">
        <f t="shared" ca="1" si="416"/>
        <v>0</v>
      </c>
      <c r="U1162" s="71">
        <f t="shared" ca="1" si="416"/>
        <v>0</v>
      </c>
      <c r="V1162" s="71">
        <f t="shared" ca="1" si="416"/>
        <v>0</v>
      </c>
      <c r="W1162" s="71">
        <f t="shared" ca="1" si="416"/>
        <v>0</v>
      </c>
      <c r="X1162" s="71">
        <f t="shared" ca="1" si="416"/>
        <v>0</v>
      </c>
      <c r="Y1162" s="71">
        <f t="shared" ca="1" si="416"/>
        <v>0</v>
      </c>
      <c r="Z1162" s="71">
        <f t="shared" ca="1" si="416"/>
        <v>0</v>
      </c>
      <c r="AA1162" s="71">
        <f t="shared" ca="1" si="416"/>
        <v>0</v>
      </c>
      <c r="AB1162" s="71">
        <f t="shared" ca="1" si="416"/>
        <v>0</v>
      </c>
      <c r="AC1162" s="71">
        <f t="shared" ca="1" si="416"/>
        <v>0</v>
      </c>
      <c r="AD1162" s="71">
        <f t="shared" ca="1" si="416"/>
        <v>0</v>
      </c>
      <c r="AE1162" s="71">
        <f t="shared" ca="1" si="416"/>
        <v>0</v>
      </c>
      <c r="AF1162" s="71">
        <f t="shared" ca="1" si="416"/>
        <v>0</v>
      </c>
      <c r="AG1162" s="71">
        <f t="shared" ca="1" si="416"/>
        <v>0</v>
      </c>
      <c r="AH1162" s="71">
        <f t="shared" ca="1" si="416"/>
        <v>0</v>
      </c>
      <c r="AI1162" s="71">
        <f t="shared" ca="1" si="416"/>
        <v>0</v>
      </c>
      <c r="AJ1162" s="71">
        <f t="shared" ca="1" si="416"/>
        <v>0</v>
      </c>
      <c r="AK1162" s="71">
        <f t="shared" ca="1" si="416"/>
        <v>0</v>
      </c>
      <c r="AL1162" s="71">
        <f t="shared" ca="1" si="416"/>
        <v>0</v>
      </c>
      <c r="AM1162" s="71">
        <f t="shared" ca="1" si="416"/>
        <v>0</v>
      </c>
      <c r="AN1162" s="71">
        <f t="shared" ca="1" si="416"/>
        <v>0</v>
      </c>
      <c r="AO1162" s="71">
        <f t="shared" ca="1" si="416"/>
        <v>0</v>
      </c>
      <c r="AP1162" s="71">
        <f t="shared" ca="1" si="416"/>
        <v>0</v>
      </c>
      <c r="AQ1162" s="71">
        <f t="shared" ca="1" si="416"/>
        <v>0</v>
      </c>
      <c r="AR1162" s="71">
        <f t="shared" ca="1" si="416"/>
        <v>0</v>
      </c>
      <c r="AS1162" s="71">
        <f t="shared" ca="1" si="416"/>
        <v>0</v>
      </c>
      <c r="AT1162" s="71">
        <f t="shared" ca="1" si="416"/>
        <v>0</v>
      </c>
      <c r="AU1162" s="71">
        <f t="shared" ca="1" si="416"/>
        <v>0</v>
      </c>
      <c r="AV1162" s="71">
        <f t="shared" ca="1" si="416"/>
        <v>0</v>
      </c>
      <c r="AW1162" s="71">
        <f t="shared" ca="1" si="416"/>
        <v>0</v>
      </c>
      <c r="AX1162" s="71">
        <f t="shared" ca="1" si="416"/>
        <v>0</v>
      </c>
    </row>
    <row r="1163" spans="1:50" ht="15" customHeight="1" x14ac:dyDescent="0.25">
      <c r="A1163" s="106"/>
      <c r="B1163" s="692"/>
      <c r="C1163" s="601"/>
      <c r="D1163" s="117"/>
      <c r="E1163" s="109"/>
      <c r="F1163" s="117"/>
      <c r="G1163" s="109"/>
      <c r="H1163" s="109"/>
      <c r="I1163" s="109"/>
      <c r="J1163" s="109"/>
      <c r="K1163" s="109"/>
      <c r="L1163" s="109"/>
      <c r="M1163" s="109"/>
      <c r="N1163" s="109"/>
      <c r="O1163" s="109"/>
      <c r="P1163" s="109"/>
      <c r="Q1163" s="109"/>
      <c r="R1163" s="109"/>
      <c r="S1163" s="109"/>
      <c r="T1163" s="109"/>
      <c r="U1163" s="109"/>
      <c r="V1163" s="109"/>
      <c r="W1163" s="109"/>
      <c r="X1163" s="109"/>
      <c r="Y1163" s="109"/>
      <c r="Z1163" s="109"/>
      <c r="AA1163" s="109"/>
      <c r="AB1163" s="109"/>
      <c r="AC1163" s="109"/>
      <c r="AD1163" s="109"/>
      <c r="AE1163" s="109"/>
      <c r="AF1163" s="109"/>
      <c r="AG1163" s="109"/>
      <c r="AH1163" s="109"/>
      <c r="AI1163" s="109"/>
      <c r="AJ1163" s="109"/>
      <c r="AK1163" s="109"/>
      <c r="AL1163" s="109"/>
      <c r="AM1163" s="109"/>
      <c r="AN1163" s="109"/>
      <c r="AO1163" s="109"/>
      <c r="AP1163" s="109"/>
      <c r="AQ1163" s="109"/>
      <c r="AR1163" s="109"/>
      <c r="AS1163" s="109"/>
      <c r="AT1163" s="109"/>
      <c r="AU1163" s="109"/>
      <c r="AV1163" s="109"/>
      <c r="AW1163" s="109"/>
      <c r="AX1163" s="109"/>
    </row>
    <row r="1164" spans="1:50" ht="15" customHeight="1" x14ac:dyDescent="0.25">
      <c r="A1164" s="66" t="str">
        <f ca="1">A$1 &amp; ": " &amp; Translate!E$626</f>
        <v>FiscalModel: Sheet checks</v>
      </c>
      <c r="B1164" s="789"/>
      <c r="C1164" s="660"/>
      <c r="D1164" s="286"/>
      <c r="E1164" s="66"/>
      <c r="F1164" s="286"/>
      <c r="G1164" s="66"/>
      <c r="H1164" s="66"/>
      <c r="I1164" s="109"/>
      <c r="J1164" s="109"/>
      <c r="K1164" s="109"/>
      <c r="L1164" s="109"/>
      <c r="M1164" s="109"/>
      <c r="N1164" s="109"/>
      <c r="O1164" s="109"/>
      <c r="P1164" s="109"/>
      <c r="Q1164" s="109"/>
      <c r="R1164" s="109"/>
      <c r="S1164" s="109"/>
      <c r="T1164" s="109"/>
      <c r="U1164" s="109"/>
      <c r="V1164" s="109"/>
      <c r="W1164" s="109"/>
      <c r="X1164" s="109"/>
      <c r="Y1164" s="109"/>
      <c r="Z1164" s="109"/>
      <c r="AA1164" s="109"/>
      <c r="AB1164" s="109"/>
      <c r="AC1164" s="109"/>
      <c r="AD1164" s="109"/>
      <c r="AE1164" s="109"/>
      <c r="AF1164" s="109"/>
      <c r="AG1164" s="109"/>
      <c r="AH1164" s="109"/>
      <c r="AI1164" s="109"/>
      <c r="AJ1164" s="109"/>
      <c r="AK1164" s="109"/>
      <c r="AL1164" s="109"/>
      <c r="AM1164" s="109"/>
      <c r="AN1164" s="109"/>
      <c r="AO1164" s="109"/>
      <c r="AP1164" s="109"/>
      <c r="AQ1164" s="109"/>
      <c r="AR1164" s="109"/>
      <c r="AS1164" s="109"/>
      <c r="AT1164" s="109"/>
      <c r="AU1164" s="109"/>
      <c r="AV1164" s="109"/>
      <c r="AW1164" s="109"/>
      <c r="AX1164" s="109"/>
    </row>
    <row r="1165" spans="1:50" ht="15" customHeight="1" x14ac:dyDescent="0.25">
      <c r="A1165" s="67"/>
      <c r="B1165" s="790"/>
      <c r="C1165" s="664"/>
      <c r="D1165" s="69"/>
      <c r="E1165" s="154"/>
      <c r="F1165" s="1079" t="str">
        <f xml:space="preserve"> Translate!E$651</f>
        <v>do not delete row</v>
      </c>
      <c r="G1165" s="154"/>
      <c r="H1165" s="67"/>
      <c r="I1165" s="109"/>
      <c r="J1165" s="109"/>
      <c r="K1165" s="109"/>
      <c r="L1165" s="109"/>
      <c r="M1165" s="109"/>
      <c r="N1165" s="109"/>
      <c r="O1165" s="109"/>
      <c r="P1165" s="109"/>
      <c r="Q1165" s="109"/>
      <c r="R1165" s="109"/>
      <c r="S1165" s="109"/>
      <c r="T1165" s="109"/>
      <c r="U1165" s="109"/>
      <c r="V1165" s="109"/>
      <c r="W1165" s="109"/>
      <c r="X1165" s="109"/>
      <c r="Y1165" s="109"/>
      <c r="Z1165" s="109"/>
      <c r="AA1165" s="109"/>
      <c r="AB1165" s="109"/>
      <c r="AC1165" s="109"/>
      <c r="AD1165" s="109"/>
      <c r="AE1165" s="109"/>
      <c r="AF1165" s="109"/>
      <c r="AG1165" s="109"/>
      <c r="AH1165" s="109"/>
      <c r="AI1165" s="109"/>
      <c r="AJ1165" s="109"/>
      <c r="AK1165" s="109"/>
      <c r="AL1165" s="109"/>
      <c r="AM1165" s="109"/>
      <c r="AN1165" s="109"/>
      <c r="AO1165" s="109"/>
      <c r="AP1165" s="109"/>
      <c r="AQ1165" s="109"/>
      <c r="AR1165" s="109"/>
      <c r="AS1165" s="109"/>
      <c r="AT1165" s="109"/>
      <c r="AU1165" s="109"/>
      <c r="AV1165" s="109"/>
      <c r="AW1165" s="109"/>
      <c r="AX1165" s="109"/>
    </row>
    <row r="1166" spans="1:50" ht="15" customHeight="1" x14ac:dyDescent="0.25">
      <c r="A1166" s="56"/>
      <c r="B1166" s="102"/>
      <c r="C1166" s="127"/>
      <c r="D1166" s="151"/>
      <c r="E1166" s="13" t="str">
        <f xml:space="preserve"> E$142</f>
        <v>Check:  Decommissioning cashflows</v>
      </c>
      <c r="F1166" s="157">
        <f ca="1" xml:space="preserve"> F$142</f>
        <v>0</v>
      </c>
      <c r="G1166" s="13" t="str">
        <f xml:space="preserve"> G$142</f>
        <v>Check</v>
      </c>
      <c r="H1166" s="52"/>
      <c r="I1166" s="52"/>
      <c r="J1166" s="52"/>
      <c r="K1166" s="56"/>
      <c r="L1166" s="56"/>
      <c r="M1166" s="56"/>
      <c r="N1166" s="56"/>
      <c r="O1166" s="56"/>
      <c r="P1166" s="56"/>
      <c r="Q1166" s="56"/>
      <c r="R1166" s="56"/>
      <c r="S1166" s="56"/>
      <c r="T1166" s="56"/>
      <c r="U1166" s="56"/>
      <c r="V1166" s="56"/>
      <c r="W1166" s="56"/>
      <c r="X1166" s="56"/>
      <c r="Y1166" s="56"/>
      <c r="Z1166" s="56"/>
      <c r="AA1166" s="56"/>
      <c r="AB1166" s="56"/>
      <c r="AC1166" s="56"/>
      <c r="AD1166" s="56"/>
      <c r="AE1166" s="56"/>
      <c r="AF1166" s="56"/>
      <c r="AG1166" s="56"/>
      <c r="AH1166" s="56"/>
      <c r="AI1166" s="56"/>
      <c r="AJ1166" s="56"/>
      <c r="AK1166" s="56"/>
      <c r="AL1166" s="56"/>
      <c r="AM1166" s="56"/>
      <c r="AN1166" s="56"/>
      <c r="AO1166" s="56"/>
      <c r="AP1166" s="56"/>
      <c r="AQ1166" s="56"/>
      <c r="AR1166" s="56"/>
      <c r="AS1166" s="56"/>
      <c r="AT1166" s="56"/>
      <c r="AU1166" s="56"/>
      <c r="AV1166" s="56"/>
      <c r="AW1166" s="56"/>
      <c r="AX1166" s="56"/>
    </row>
    <row r="1167" spans="1:50" ht="15" customHeight="1" x14ac:dyDescent="0.25">
      <c r="A1167" s="56"/>
      <c r="B1167" s="102"/>
      <c r="C1167" s="127"/>
      <c r="D1167" s="151"/>
      <c r="E1167" s="13" t="str">
        <f xml:space="preserve"> E$360</f>
        <v>Check:  Loan cashflows</v>
      </c>
      <c r="F1167" s="157">
        <f ca="1" xml:space="preserve"> F$360</f>
        <v>0</v>
      </c>
      <c r="G1167" s="13" t="str">
        <f xml:space="preserve"> G$360</f>
        <v>Check</v>
      </c>
      <c r="H1167" s="52"/>
      <c r="I1167" s="52"/>
      <c r="J1167" s="52"/>
      <c r="K1167" s="56"/>
      <c r="L1167" s="56"/>
      <c r="M1167" s="56"/>
      <c r="N1167" s="56"/>
      <c r="O1167" s="56"/>
      <c r="P1167" s="56"/>
      <c r="Q1167" s="56"/>
      <c r="R1167" s="56"/>
      <c r="S1167" s="56"/>
      <c r="T1167" s="56"/>
      <c r="U1167" s="56"/>
      <c r="V1167" s="56"/>
      <c r="W1167" s="56"/>
      <c r="X1167" s="56"/>
      <c r="Y1167" s="56"/>
      <c r="Z1167" s="56"/>
      <c r="AA1167" s="56"/>
      <c r="AB1167" s="56"/>
      <c r="AC1167" s="56"/>
      <c r="AD1167" s="56"/>
      <c r="AE1167" s="56"/>
      <c r="AF1167" s="56"/>
      <c r="AG1167" s="56"/>
      <c r="AH1167" s="56"/>
      <c r="AI1167" s="56"/>
      <c r="AJ1167" s="56"/>
      <c r="AK1167" s="56"/>
      <c r="AL1167" s="56"/>
      <c r="AM1167" s="56"/>
      <c r="AN1167" s="56"/>
      <c r="AO1167" s="56"/>
      <c r="AP1167" s="56"/>
      <c r="AQ1167" s="56"/>
      <c r="AR1167" s="56"/>
      <c r="AS1167" s="56"/>
      <c r="AT1167" s="56"/>
      <c r="AU1167" s="56"/>
      <c r="AV1167" s="56"/>
      <c r="AW1167" s="56"/>
      <c r="AX1167" s="56"/>
    </row>
    <row r="1168" spans="1:50" ht="15" customHeight="1" x14ac:dyDescent="0.25">
      <c r="A1168" s="56"/>
      <c r="B1168" s="102"/>
      <c r="C1168" s="127"/>
      <c r="D1168" s="151"/>
      <c r="E1168" s="13" t="str">
        <f xml:space="preserve"> E$384</f>
        <v>Check:  Interest allocation</v>
      </c>
      <c r="F1168" s="157">
        <f ca="1" xml:space="preserve"> F$384</f>
        <v>0</v>
      </c>
      <c r="G1168" s="13" t="str">
        <f xml:space="preserve"> G$384</f>
        <v>Check</v>
      </c>
      <c r="H1168" s="52"/>
      <c r="I1168" s="52"/>
      <c r="J1168" s="52"/>
      <c r="K1168" s="56"/>
      <c r="L1168" s="56"/>
      <c r="M1168" s="56"/>
      <c r="N1168" s="56"/>
      <c r="O1168" s="56"/>
      <c r="P1168" s="56"/>
      <c r="Q1168" s="56"/>
      <c r="R1168" s="56"/>
      <c r="S1168" s="56"/>
      <c r="T1168" s="56"/>
      <c r="U1168" s="56"/>
      <c r="V1168" s="56"/>
      <c r="W1168" s="56"/>
      <c r="X1168" s="56"/>
      <c r="Y1168" s="56"/>
      <c r="Z1168" s="56"/>
      <c r="AA1168" s="56"/>
      <c r="AB1168" s="56"/>
      <c r="AC1168" s="56"/>
      <c r="AD1168" s="56"/>
      <c r="AE1168" s="56"/>
      <c r="AF1168" s="56"/>
      <c r="AG1168" s="56"/>
      <c r="AH1168" s="56"/>
      <c r="AI1168" s="56"/>
      <c r="AJ1168" s="56"/>
      <c r="AK1168" s="56"/>
      <c r="AL1168" s="56"/>
      <c r="AM1168" s="56"/>
      <c r="AN1168" s="56"/>
      <c r="AO1168" s="56"/>
      <c r="AP1168" s="56"/>
      <c r="AQ1168" s="56"/>
      <c r="AR1168" s="56"/>
      <c r="AS1168" s="56"/>
      <c r="AT1168" s="56"/>
      <c r="AU1168" s="56"/>
      <c r="AV1168" s="56"/>
      <c r="AW1168" s="56"/>
      <c r="AX1168" s="56"/>
    </row>
    <row r="1169" spans="1:50" ht="15" customHeight="1" x14ac:dyDescent="0.25">
      <c r="A1169" s="56"/>
      <c r="B1169" s="102"/>
      <c r="C1169" s="127"/>
      <c r="D1169" s="151"/>
      <c r="E1169" s="13" t="str">
        <f xml:space="preserve"> E$406</f>
        <v>Check:  Loan cashflows allocation</v>
      </c>
      <c r="F1169" s="157">
        <f ca="1" xml:space="preserve"> F$406</f>
        <v>0</v>
      </c>
      <c r="G1169" s="13" t="str">
        <f xml:space="preserve"> G$406</f>
        <v>Check</v>
      </c>
      <c r="H1169" s="52"/>
      <c r="I1169" s="52"/>
      <c r="J1169" s="52"/>
      <c r="K1169" s="56"/>
      <c r="L1169" s="56"/>
      <c r="M1169" s="56"/>
      <c r="N1169" s="56"/>
      <c r="O1169" s="56"/>
      <c r="P1169" s="56"/>
      <c r="Q1169" s="56"/>
      <c r="R1169" s="56"/>
      <c r="S1169" s="56"/>
      <c r="T1169" s="56"/>
      <c r="U1169" s="56"/>
      <c r="V1169" s="56"/>
      <c r="W1169" s="56"/>
      <c r="X1169" s="56"/>
      <c r="Y1169" s="56"/>
      <c r="Z1169" s="56"/>
      <c r="AA1169" s="56"/>
      <c r="AB1169" s="56"/>
      <c r="AC1169" s="56"/>
      <c r="AD1169" s="56"/>
      <c r="AE1169" s="56"/>
      <c r="AF1169" s="56"/>
      <c r="AG1169" s="56"/>
      <c r="AH1169" s="56"/>
      <c r="AI1169" s="56"/>
      <c r="AJ1169" s="56"/>
      <c r="AK1169" s="56"/>
      <c r="AL1169" s="56"/>
      <c r="AM1169" s="56"/>
      <c r="AN1169" s="56"/>
      <c r="AO1169" s="56"/>
      <c r="AP1169" s="56"/>
      <c r="AQ1169" s="56"/>
      <c r="AR1169" s="56"/>
      <c r="AS1169" s="56"/>
      <c r="AT1169" s="56"/>
      <c r="AU1169" s="56"/>
      <c r="AV1169" s="56"/>
      <c r="AW1169" s="56"/>
      <c r="AX1169" s="56"/>
    </row>
    <row r="1170" spans="1:50" ht="15" customHeight="1" x14ac:dyDescent="0.25">
      <c r="A1170" s="56"/>
      <c r="B1170" s="102"/>
      <c r="C1170" s="127"/>
      <c r="D1170" s="151"/>
      <c r="E1170" s="13" t="str">
        <f xml:space="preserve"> E$528</f>
        <v>Check:  Cost recovery</v>
      </c>
      <c r="F1170" s="157">
        <f ca="1" xml:space="preserve"> F$528</f>
        <v>0</v>
      </c>
      <c r="G1170" s="73" t="str">
        <f xml:space="preserve"> G$528</f>
        <v>Check</v>
      </c>
      <c r="H1170" s="52"/>
      <c r="I1170" s="52"/>
      <c r="J1170" s="52"/>
      <c r="K1170" s="56"/>
      <c r="L1170" s="56"/>
      <c r="M1170" s="56"/>
      <c r="N1170" s="56"/>
      <c r="O1170" s="56"/>
      <c r="P1170" s="56"/>
      <c r="Q1170" s="56"/>
      <c r="R1170" s="56"/>
      <c r="S1170" s="56"/>
      <c r="T1170" s="56"/>
      <c r="U1170" s="56"/>
      <c r="V1170" s="56"/>
      <c r="W1170" s="56"/>
      <c r="X1170" s="56"/>
      <c r="Y1170" s="56"/>
      <c r="Z1170" s="56"/>
      <c r="AA1170" s="56"/>
      <c r="AB1170" s="56"/>
      <c r="AC1170" s="56"/>
      <c r="AD1170" s="56"/>
      <c r="AE1170" s="56"/>
      <c r="AF1170" s="56"/>
      <c r="AG1170" s="56"/>
      <c r="AH1170" s="56"/>
      <c r="AI1170" s="56"/>
      <c r="AJ1170" s="56"/>
      <c r="AK1170" s="56"/>
      <c r="AL1170" s="56"/>
      <c r="AM1170" s="56"/>
      <c r="AN1170" s="56"/>
      <c r="AO1170" s="56"/>
      <c r="AP1170" s="56"/>
      <c r="AQ1170" s="56"/>
      <c r="AR1170" s="56"/>
      <c r="AS1170" s="56"/>
      <c r="AT1170" s="56"/>
      <c r="AU1170" s="56"/>
      <c r="AV1170" s="56"/>
      <c r="AW1170" s="56"/>
      <c r="AX1170" s="56"/>
    </row>
    <row r="1171" spans="1:50" ht="15" customHeight="1" x14ac:dyDescent="0.25">
      <c r="A1171" s="56"/>
      <c r="B1171" s="102"/>
      <c r="C1171" s="127"/>
      <c r="D1171" s="151"/>
      <c r="E1171" s="13" t="str">
        <f xml:space="preserve"> E$570</f>
        <v>Check:  DROP tier allocation</v>
      </c>
      <c r="F1171" s="157">
        <f ca="1" xml:space="preserve"> F$570</f>
        <v>0</v>
      </c>
      <c r="G1171" s="73" t="str">
        <f xml:space="preserve"> G$570</f>
        <v>Check</v>
      </c>
      <c r="K1171" s="56"/>
      <c r="L1171" s="56"/>
      <c r="M1171" s="56"/>
      <c r="N1171" s="56"/>
      <c r="O1171" s="56"/>
      <c r="P1171" s="56"/>
      <c r="Q1171" s="56"/>
      <c r="R1171" s="56"/>
      <c r="S1171" s="56"/>
      <c r="T1171" s="56"/>
      <c r="U1171" s="56"/>
      <c r="V1171" s="56"/>
      <c r="W1171" s="56"/>
      <c r="X1171" s="56"/>
      <c r="Y1171" s="56"/>
      <c r="Z1171" s="56"/>
      <c r="AA1171" s="56"/>
      <c r="AB1171" s="56"/>
      <c r="AC1171" s="56"/>
      <c r="AD1171" s="56"/>
      <c r="AE1171" s="56"/>
      <c r="AF1171" s="56"/>
      <c r="AG1171" s="56"/>
      <c r="AH1171" s="56"/>
      <c r="AI1171" s="56"/>
      <c r="AJ1171" s="56"/>
      <c r="AK1171" s="56"/>
      <c r="AL1171" s="56"/>
      <c r="AM1171" s="56"/>
      <c r="AN1171" s="56"/>
      <c r="AO1171" s="56"/>
      <c r="AP1171" s="56"/>
      <c r="AQ1171" s="56"/>
      <c r="AR1171" s="56"/>
      <c r="AS1171" s="56"/>
      <c r="AT1171" s="56"/>
      <c r="AU1171" s="56"/>
      <c r="AV1171" s="56"/>
      <c r="AW1171" s="56"/>
      <c r="AX1171" s="56"/>
    </row>
    <row r="1172" spans="1:50" ht="15" customHeight="1" x14ac:dyDescent="0.25">
      <c r="A1172" s="56"/>
      <c r="B1172" s="102"/>
      <c r="C1172" s="127"/>
      <c r="D1172" s="151"/>
      <c r="E1172" s="13" t="str">
        <f xml:space="preserve"> E$619</f>
        <v>Check:  R-Factor tier allocation</v>
      </c>
      <c r="F1172" s="157">
        <f ca="1" xml:space="preserve"> F$619</f>
        <v>0</v>
      </c>
      <c r="G1172" s="73" t="str">
        <f xml:space="preserve"> G$619</f>
        <v>Check</v>
      </c>
      <c r="H1172" s="52"/>
      <c r="I1172" s="52"/>
      <c r="J1172" s="52"/>
      <c r="K1172" s="56"/>
      <c r="L1172" s="56"/>
      <c r="M1172" s="56"/>
      <c r="N1172" s="56"/>
      <c r="O1172" s="56"/>
      <c r="P1172" s="56"/>
      <c r="Q1172" s="56"/>
      <c r="R1172" s="56"/>
      <c r="S1172" s="56"/>
      <c r="T1172" s="56"/>
      <c r="U1172" s="56"/>
      <c r="V1172" s="56"/>
      <c r="W1172" s="56"/>
      <c r="X1172" s="56"/>
      <c r="Y1172" s="56"/>
      <c r="Z1172" s="56"/>
      <c r="AA1172" s="56"/>
      <c r="AB1172" s="56"/>
      <c r="AC1172" s="56"/>
      <c r="AD1172" s="56"/>
      <c r="AE1172" s="56"/>
      <c r="AF1172" s="56"/>
      <c r="AG1172" s="56"/>
      <c r="AH1172" s="56"/>
      <c r="AI1172" s="56"/>
      <c r="AJ1172" s="56"/>
      <c r="AK1172" s="56"/>
      <c r="AL1172" s="56"/>
      <c r="AM1172" s="56"/>
      <c r="AN1172" s="56"/>
      <c r="AO1172" s="56"/>
      <c r="AP1172" s="56"/>
      <c r="AQ1172" s="56"/>
      <c r="AR1172" s="56"/>
      <c r="AS1172" s="56"/>
      <c r="AT1172" s="56"/>
      <c r="AU1172" s="56"/>
      <c r="AV1172" s="56"/>
      <c r="AW1172" s="56"/>
      <c r="AX1172" s="56"/>
    </row>
    <row r="1173" spans="1:50" ht="15" customHeight="1" x14ac:dyDescent="0.25">
      <c r="A1173" s="56"/>
      <c r="B1173" s="102"/>
      <c r="C1173" s="127"/>
      <c r="D1173" s="151"/>
      <c r="E1173" s="13" t="str">
        <f xml:space="preserve"> E$670</f>
        <v>Check:  Profit oil</v>
      </c>
      <c r="F1173" s="157">
        <f ca="1" xml:space="preserve"> F$670</f>
        <v>0</v>
      </c>
      <c r="G1173" s="13" t="str">
        <f xml:space="preserve"> G$670</f>
        <v>Check</v>
      </c>
      <c r="H1173" s="52"/>
      <c r="I1173" s="52"/>
      <c r="J1173" s="52"/>
      <c r="K1173" s="56"/>
      <c r="L1173" s="56"/>
      <c r="M1173" s="56"/>
      <c r="N1173" s="56"/>
      <c r="O1173" s="56"/>
      <c r="P1173" s="56"/>
      <c r="Q1173" s="56"/>
      <c r="R1173" s="56"/>
      <c r="S1173" s="56"/>
      <c r="T1173" s="56"/>
      <c r="U1173" s="56"/>
      <c r="V1173" s="56"/>
      <c r="W1173" s="56"/>
      <c r="X1173" s="56"/>
      <c r="Y1173" s="56"/>
      <c r="Z1173" s="56"/>
      <c r="AA1173" s="56"/>
      <c r="AB1173" s="56"/>
      <c r="AC1173" s="56"/>
      <c r="AD1173" s="56"/>
      <c r="AE1173" s="56"/>
      <c r="AF1173" s="56"/>
      <c r="AG1173" s="56"/>
      <c r="AH1173" s="56"/>
      <c r="AI1173" s="56"/>
      <c r="AJ1173" s="56"/>
      <c r="AK1173" s="56"/>
      <c r="AL1173" s="56"/>
      <c r="AM1173" s="56"/>
      <c r="AN1173" s="56"/>
      <c r="AO1173" s="56"/>
      <c r="AP1173" s="56"/>
      <c r="AQ1173" s="56"/>
      <c r="AR1173" s="56"/>
      <c r="AS1173" s="56"/>
      <c r="AT1173" s="56"/>
      <c r="AU1173" s="56"/>
      <c r="AV1173" s="56"/>
      <c r="AW1173" s="56"/>
      <c r="AX1173" s="56"/>
    </row>
    <row r="1174" spans="1:50" ht="15" customHeight="1" x14ac:dyDescent="0.25">
      <c r="A1174" s="56"/>
      <c r="B1174" s="102"/>
      <c r="C1174" s="127"/>
      <c r="D1174" s="151"/>
      <c r="E1174" s="13" t="str">
        <f xml:space="preserve"> E$679</f>
        <v>Check:  Production sharing: Cost oil reconciliation</v>
      </c>
      <c r="F1174" s="157">
        <f ca="1" xml:space="preserve"> F$679</f>
        <v>0</v>
      </c>
      <c r="G1174" s="13" t="str">
        <f xml:space="preserve"> G$679</f>
        <v>Check</v>
      </c>
      <c r="H1174" s="52"/>
      <c r="I1174" s="52"/>
      <c r="J1174" s="52"/>
      <c r="K1174" s="56"/>
      <c r="L1174" s="56"/>
      <c r="M1174" s="56"/>
      <c r="N1174" s="56"/>
      <c r="O1174" s="56"/>
      <c r="P1174" s="56"/>
      <c r="Q1174" s="56"/>
      <c r="R1174" s="56"/>
      <c r="S1174" s="56"/>
      <c r="T1174" s="56"/>
      <c r="U1174" s="56"/>
      <c r="V1174" s="56"/>
      <c r="W1174" s="56"/>
      <c r="X1174" s="56"/>
      <c r="Y1174" s="56"/>
      <c r="Z1174" s="56"/>
      <c r="AA1174" s="56"/>
      <c r="AB1174" s="56"/>
      <c r="AC1174" s="56"/>
      <c r="AD1174" s="56"/>
      <c r="AE1174" s="56"/>
      <c r="AF1174" s="56"/>
      <c r="AG1174" s="56"/>
      <c r="AH1174" s="56"/>
      <c r="AI1174" s="56"/>
      <c r="AJ1174" s="56"/>
      <c r="AK1174" s="56"/>
      <c r="AL1174" s="56"/>
      <c r="AM1174" s="56"/>
      <c r="AN1174" s="56"/>
      <c r="AO1174" s="56"/>
      <c r="AP1174" s="56"/>
      <c r="AQ1174" s="56"/>
      <c r="AR1174" s="56"/>
      <c r="AS1174" s="56"/>
      <c r="AT1174" s="56"/>
      <c r="AU1174" s="56"/>
      <c r="AV1174" s="56"/>
      <c r="AW1174" s="56"/>
      <c r="AX1174" s="56"/>
    </row>
    <row r="1175" spans="1:50" ht="15" customHeight="1" x14ac:dyDescent="0.25">
      <c r="A1175" s="56"/>
      <c r="B1175" s="102"/>
      <c r="C1175" s="127"/>
      <c r="D1175" s="151"/>
      <c r="E1175" s="13" t="str">
        <f xml:space="preserve"> E$686</f>
        <v>Check:  Production sharing: Profit oil reconciliation</v>
      </c>
      <c r="F1175" s="157">
        <f ca="1" xml:space="preserve"> F$686</f>
        <v>0</v>
      </c>
      <c r="G1175" s="13" t="str">
        <f xml:space="preserve"> G$686</f>
        <v>Check</v>
      </c>
      <c r="H1175" s="52"/>
      <c r="I1175" s="52"/>
      <c r="J1175" s="52"/>
      <c r="K1175" s="56"/>
      <c r="L1175" s="56"/>
      <c r="M1175" s="56"/>
      <c r="N1175" s="56"/>
      <c r="O1175" s="56"/>
      <c r="P1175" s="56"/>
      <c r="Q1175" s="56"/>
      <c r="R1175" s="56"/>
      <c r="S1175" s="56"/>
      <c r="T1175" s="56"/>
      <c r="U1175" s="56"/>
      <c r="V1175" s="56"/>
      <c r="W1175" s="56"/>
      <c r="X1175" s="56"/>
      <c r="Y1175" s="56"/>
      <c r="Z1175" s="56"/>
      <c r="AA1175" s="56"/>
      <c r="AB1175" s="56"/>
      <c r="AC1175" s="56"/>
      <c r="AD1175" s="56"/>
      <c r="AE1175" s="56"/>
      <c r="AF1175" s="56"/>
      <c r="AG1175" s="56"/>
      <c r="AH1175" s="56"/>
      <c r="AI1175" s="56"/>
      <c r="AJ1175" s="56"/>
      <c r="AK1175" s="56"/>
      <c r="AL1175" s="56"/>
      <c r="AM1175" s="56"/>
      <c r="AN1175" s="56"/>
      <c r="AO1175" s="56"/>
      <c r="AP1175" s="56"/>
      <c r="AQ1175" s="56"/>
      <c r="AR1175" s="56"/>
      <c r="AS1175" s="56"/>
      <c r="AT1175" s="56"/>
      <c r="AU1175" s="56"/>
      <c r="AV1175" s="56"/>
      <c r="AW1175" s="56"/>
      <c r="AX1175" s="56"/>
    </row>
    <row r="1176" spans="1:50" ht="15" customHeight="1" x14ac:dyDescent="0.25">
      <c r="A1176" s="56"/>
      <c r="B1176" s="102"/>
      <c r="C1176" s="127"/>
      <c r="D1176" s="151"/>
      <c r="E1176" s="13" t="str">
        <f xml:space="preserve"> E$709</f>
        <v>Check:  Revenue reconciliation</v>
      </c>
      <c r="F1176" s="157">
        <f ca="1" xml:space="preserve"> F$709</f>
        <v>0</v>
      </c>
      <c r="G1176" s="13" t="str">
        <f xml:space="preserve"> G$709</f>
        <v>Check</v>
      </c>
      <c r="H1176" s="52"/>
      <c r="I1176" s="52"/>
      <c r="J1176" s="52"/>
      <c r="K1176" s="56"/>
      <c r="L1176" s="56"/>
      <c r="M1176" s="56"/>
      <c r="N1176" s="56"/>
      <c r="O1176" s="56"/>
      <c r="P1176" s="56"/>
      <c r="Q1176" s="56"/>
      <c r="R1176" s="56"/>
      <c r="S1176" s="56"/>
      <c r="T1176" s="56"/>
      <c r="U1176" s="56"/>
      <c r="V1176" s="56"/>
      <c r="W1176" s="56"/>
      <c r="X1176" s="56"/>
      <c r="Y1176" s="56"/>
      <c r="Z1176" s="56"/>
      <c r="AA1176" s="56"/>
      <c r="AB1176" s="56"/>
      <c r="AC1176" s="56"/>
      <c r="AD1176" s="56"/>
      <c r="AE1176" s="56"/>
      <c r="AF1176" s="56"/>
      <c r="AG1176" s="56"/>
      <c r="AH1176" s="56"/>
      <c r="AI1176" s="56"/>
      <c r="AJ1176" s="56"/>
      <c r="AK1176" s="56"/>
      <c r="AL1176" s="56"/>
      <c r="AM1176" s="56"/>
      <c r="AN1176" s="56"/>
      <c r="AO1176" s="56"/>
      <c r="AP1176" s="56"/>
      <c r="AQ1176" s="56"/>
      <c r="AR1176" s="56"/>
      <c r="AS1176" s="56"/>
      <c r="AT1176" s="56"/>
      <c r="AU1176" s="56"/>
      <c r="AV1176" s="56"/>
      <c r="AW1176" s="56"/>
      <c r="AX1176" s="56"/>
    </row>
    <row r="1177" spans="1:50" ht="15" customHeight="1" x14ac:dyDescent="0.25">
      <c r="A1177" s="56"/>
      <c r="B1177" s="102"/>
      <c r="C1177" s="127"/>
      <c r="D1177" s="151"/>
      <c r="E1177" s="13" t="str">
        <f xml:space="preserve"> E$752</f>
        <v>Check:  JV cost allocation</v>
      </c>
      <c r="F1177" s="157">
        <f ca="1" xml:space="preserve"> F$752</f>
        <v>0</v>
      </c>
      <c r="G1177" s="73" t="str">
        <f xml:space="preserve"> G$752</f>
        <v>Check</v>
      </c>
      <c r="H1177" s="52"/>
      <c r="I1177" s="52"/>
      <c r="J1177" s="52"/>
      <c r="K1177" s="56"/>
      <c r="L1177" s="56"/>
      <c r="M1177" s="56"/>
      <c r="N1177" s="56"/>
      <c r="O1177" s="56"/>
      <c r="P1177" s="56"/>
      <c r="Q1177" s="56"/>
      <c r="R1177" s="56"/>
      <c r="S1177" s="56"/>
      <c r="T1177" s="56"/>
      <c r="U1177" s="56"/>
      <c r="V1177" s="56"/>
      <c r="W1177" s="56"/>
      <c r="X1177" s="56"/>
      <c r="Y1177" s="56"/>
      <c r="Z1177" s="56"/>
      <c r="AA1177" s="56"/>
      <c r="AB1177" s="56"/>
      <c r="AC1177" s="56"/>
      <c r="AD1177" s="56"/>
      <c r="AE1177" s="56"/>
      <c r="AF1177" s="56"/>
      <c r="AG1177" s="56"/>
      <c r="AH1177" s="56"/>
      <c r="AI1177" s="56"/>
      <c r="AJ1177" s="56"/>
      <c r="AK1177" s="56"/>
      <c r="AL1177" s="56"/>
      <c r="AM1177" s="56"/>
      <c r="AN1177" s="56"/>
      <c r="AO1177" s="56"/>
      <c r="AP1177" s="56"/>
      <c r="AQ1177" s="56"/>
      <c r="AR1177" s="56"/>
      <c r="AS1177" s="56"/>
      <c r="AT1177" s="56"/>
      <c r="AU1177" s="56"/>
      <c r="AV1177" s="56"/>
      <c r="AW1177" s="56"/>
      <c r="AX1177" s="56"/>
    </row>
    <row r="1178" spans="1:50" ht="15" customHeight="1" x14ac:dyDescent="0.25">
      <c r="A1178" s="56"/>
      <c r="B1178" s="102"/>
      <c r="C1178" s="127"/>
      <c r="D1178" s="151"/>
      <c r="E1178" s="13" t="str">
        <f xml:space="preserve"> E$806</f>
        <v>Check:  Costs into depreciation</v>
      </c>
      <c r="F1178" s="157">
        <f ca="1" xml:space="preserve"> F$806</f>
        <v>0</v>
      </c>
      <c r="G1178" s="73" t="str">
        <f xml:space="preserve"> G$806</f>
        <v>Check</v>
      </c>
      <c r="H1178" s="52"/>
      <c r="I1178" s="52"/>
      <c r="J1178" s="52"/>
      <c r="N1178" s="56"/>
      <c r="O1178" s="56"/>
      <c r="P1178" s="56"/>
      <c r="Q1178" s="56"/>
      <c r="R1178" s="56"/>
      <c r="S1178" s="56"/>
      <c r="T1178" s="56"/>
      <c r="U1178" s="56"/>
      <c r="V1178" s="56"/>
      <c r="W1178" s="56"/>
      <c r="X1178" s="56"/>
      <c r="Y1178" s="56"/>
      <c r="Z1178" s="56"/>
      <c r="AA1178" s="56"/>
      <c r="AB1178" s="56"/>
      <c r="AC1178" s="56"/>
      <c r="AD1178" s="56"/>
      <c r="AE1178" s="56"/>
      <c r="AF1178" s="56"/>
      <c r="AG1178" s="56"/>
      <c r="AH1178" s="56"/>
      <c r="AI1178" s="56"/>
      <c r="AJ1178" s="56"/>
      <c r="AK1178" s="56"/>
      <c r="AL1178" s="56"/>
      <c r="AM1178" s="56"/>
      <c r="AN1178" s="56"/>
      <c r="AO1178" s="56"/>
      <c r="AP1178" s="56"/>
      <c r="AQ1178" s="56"/>
      <c r="AR1178" s="56"/>
      <c r="AS1178" s="56"/>
      <c r="AT1178" s="56"/>
      <c r="AU1178" s="56"/>
      <c r="AV1178" s="56"/>
      <c r="AW1178" s="56"/>
      <c r="AX1178" s="56"/>
    </row>
    <row r="1179" spans="1:50" ht="15" customHeight="1" x14ac:dyDescent="0.25">
      <c r="A1179" s="56"/>
      <c r="B1179" s="102"/>
      <c r="C1179" s="127"/>
      <c r="D1179" s="151"/>
      <c r="E1179" s="13" t="str">
        <f xml:space="preserve"> E$843</f>
        <v>Check:  Depreciation</v>
      </c>
      <c r="F1179" s="157">
        <f ca="1" xml:space="preserve"> F$843</f>
        <v>0</v>
      </c>
      <c r="G1179" s="73" t="str">
        <f xml:space="preserve"> G$843</f>
        <v>Check</v>
      </c>
      <c r="H1179" s="52"/>
      <c r="I1179" s="52"/>
      <c r="J1179" s="52"/>
      <c r="K1179" s="56"/>
      <c r="L1179" s="56"/>
      <c r="M1179" s="56"/>
      <c r="N1179" s="56"/>
      <c r="O1179" s="56"/>
      <c r="P1179" s="56"/>
      <c r="Q1179" s="56"/>
      <c r="R1179" s="56"/>
      <c r="S1179" s="56"/>
      <c r="T1179" s="56"/>
      <c r="U1179" s="56"/>
      <c r="V1179" s="56"/>
      <c r="W1179" s="56"/>
      <c r="X1179" s="56"/>
      <c r="Y1179" s="56"/>
      <c r="Z1179" s="56"/>
      <c r="AA1179" s="56"/>
      <c r="AB1179" s="56"/>
      <c r="AC1179" s="56"/>
      <c r="AD1179" s="56"/>
      <c r="AE1179" s="56"/>
      <c r="AF1179" s="56"/>
      <c r="AG1179" s="56"/>
      <c r="AH1179" s="56"/>
      <c r="AI1179" s="56"/>
      <c r="AJ1179" s="56"/>
      <c r="AK1179" s="56"/>
      <c r="AL1179" s="56"/>
      <c r="AM1179" s="56"/>
      <c r="AN1179" s="56"/>
      <c r="AO1179" s="56"/>
      <c r="AP1179" s="56"/>
      <c r="AQ1179" s="56"/>
      <c r="AR1179" s="56"/>
      <c r="AS1179" s="56"/>
      <c r="AT1179" s="56"/>
      <c r="AU1179" s="56"/>
      <c r="AV1179" s="56"/>
      <c r="AW1179" s="56"/>
      <c r="AX1179" s="56"/>
    </row>
    <row r="1180" spans="1:50" ht="15" customHeight="1" x14ac:dyDescent="0.25">
      <c r="A1180" s="56"/>
      <c r="B1180" s="102"/>
      <c r="C1180" s="127"/>
      <c r="D1180" s="151"/>
      <c r="E1180" s="13" t="str">
        <f xml:space="preserve"> E$912</f>
        <v>Check:  IOC cashflows for RRT: cashflow versus tax return</v>
      </c>
      <c r="F1180" s="157">
        <f ca="1" xml:space="preserve"> F$912</f>
        <v>0</v>
      </c>
      <c r="G1180" s="73" t="str">
        <f xml:space="preserve"> G$912</f>
        <v>Check</v>
      </c>
      <c r="H1180" s="52"/>
      <c r="I1180" s="52"/>
      <c r="J1180" s="52"/>
      <c r="K1180" s="56"/>
      <c r="L1180" s="56"/>
      <c r="M1180" s="56"/>
      <c r="N1180" s="56"/>
      <c r="O1180" s="56"/>
      <c r="P1180" s="56"/>
      <c r="Q1180" s="56"/>
      <c r="R1180" s="56"/>
      <c r="S1180" s="56"/>
      <c r="T1180" s="56"/>
      <c r="U1180" s="56"/>
      <c r="V1180" s="56"/>
      <c r="W1180" s="56"/>
      <c r="X1180" s="56"/>
      <c r="Y1180" s="56"/>
      <c r="Z1180" s="56"/>
      <c r="AA1180" s="56"/>
      <c r="AB1180" s="56"/>
      <c r="AC1180" s="56"/>
      <c r="AD1180" s="56"/>
      <c r="AE1180" s="56"/>
      <c r="AF1180" s="56"/>
      <c r="AG1180" s="56"/>
      <c r="AH1180" s="56"/>
      <c r="AI1180" s="56"/>
      <c r="AJ1180" s="56"/>
      <c r="AK1180" s="56"/>
      <c r="AL1180" s="56"/>
      <c r="AM1180" s="56"/>
      <c r="AN1180" s="56"/>
      <c r="AO1180" s="56"/>
      <c r="AP1180" s="56"/>
      <c r="AQ1180" s="56"/>
      <c r="AR1180" s="56"/>
      <c r="AS1180" s="56"/>
      <c r="AT1180" s="56"/>
      <c r="AU1180" s="56"/>
      <c r="AV1180" s="56"/>
      <c r="AW1180" s="56"/>
      <c r="AX1180" s="56"/>
    </row>
    <row r="1181" spans="1:50" ht="15" customHeight="1" x14ac:dyDescent="0.25">
      <c r="A1181" s="56"/>
      <c r="B1181" s="102"/>
      <c r="C1181" s="127"/>
      <c r="D1181" s="151"/>
      <c r="E1181" s="13" t="str">
        <f xml:space="preserve"> E$1088</f>
        <v>Check:  Carried interest loan cashflows</v>
      </c>
      <c r="F1181" s="157">
        <f ca="1" xml:space="preserve"> F$1088</f>
        <v>0</v>
      </c>
      <c r="G1181" s="70" t="str">
        <f xml:space="preserve"> G$1088</f>
        <v>Check</v>
      </c>
      <c r="H1181" s="52"/>
      <c r="I1181" s="52"/>
      <c r="J1181" s="52"/>
      <c r="K1181" s="56"/>
      <c r="L1181" s="56"/>
      <c r="M1181" s="56"/>
      <c r="N1181" s="56"/>
      <c r="O1181" s="56"/>
      <c r="P1181" s="56"/>
      <c r="Q1181" s="56"/>
      <c r="R1181" s="56"/>
      <c r="S1181" s="56"/>
      <c r="T1181" s="56"/>
      <c r="U1181" s="56"/>
      <c r="V1181" s="56"/>
      <c r="W1181" s="56"/>
      <c r="X1181" s="56"/>
      <c r="Y1181" s="56"/>
      <c r="Z1181" s="56"/>
      <c r="AA1181" s="56"/>
      <c r="AB1181" s="56"/>
      <c r="AC1181" s="56"/>
      <c r="AD1181" s="56"/>
      <c r="AE1181" s="56"/>
      <c r="AF1181" s="56"/>
      <c r="AG1181" s="56"/>
      <c r="AH1181" s="56"/>
      <c r="AI1181" s="56"/>
      <c r="AJ1181" s="56"/>
      <c r="AK1181" s="56"/>
      <c r="AL1181" s="56"/>
      <c r="AM1181" s="56"/>
      <c r="AN1181" s="56"/>
      <c r="AO1181" s="56"/>
      <c r="AP1181" s="56"/>
      <c r="AQ1181" s="56"/>
      <c r="AR1181" s="56"/>
      <c r="AS1181" s="56"/>
      <c r="AT1181" s="56"/>
      <c r="AU1181" s="56"/>
      <c r="AV1181" s="56"/>
      <c r="AW1181" s="56"/>
      <c r="AX1181" s="56"/>
    </row>
    <row r="1182" spans="1:50" ht="15" customHeight="1" x14ac:dyDescent="0.25">
      <c r="A1182" s="56"/>
      <c r="B1182" s="102"/>
      <c r="C1182" s="127"/>
      <c r="D1182" s="151"/>
      <c r="E1182" s="13" t="str">
        <f xml:space="preserve"> E$1147</f>
        <v>Check:  Total: Government revenues including participation</v>
      </c>
      <c r="F1182" s="157">
        <f ca="1" xml:space="preserve"> F$1147</f>
        <v>0</v>
      </c>
      <c r="G1182" s="73" t="str">
        <f xml:space="preserve"> G$1147</f>
        <v>Check</v>
      </c>
      <c r="H1182" s="52"/>
      <c r="I1182" s="52"/>
      <c r="J1182" s="52"/>
      <c r="K1182" s="56"/>
      <c r="L1182" s="56"/>
      <c r="M1182" s="56"/>
      <c r="N1182" s="56"/>
      <c r="O1182" s="56"/>
      <c r="P1182" s="56"/>
      <c r="Q1182" s="56"/>
      <c r="R1182" s="56"/>
      <c r="S1182" s="56"/>
      <c r="T1182" s="56"/>
      <c r="U1182" s="56"/>
      <c r="V1182" s="56"/>
      <c r="W1182" s="56"/>
      <c r="X1182" s="56"/>
      <c r="Y1182" s="56"/>
      <c r="Z1182" s="56"/>
      <c r="AA1182" s="56"/>
      <c r="AB1182" s="56"/>
      <c r="AC1182" s="56"/>
      <c r="AD1182" s="56"/>
      <c r="AE1182" s="56"/>
      <c r="AF1182" s="56"/>
      <c r="AG1182" s="56"/>
      <c r="AH1182" s="56"/>
      <c r="AI1182" s="56"/>
      <c r="AJ1182" s="56"/>
      <c r="AK1182" s="56"/>
      <c r="AL1182" s="56"/>
      <c r="AM1182" s="56"/>
      <c r="AN1182" s="56"/>
      <c r="AO1182" s="56"/>
      <c r="AP1182" s="56"/>
      <c r="AQ1182" s="56"/>
      <c r="AR1182" s="56"/>
      <c r="AS1182" s="56"/>
      <c r="AT1182" s="56"/>
      <c r="AU1182" s="56"/>
      <c r="AV1182" s="56"/>
      <c r="AW1182" s="56"/>
      <c r="AX1182" s="56"/>
    </row>
    <row r="1183" spans="1:50" ht="15" customHeight="1" x14ac:dyDescent="0.25">
      <c r="A1183" s="56"/>
      <c r="B1183" s="102"/>
      <c r="C1183" s="127"/>
      <c r="D1183" s="151"/>
      <c r="E1183" s="13" t="str">
        <f xml:space="preserve"> E$1162</f>
        <v>Check:  Cashflow reconilication</v>
      </c>
      <c r="F1183" s="157">
        <f ca="1" xml:space="preserve"> F$1162</f>
        <v>0</v>
      </c>
      <c r="G1183" s="73" t="str">
        <f xml:space="preserve"> G$1162</f>
        <v>Check</v>
      </c>
      <c r="H1183" s="52"/>
      <c r="I1183" s="52"/>
      <c r="J1183" s="52"/>
      <c r="K1183" s="56"/>
      <c r="L1183" s="56"/>
      <c r="M1183" s="56"/>
      <c r="N1183" s="56"/>
      <c r="O1183" s="56"/>
      <c r="P1183" s="56"/>
      <c r="Q1183" s="56"/>
      <c r="R1183" s="56"/>
      <c r="S1183" s="56"/>
      <c r="T1183" s="56"/>
      <c r="U1183" s="56"/>
      <c r="V1183" s="56"/>
      <c r="W1183" s="56"/>
      <c r="X1183" s="56"/>
      <c r="Y1183" s="56"/>
      <c r="Z1183" s="56"/>
      <c r="AA1183" s="56"/>
      <c r="AB1183" s="56"/>
      <c r="AC1183" s="56"/>
      <c r="AD1183" s="56"/>
      <c r="AE1183" s="56"/>
      <c r="AF1183" s="56"/>
      <c r="AG1183" s="56"/>
      <c r="AH1183" s="56"/>
      <c r="AI1183" s="56"/>
      <c r="AJ1183" s="56"/>
      <c r="AK1183" s="56"/>
      <c r="AL1183" s="56"/>
      <c r="AM1183" s="56"/>
      <c r="AN1183" s="56"/>
      <c r="AO1183" s="56"/>
      <c r="AP1183" s="56"/>
      <c r="AQ1183" s="56"/>
      <c r="AR1183" s="56"/>
      <c r="AS1183" s="56"/>
      <c r="AT1183" s="56"/>
      <c r="AU1183" s="56"/>
      <c r="AV1183" s="56"/>
      <c r="AW1183" s="56"/>
      <c r="AX1183" s="56"/>
    </row>
    <row r="1184" spans="1:50" ht="15" customHeight="1" x14ac:dyDescent="0.25">
      <c r="A1184" s="56"/>
      <c r="B1184" s="102"/>
      <c r="C1184" s="127"/>
      <c r="D1184" s="151"/>
      <c r="E1184" s="13" t="str">
        <f xml:space="preserve"> E$7</f>
        <v>Check:  Translation of options</v>
      </c>
      <c r="F1184" s="157">
        <f xml:space="preserve"> F$7</f>
        <v>0</v>
      </c>
      <c r="G1184" s="73" t="str">
        <f xml:space="preserve"> G$1162</f>
        <v>Check</v>
      </c>
      <c r="H1184" s="52"/>
      <c r="I1184" s="52"/>
      <c r="J1184" s="52"/>
      <c r="K1184" s="56"/>
      <c r="L1184" s="56"/>
      <c r="M1184" s="56"/>
      <c r="N1184" s="56"/>
      <c r="O1184" s="56"/>
      <c r="P1184" s="56"/>
      <c r="Q1184" s="56"/>
      <c r="R1184" s="56"/>
      <c r="S1184" s="56"/>
      <c r="T1184" s="56"/>
      <c r="U1184" s="56"/>
      <c r="V1184" s="56"/>
      <c r="W1184" s="56"/>
      <c r="X1184" s="56"/>
      <c r="Y1184" s="56"/>
      <c r="Z1184" s="56"/>
      <c r="AA1184" s="56"/>
      <c r="AB1184" s="56"/>
      <c r="AC1184" s="56"/>
      <c r="AD1184" s="56"/>
      <c r="AE1184" s="56"/>
      <c r="AF1184" s="56"/>
      <c r="AG1184" s="56"/>
      <c r="AH1184" s="56"/>
      <c r="AI1184" s="56"/>
      <c r="AJ1184" s="56"/>
      <c r="AK1184" s="56"/>
      <c r="AL1184" s="56"/>
      <c r="AM1184" s="56"/>
      <c r="AN1184" s="56"/>
      <c r="AO1184" s="56"/>
      <c r="AP1184" s="56"/>
      <c r="AQ1184" s="56"/>
      <c r="AR1184" s="56"/>
      <c r="AS1184" s="56"/>
      <c r="AT1184" s="56"/>
      <c r="AU1184" s="56"/>
      <c r="AV1184" s="56"/>
      <c r="AW1184" s="56"/>
      <c r="AX1184" s="56"/>
    </row>
    <row r="1185" spans="1:50" ht="15" customHeight="1" x14ac:dyDescent="0.25">
      <c r="A1185" s="67"/>
      <c r="B1185" s="790"/>
      <c r="C1185" s="664"/>
      <c r="D1185" s="69"/>
      <c r="E1185" s="154"/>
      <c r="F1185" s="1079" t="str">
        <f xml:space="preserve"> Translate!E$651</f>
        <v>do not delete row</v>
      </c>
      <c r="G1185" s="154"/>
      <c r="H1185" s="67"/>
      <c r="I1185" s="109"/>
      <c r="J1185" s="109"/>
      <c r="K1185" s="109"/>
      <c r="L1185" s="109"/>
      <c r="M1185" s="109"/>
      <c r="N1185" s="109"/>
      <c r="O1185" s="109"/>
      <c r="P1185" s="109"/>
      <c r="Q1185" s="109"/>
      <c r="R1185" s="109"/>
      <c r="S1185" s="109"/>
      <c r="T1185" s="109"/>
      <c r="U1185" s="109"/>
      <c r="V1185" s="109"/>
      <c r="W1185" s="109"/>
      <c r="X1185" s="109"/>
      <c r="Y1185" s="109"/>
      <c r="Z1185" s="109"/>
      <c r="AA1185" s="109"/>
      <c r="AB1185" s="109"/>
      <c r="AC1185" s="109"/>
      <c r="AD1185" s="109"/>
      <c r="AE1185" s="109"/>
      <c r="AF1185" s="109"/>
      <c r="AG1185" s="109"/>
      <c r="AH1185" s="109"/>
      <c r="AI1185" s="109"/>
      <c r="AJ1185" s="109"/>
      <c r="AK1185" s="109"/>
      <c r="AL1185" s="109"/>
      <c r="AM1185" s="109"/>
      <c r="AN1185" s="109"/>
      <c r="AO1185" s="109"/>
      <c r="AP1185" s="109"/>
      <c r="AQ1185" s="109"/>
      <c r="AR1185" s="109"/>
      <c r="AS1185" s="109"/>
      <c r="AT1185" s="109"/>
      <c r="AU1185" s="109"/>
      <c r="AV1185" s="109"/>
      <c r="AW1185" s="109"/>
      <c r="AX1185" s="109"/>
    </row>
    <row r="1186" spans="1:50" ht="15" customHeight="1" x14ac:dyDescent="0.25">
      <c r="A1186" s="21"/>
      <c r="B1186" s="686"/>
      <c r="C1186" s="665"/>
      <c r="D1186" s="289"/>
      <c r="E1186" s="544" t="str">
        <f ca="1" xml:space="preserve"> Translate!E$604 &amp; ": " &amp; A$1</f>
        <v>Check: FiscalModel</v>
      </c>
      <c r="F1186" s="72">
        <f ca="1" xml:space="preserve"> SUM(F1165:F1185)</f>
        <v>0</v>
      </c>
      <c r="G1186" s="3" t="str">
        <f xml:space="preserve"> Translate!E$604</f>
        <v>Check</v>
      </c>
      <c r="H1186" s="544"/>
      <c r="I1186" s="109"/>
      <c r="J1186" s="109"/>
      <c r="K1186" s="109"/>
      <c r="L1186" s="109"/>
      <c r="M1186" s="109"/>
      <c r="N1186" s="109"/>
      <c r="O1186" s="109"/>
      <c r="P1186" s="109"/>
      <c r="Q1186" s="109"/>
      <c r="R1186" s="109"/>
      <c r="S1186" s="109"/>
      <c r="T1186" s="109"/>
      <c r="U1186" s="109"/>
      <c r="V1186" s="109"/>
      <c r="W1186" s="109"/>
      <c r="X1186" s="109"/>
      <c r="Y1186" s="109"/>
      <c r="Z1186" s="109"/>
      <c r="AA1186" s="109"/>
      <c r="AB1186" s="109"/>
      <c r="AC1186" s="109"/>
      <c r="AD1186" s="109"/>
      <c r="AE1186" s="109"/>
      <c r="AF1186" s="109"/>
      <c r="AG1186" s="109"/>
      <c r="AH1186" s="109"/>
      <c r="AI1186" s="109"/>
      <c r="AJ1186" s="109"/>
      <c r="AK1186" s="109"/>
      <c r="AL1186" s="109"/>
      <c r="AM1186" s="109"/>
      <c r="AN1186" s="109"/>
      <c r="AO1186" s="109"/>
      <c r="AP1186" s="109"/>
      <c r="AQ1186" s="109"/>
      <c r="AR1186" s="109"/>
      <c r="AS1186" s="109"/>
      <c r="AT1186" s="109"/>
      <c r="AU1186" s="109"/>
      <c r="AV1186" s="109"/>
      <c r="AW1186" s="109"/>
      <c r="AX1186" s="109"/>
    </row>
  </sheetData>
  <autoFilter ref="E1:E1186" xr:uid="{F0B8927E-C805-4090-AF4D-C225766EB7E6}"/>
  <conditionalFormatting sqref="F142 F1166:F1184">
    <cfRule type="cellIs" dxfId="225" priority="170" stopIfTrue="1" operator="notEqual">
      <formula>0</formula>
    </cfRule>
    <cfRule type="cellIs" dxfId="224" priority="171" stopIfTrue="1" operator="equal">
      <formula>""</formula>
    </cfRule>
  </conditionalFormatting>
  <conditionalFormatting sqref="F360">
    <cfRule type="cellIs" dxfId="223" priority="164" stopIfTrue="1" operator="notEqual">
      <formula>0</formula>
    </cfRule>
    <cfRule type="cellIs" dxfId="222" priority="165" stopIfTrue="1" operator="equal">
      <formula>""</formula>
    </cfRule>
  </conditionalFormatting>
  <conditionalFormatting sqref="F384">
    <cfRule type="cellIs" dxfId="221" priority="162" stopIfTrue="1" operator="notEqual">
      <formula>0</formula>
    </cfRule>
    <cfRule type="cellIs" dxfId="220" priority="163" stopIfTrue="1" operator="equal">
      <formula>""</formula>
    </cfRule>
  </conditionalFormatting>
  <conditionalFormatting sqref="F406">
    <cfRule type="cellIs" dxfId="219" priority="160" stopIfTrue="1" operator="notEqual">
      <formula>0</formula>
    </cfRule>
    <cfRule type="cellIs" dxfId="218" priority="161" stopIfTrue="1" operator="equal">
      <formula>""</formula>
    </cfRule>
  </conditionalFormatting>
  <conditionalFormatting sqref="F528">
    <cfRule type="cellIs" dxfId="217" priority="158" stopIfTrue="1" operator="notEqual">
      <formula>0</formula>
    </cfRule>
    <cfRule type="cellIs" dxfId="216" priority="159" stopIfTrue="1" operator="equal">
      <formula>""</formula>
    </cfRule>
  </conditionalFormatting>
  <conditionalFormatting sqref="K570:AX570">
    <cfRule type="cellIs" dxfId="215" priority="156" stopIfTrue="1" operator="notEqual">
      <formula>0</formula>
    </cfRule>
    <cfRule type="cellIs" dxfId="214" priority="157" stopIfTrue="1" operator="equal">
      <formula>""</formula>
    </cfRule>
  </conditionalFormatting>
  <conditionalFormatting sqref="F570">
    <cfRule type="cellIs" dxfId="213" priority="154" stopIfTrue="1" operator="notEqual">
      <formula>0</formula>
    </cfRule>
    <cfRule type="cellIs" dxfId="212" priority="155" stopIfTrue="1" operator="equal">
      <formula>""</formula>
    </cfRule>
  </conditionalFormatting>
  <conditionalFormatting sqref="F619">
    <cfRule type="cellIs" dxfId="211" priority="150" stopIfTrue="1" operator="notEqual">
      <formula>0</formula>
    </cfRule>
    <cfRule type="cellIs" dxfId="210" priority="151" stopIfTrue="1" operator="equal">
      <formula>""</formula>
    </cfRule>
  </conditionalFormatting>
  <conditionalFormatting sqref="K619:AX619">
    <cfRule type="cellIs" dxfId="209" priority="152" stopIfTrue="1" operator="notEqual">
      <formula>0</formula>
    </cfRule>
    <cfRule type="cellIs" dxfId="208" priority="153" stopIfTrue="1" operator="equal">
      <formula>""</formula>
    </cfRule>
  </conditionalFormatting>
  <conditionalFormatting sqref="F670">
    <cfRule type="cellIs" dxfId="207" priority="148" stopIfTrue="1" operator="notEqual">
      <formula>0</formula>
    </cfRule>
    <cfRule type="cellIs" dxfId="206" priority="149" stopIfTrue="1" operator="equal">
      <formula>""</formula>
    </cfRule>
  </conditionalFormatting>
  <conditionalFormatting sqref="F752">
    <cfRule type="cellIs" dxfId="205" priority="146" stopIfTrue="1" operator="notEqual">
      <formula>0</formula>
    </cfRule>
    <cfRule type="cellIs" dxfId="204" priority="147" stopIfTrue="1" operator="equal">
      <formula>""</formula>
    </cfRule>
  </conditionalFormatting>
  <conditionalFormatting sqref="K752:AX752">
    <cfRule type="cellIs" dxfId="203" priority="144" stopIfTrue="1" operator="notEqual">
      <formula>0</formula>
    </cfRule>
    <cfRule type="cellIs" dxfId="202" priority="145" stopIfTrue="1" operator="equal">
      <formula>""</formula>
    </cfRule>
  </conditionalFormatting>
  <conditionalFormatting sqref="F806">
    <cfRule type="cellIs" dxfId="201" priority="142" stopIfTrue="1" operator="notEqual">
      <formula>0</formula>
    </cfRule>
    <cfRule type="cellIs" dxfId="200" priority="143" stopIfTrue="1" operator="equal">
      <formula>""</formula>
    </cfRule>
  </conditionalFormatting>
  <conditionalFormatting sqref="F843">
    <cfRule type="cellIs" dxfId="199" priority="140" stopIfTrue="1" operator="notEqual">
      <formula>0</formula>
    </cfRule>
    <cfRule type="cellIs" dxfId="198" priority="141" stopIfTrue="1" operator="equal">
      <formula>""</formula>
    </cfRule>
  </conditionalFormatting>
  <conditionalFormatting sqref="K1162:AX1162">
    <cfRule type="cellIs" dxfId="197" priority="134" stopIfTrue="1" operator="notEqual">
      <formula>0</formula>
    </cfRule>
    <cfRule type="cellIs" dxfId="196" priority="135" stopIfTrue="1" operator="equal">
      <formula>""</formula>
    </cfRule>
  </conditionalFormatting>
  <conditionalFormatting sqref="F1162">
    <cfRule type="cellIs" dxfId="195" priority="132" stopIfTrue="1" operator="notEqual">
      <formula>0</formula>
    </cfRule>
    <cfRule type="cellIs" dxfId="194" priority="133" stopIfTrue="1" operator="equal">
      <formula>""</formula>
    </cfRule>
  </conditionalFormatting>
  <conditionalFormatting sqref="F1147">
    <cfRule type="cellIs" dxfId="193" priority="126" stopIfTrue="1" operator="notEqual">
      <formula>0</formula>
    </cfRule>
    <cfRule type="cellIs" dxfId="192" priority="127" stopIfTrue="1" operator="equal">
      <formula>""</formula>
    </cfRule>
  </conditionalFormatting>
  <conditionalFormatting sqref="F1186">
    <cfRule type="cellIs" dxfId="191" priority="80" stopIfTrue="1" operator="notEqual">
      <formula>0</formula>
    </cfRule>
    <cfRule type="cellIs" dxfId="190" priority="81" stopIfTrue="1" operator="equal">
      <formula>""</formula>
    </cfRule>
  </conditionalFormatting>
  <conditionalFormatting sqref="F3">
    <cfRule type="cellIs" dxfId="189" priority="74" stopIfTrue="1" operator="notEqual">
      <formula>0</formula>
    </cfRule>
    <cfRule type="cellIs" dxfId="188" priority="75" stopIfTrue="1" operator="equal">
      <formula>""</formula>
    </cfRule>
  </conditionalFormatting>
  <conditionalFormatting sqref="F3">
    <cfRule type="cellIs" dxfId="187" priority="72" stopIfTrue="1" operator="notEqual">
      <formula>0</formula>
    </cfRule>
    <cfRule type="cellIs" dxfId="186" priority="73" stopIfTrue="1" operator="equal">
      <formula>""</formula>
    </cfRule>
  </conditionalFormatting>
  <conditionalFormatting sqref="F912">
    <cfRule type="cellIs" dxfId="185" priority="70" stopIfTrue="1" operator="notEqual">
      <formula>0</formula>
    </cfRule>
    <cfRule type="cellIs" dxfId="184" priority="71" stopIfTrue="1" operator="equal">
      <formula>""</formula>
    </cfRule>
  </conditionalFormatting>
  <conditionalFormatting sqref="F1088">
    <cfRule type="cellIs" dxfId="183" priority="68" stopIfTrue="1" operator="notEqual">
      <formula>0</formula>
    </cfRule>
    <cfRule type="cellIs" dxfId="182" priority="69" stopIfTrue="1" operator="equal">
      <formula>""</formula>
    </cfRule>
  </conditionalFormatting>
  <conditionalFormatting sqref="F1088">
    <cfRule type="cellIs" dxfId="181" priority="66" stopIfTrue="1" operator="notEqual">
      <formula>0</formula>
    </cfRule>
    <cfRule type="cellIs" dxfId="180" priority="67" stopIfTrue="1" operator="equal">
      <formula>""</formula>
    </cfRule>
  </conditionalFormatting>
  <conditionalFormatting sqref="K3">
    <cfRule type="cellIs" dxfId="179" priority="60" stopIfTrue="1" operator="notEqual">
      <formula>0</formula>
    </cfRule>
    <cfRule type="cellIs" dxfId="178" priority="61" stopIfTrue="1" operator="equal">
      <formula>""</formula>
    </cfRule>
  </conditionalFormatting>
  <conditionalFormatting sqref="K679:AX679">
    <cfRule type="cellIs" dxfId="177" priority="58" stopIfTrue="1" operator="notEqual">
      <formula>0</formula>
    </cfRule>
    <cfRule type="cellIs" dxfId="176" priority="59" stopIfTrue="1" operator="equal">
      <formula>""</formula>
    </cfRule>
  </conditionalFormatting>
  <conditionalFormatting sqref="F679">
    <cfRule type="cellIs" dxfId="175" priority="56" stopIfTrue="1" operator="notEqual">
      <formula>0</formula>
    </cfRule>
    <cfRule type="cellIs" dxfId="174" priority="57" stopIfTrue="1" operator="equal">
      <formula>""</formula>
    </cfRule>
  </conditionalFormatting>
  <conditionalFormatting sqref="K686:AX686">
    <cfRule type="cellIs" dxfId="173" priority="54" stopIfTrue="1" operator="notEqual">
      <formula>0</formula>
    </cfRule>
    <cfRule type="cellIs" dxfId="172" priority="55" stopIfTrue="1" operator="equal">
      <formula>""</formula>
    </cfRule>
  </conditionalFormatting>
  <conditionalFormatting sqref="F686">
    <cfRule type="cellIs" dxfId="171" priority="52" stopIfTrue="1" operator="notEqual">
      <formula>0</formula>
    </cfRule>
    <cfRule type="cellIs" dxfId="170" priority="53" stopIfTrue="1" operator="equal">
      <formula>""</formula>
    </cfRule>
  </conditionalFormatting>
  <conditionalFormatting sqref="K709:AX709">
    <cfRule type="cellIs" dxfId="169" priority="50" stopIfTrue="1" operator="notEqual">
      <formula>0</formula>
    </cfRule>
    <cfRule type="cellIs" dxfId="168" priority="51" stopIfTrue="1" operator="equal">
      <formula>""</formula>
    </cfRule>
  </conditionalFormatting>
  <conditionalFormatting sqref="F709">
    <cfRule type="cellIs" dxfId="167" priority="48" stopIfTrue="1" operator="notEqual">
      <formula>0</formula>
    </cfRule>
    <cfRule type="cellIs" dxfId="166" priority="49" stopIfTrue="1" operator="equal">
      <formula>""</formula>
    </cfRule>
  </conditionalFormatting>
  <conditionalFormatting sqref="K912:AX912">
    <cfRule type="cellIs" dxfId="165" priority="46" stopIfTrue="1" operator="notEqual">
      <formula>0</formula>
    </cfRule>
    <cfRule type="cellIs" dxfId="164" priority="47" stopIfTrue="1" operator="equal">
      <formula>""</formula>
    </cfRule>
  </conditionalFormatting>
  <conditionalFormatting sqref="F452">
    <cfRule type="cellIs" dxfId="163" priority="44" stopIfTrue="1" operator="notEqual">
      <formula>0</formula>
    </cfRule>
    <cfRule type="cellIs" dxfId="162" priority="45" stopIfTrue="1" operator="equal">
      <formula>""</formula>
    </cfRule>
  </conditionalFormatting>
  <conditionalFormatting sqref="K24:AX24">
    <cfRule type="expression" dxfId="161" priority="39">
      <formula>IF(K24&lt;&gt;"",ISERROR(MATCH(K24,$F$181:$F$182,0)), FALSE)</formula>
    </cfRule>
  </conditionalFormatting>
  <conditionalFormatting sqref="K23:AX23">
    <cfRule type="expression" dxfId="160" priority="38">
      <formula>IF(K23&lt;&gt;"",ISERROR(MATCH(K23,$F$194:$F$195,0)), FALSE)</formula>
    </cfRule>
  </conditionalFormatting>
  <conditionalFormatting sqref="K25:AX25">
    <cfRule type="expression" dxfId="159" priority="37">
      <formula>IF(K25&lt;&gt;"",ISERROR(MATCH(K25,$F$855:$F$856,0)), FALSE)</formula>
    </cfRule>
  </conditionalFormatting>
  <conditionalFormatting sqref="K29:AX29">
    <cfRule type="expression" dxfId="158" priority="36">
      <formula>IF(K29&lt;&gt;"",ISERROR(MATCH(K29,$F$244:$F$245,0)), FALSE)</formula>
    </cfRule>
  </conditionalFormatting>
  <conditionalFormatting sqref="I16:I94">
    <cfRule type="cellIs" dxfId="157" priority="26" stopIfTrue="1" operator="greaterThan">
      <formula>0</formula>
    </cfRule>
    <cfRule type="expression" dxfId="156" priority="27" stopIfTrue="1">
      <formula>AND(OR(G16="option",G16="switch",G16="selected"),I16="")</formula>
    </cfRule>
    <cfRule type="expression" priority="28" stopIfTrue="1">
      <formula>ISBLANK(I16)</formula>
    </cfRule>
    <cfRule type="cellIs" dxfId="155" priority="35" stopIfTrue="1" operator="equal">
      <formula>0</formula>
    </cfRule>
  </conditionalFormatting>
  <conditionalFormatting sqref="K30:AX30">
    <cfRule type="expression" dxfId="154" priority="34">
      <formula>IF(K30&lt;&gt;"",ISERROR(MATCH(K30,$F$283:$F$284,0)), FALSE)</formula>
    </cfRule>
  </conditionalFormatting>
  <conditionalFormatting sqref="F7">
    <cfRule type="cellIs" dxfId="153" priority="31" stopIfTrue="1" operator="notEqual">
      <formula>0</formula>
    </cfRule>
    <cfRule type="cellIs" dxfId="152" priority="32" stopIfTrue="1" operator="equal">
      <formula>""</formula>
    </cfRule>
  </conditionalFormatting>
  <conditionalFormatting sqref="K37:AX37">
    <cfRule type="expression" dxfId="151" priority="24" stopIfTrue="1">
      <formula>IF(K37 &lt;&gt;"",ISERROR(MATCH(K37,$F$118:$F$119,0)), FALSE)</formula>
    </cfRule>
  </conditionalFormatting>
  <conditionalFormatting sqref="K40:AX40">
    <cfRule type="expression" dxfId="150" priority="21">
      <formula>IF(K40 &lt;&gt;"",ISERROR(MATCH(K40,$F$422:$F$423,0)), FALSE)</formula>
    </cfRule>
  </conditionalFormatting>
  <conditionalFormatting sqref="K47:AX47">
    <cfRule type="expression" dxfId="149" priority="19">
      <formula>IF(K47 &lt;&gt;"",ISERROR(MATCH(K47,$F$642:$F$645,0)), FALSE)</formula>
    </cfRule>
  </conditionalFormatting>
  <conditionalFormatting sqref="K45:AX45">
    <cfRule type="expression" dxfId="148" priority="18">
      <formula>IF(K45 &lt;&gt;"",ISERROR(MATCH(K45,$F$509:$F$510,0)), FALSE)</formula>
    </cfRule>
  </conditionalFormatting>
  <conditionalFormatting sqref="K66:AX66">
    <cfRule type="expression" dxfId="147" priority="17">
      <formula>IF(K66 &lt;&gt;"",ISERROR(MATCH(K66,$F$761:$F$762,0)), FALSE)</formula>
    </cfRule>
  </conditionalFormatting>
  <conditionalFormatting sqref="K67:AX67">
    <cfRule type="expression" dxfId="146" priority="16">
      <formula>IF(K67 &lt;&gt;"",ISERROR(MATCH(K67,$F$795:$F$796,0)), FALSE)</formula>
    </cfRule>
  </conditionalFormatting>
  <conditionalFormatting sqref="K936:AX937">
    <cfRule type="expression" dxfId="145" priority="15">
      <formula>IF(K936 &lt;&gt;"",ISERROR(MATCH(K936,$F$118:$F$119,0)), FALSE)</formula>
    </cfRule>
  </conditionalFormatting>
  <conditionalFormatting sqref="K718:AX719">
    <cfRule type="expression" dxfId="144" priority="13">
      <formula>IF(K718 &lt;&gt;"",ISERROR(MATCH(K718,$F$118:$F$119,0)), FALSE)</formula>
    </cfRule>
  </conditionalFormatting>
  <conditionalFormatting sqref="K78:AX78">
    <cfRule type="expression" dxfId="143" priority="12">
      <formula>IF(K78 &lt;&gt;"",ISERROR(MATCH(K78,$F$718:$F$719,0)), FALSE)</formula>
    </cfRule>
  </conditionalFormatting>
  <conditionalFormatting sqref="K94:AX94">
    <cfRule type="expression" dxfId="142" priority="9">
      <formula>IF(K94 &lt;&gt;"",ISERROR(MATCH(K94,$F$952:$F$9381,0)), FALSE)</formula>
    </cfRule>
  </conditionalFormatting>
  <conditionalFormatting sqref="K34:AX35">
    <cfRule type="expression" dxfId="141" priority="8">
      <formula>IF(K34&lt;&gt;"",ISERROR(MATCH(K34,$F$855:$F$856,0)), FALSE)</formula>
    </cfRule>
  </conditionalFormatting>
  <conditionalFormatting sqref="K18:AX18">
    <cfRule type="expression" dxfId="140" priority="1">
      <formula>IF(K18&lt;&gt;"",ISERROR(MATCH(K18,$F$855:$F$856,0)), FALSE)</formula>
    </cfRule>
  </conditionalFormatting>
  <conditionalFormatting sqref="K37:AX37">
    <cfRule type="expression" dxfId="139" priority="6">
      <formula>IF(K37&lt;&gt;"",ISERROR(MATCH(K37,$F$855:$F$856,0)), FALSE)</formula>
    </cfRule>
  </conditionalFormatting>
  <conditionalFormatting sqref="K43:AX43">
    <cfRule type="expression" dxfId="138" priority="5">
      <formula>IF(K43&lt;&gt;"",ISERROR(MATCH(K43,$F$855:$F$856,0)), FALSE)</formula>
    </cfRule>
  </conditionalFormatting>
  <conditionalFormatting sqref="K71:AX71">
    <cfRule type="expression" dxfId="137" priority="4">
      <formula>IF(K71&lt;&gt;"",ISERROR(MATCH(K71,$F$855:$F$856,0)), FALSE)</formula>
    </cfRule>
  </conditionalFormatting>
  <conditionalFormatting sqref="K80:AX80">
    <cfRule type="expression" dxfId="136" priority="3">
      <formula>IF(K80&lt;&gt;"",ISERROR(MATCH(K80,$F$855:$F$856,0)), FALSE)</formula>
    </cfRule>
  </conditionalFormatting>
  <conditionalFormatting sqref="K79:AX79">
    <cfRule type="expression" dxfId="135" priority="2">
      <formula>IF(K79&lt;&gt;"",ISERROR(MATCH(K79,$F$855:$F$856,0)), FALSE)</formula>
    </cfRule>
  </conditionalFormatting>
  <dataValidations disablePrompts="1" count="9">
    <dataValidation type="list" allowBlank="1" showInputMessage="1" showErrorMessage="1" sqref="K66:AX66" xr:uid="{00000000-0002-0000-0900-000006000000}">
      <formula1>$F$761:$F$762</formula1>
    </dataValidation>
    <dataValidation type="list" allowBlank="1" showInputMessage="1" showErrorMessage="1" sqref="K67:AX67" xr:uid="{00000000-0002-0000-0900-000005000000}">
      <formula1>$F$795:$F$796</formula1>
    </dataValidation>
    <dataValidation type="list" allowBlank="1" showInputMessage="1" showErrorMessage="1" sqref="U24:AX24 K24:S24" xr:uid="{00000000-0002-0000-0900-000004000000}">
      <formula1>$F$181:$F$182</formula1>
    </dataValidation>
    <dataValidation type="list" allowBlank="1" showInputMessage="1" showErrorMessage="1" sqref="Z83:Z84 AC83:AC84 AQ83:AX84 AH83:AH84 AJ83:AL84" xr:uid="{00000000-0002-0000-0900-000001000000}">
      <formula1>"Yes,No"</formula1>
    </dataValidation>
    <dataValidation type="list" allowBlank="1" showInputMessage="1" showErrorMessage="1" sqref="K40:AX40" xr:uid="{CFE8D673-0C82-41BB-98AD-959B7094D91F}">
      <formula1>$F$422:$F$423</formula1>
    </dataValidation>
    <dataValidation type="list" allowBlank="1" showInputMessage="1" showErrorMessage="1" sqref="F951 K94:AX94" xr:uid="{95C8D16D-ACD2-4670-BD03-89C9ECB1130A}">
      <formula1>$F$952:$F$954</formula1>
    </dataValidation>
    <dataValidation type="list" allowBlank="1" showInputMessage="1" showErrorMessage="1" sqref="K47:AX47" xr:uid="{6CE7BA05-41AB-41D3-9F0D-EDFBB73BFB9A}">
      <formula1>$F$641:$F$646</formula1>
    </dataValidation>
    <dataValidation type="list" allowBlank="1" showInputMessage="1" showErrorMessage="1" sqref="K30:AX30" xr:uid="{5575F0DC-1A31-4C8B-BC83-8024A9614287}">
      <formula1>$F$283:$F$284</formula1>
    </dataValidation>
    <dataValidation type="list" allowBlank="1" showInputMessage="1" showErrorMessage="1" sqref="K29:AX29" xr:uid="{065559BA-9AA1-49C2-8185-2EEC69F2EE82}">
      <formula1>$F$244:$F$245</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C8649D94-9656-4EA9-9E8D-D62C8890D78D}">
          <x14:formula1>
            <xm:f>Inputs!$F$87:$F$88</xm:f>
          </x14:formula1>
          <xm:sqref>K43:AX43 K71:AX71 K18:AX18 K34:AX35 K37:AX37 K23:AX23 K25:AX25 K78:AX80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84BF1-3FB0-4A67-9275-4A5355DC7929}">
  <sheetPr codeName="Sheet21">
    <pageSetUpPr autoPageBreaks="0"/>
  </sheetPr>
  <dimension ref="A1:AX291"/>
  <sheetViews>
    <sheetView zoomScale="55" zoomScaleNormal="55" workbookViewId="0">
      <pane xSplit="10" ySplit="3" topLeftCell="K192" activePane="bottomRight" state="frozen"/>
      <selection pane="topRight" activeCell="H20" sqref="H20"/>
      <selection pane="bottomLeft" activeCell="H20" sqref="H20"/>
      <selection pane="bottomRight" activeCell="E234" sqref="E234"/>
    </sheetView>
  </sheetViews>
  <sheetFormatPr defaultColWidth="0" defaultRowHeight="15" customHeight="1" outlineLevelCol="1" x14ac:dyDescent="0.25"/>
  <cols>
    <col min="1" max="4" width="1.26953125" style="3" customWidth="1"/>
    <col min="5" max="5" width="61.26953125" style="3" bestFit="1" customWidth="1"/>
    <col min="6" max="6" width="12.7265625" style="3" customWidth="1"/>
    <col min="7" max="7" width="15.7265625" style="3" customWidth="1"/>
    <col min="8" max="8" width="40.7265625" style="3" customWidth="1" outlineLevel="1"/>
    <col min="9" max="9" width="12.7265625" style="3" customWidth="1"/>
    <col min="10" max="10" width="3.7265625" style="3" customWidth="1"/>
    <col min="11" max="50" width="10.7265625" style="3" customWidth="1"/>
    <col min="51" max="16384" width="10.7265625" style="3" hidden="1"/>
  </cols>
  <sheetData>
    <row r="1" spans="1:50" s="373" customFormat="1" ht="15" customHeight="1" x14ac:dyDescent="0.25">
      <c r="A1" s="396" t="str">
        <f ca="1" xml:space="preserve"> RIGHT( CELL("filename",$A$1), LEN( CELL("filename",$A$1)) - SEARCH("]", CELL("filename",$A$1)))</f>
        <v>ProjectCashflows</v>
      </c>
      <c r="B1" s="364"/>
      <c r="C1" s="364"/>
      <c r="D1" s="364"/>
      <c r="E1" s="364"/>
      <c r="F1" s="364"/>
      <c r="G1" s="364"/>
      <c r="H1" s="364"/>
      <c r="I1" s="364"/>
      <c r="J1" s="364"/>
      <c r="K1" s="364">
        <f xml:space="preserve"> ProjectCashflows!K$34</f>
        <v>2021</v>
      </c>
      <c r="L1" s="364">
        <f xml:space="preserve"> ProjectCashflows!L$34</f>
        <v>2022</v>
      </c>
      <c r="M1" s="364">
        <f xml:space="preserve"> ProjectCashflows!M$34</f>
        <v>2023</v>
      </c>
      <c r="N1" s="364">
        <f xml:space="preserve"> ProjectCashflows!N$34</f>
        <v>2024</v>
      </c>
      <c r="O1" s="364">
        <f xml:space="preserve"> ProjectCashflows!O$34</f>
        <v>2025</v>
      </c>
      <c r="P1" s="364">
        <f xml:space="preserve"> ProjectCashflows!P$34</f>
        <v>2026</v>
      </c>
      <c r="Q1" s="364">
        <f xml:space="preserve"> ProjectCashflows!Q$34</f>
        <v>2027</v>
      </c>
      <c r="R1" s="364">
        <f xml:space="preserve"> ProjectCashflows!R$34</f>
        <v>2028</v>
      </c>
      <c r="S1" s="364">
        <f xml:space="preserve"> ProjectCashflows!S$34</f>
        <v>2029</v>
      </c>
      <c r="T1" s="364">
        <f xml:space="preserve"> ProjectCashflows!T$34</f>
        <v>2030</v>
      </c>
      <c r="U1" s="364">
        <f xml:space="preserve"> ProjectCashflows!U$34</f>
        <v>2031</v>
      </c>
      <c r="V1" s="364">
        <f xml:space="preserve"> ProjectCashflows!V$34</f>
        <v>2032</v>
      </c>
      <c r="W1" s="364">
        <f xml:space="preserve"> ProjectCashflows!W$34</f>
        <v>2033</v>
      </c>
      <c r="X1" s="364">
        <f xml:space="preserve"> ProjectCashflows!X$34</f>
        <v>2034</v>
      </c>
      <c r="Y1" s="364">
        <f xml:space="preserve"> ProjectCashflows!Y$34</f>
        <v>2035</v>
      </c>
      <c r="Z1" s="364">
        <f xml:space="preserve"> ProjectCashflows!Z$34</f>
        <v>2036</v>
      </c>
      <c r="AA1" s="364">
        <f xml:space="preserve"> ProjectCashflows!AA$34</f>
        <v>2037</v>
      </c>
      <c r="AB1" s="364">
        <f xml:space="preserve"> ProjectCashflows!AB$34</f>
        <v>2038</v>
      </c>
      <c r="AC1" s="364">
        <f xml:space="preserve"> ProjectCashflows!AC$34</f>
        <v>2039</v>
      </c>
      <c r="AD1" s="364">
        <f xml:space="preserve"> ProjectCashflows!AD$34</f>
        <v>2040</v>
      </c>
      <c r="AE1" s="364">
        <f xml:space="preserve"> ProjectCashflows!AE$34</f>
        <v>2041</v>
      </c>
      <c r="AF1" s="364">
        <f xml:space="preserve"> ProjectCashflows!AF$34</f>
        <v>2042</v>
      </c>
      <c r="AG1" s="364">
        <f xml:space="preserve"> ProjectCashflows!AG$34</f>
        <v>2043</v>
      </c>
      <c r="AH1" s="364">
        <f xml:space="preserve"> ProjectCashflows!AH$34</f>
        <v>2044</v>
      </c>
      <c r="AI1" s="364">
        <f xml:space="preserve"> ProjectCashflows!AI$34</f>
        <v>2045</v>
      </c>
      <c r="AJ1" s="364">
        <f xml:space="preserve"> ProjectCashflows!AJ$34</f>
        <v>2046</v>
      </c>
      <c r="AK1" s="364">
        <f xml:space="preserve"> ProjectCashflows!AK$34</f>
        <v>2047</v>
      </c>
      <c r="AL1" s="364">
        <f xml:space="preserve"> ProjectCashflows!AL$34</f>
        <v>2048</v>
      </c>
      <c r="AM1" s="364">
        <f xml:space="preserve"> ProjectCashflows!AM$34</f>
        <v>2049</v>
      </c>
      <c r="AN1" s="364">
        <f xml:space="preserve"> ProjectCashflows!AN$34</f>
        <v>2050</v>
      </c>
      <c r="AO1" s="364">
        <f xml:space="preserve"> ProjectCashflows!AO$34</f>
        <v>2051</v>
      </c>
      <c r="AP1" s="364">
        <f xml:space="preserve"> ProjectCashflows!AP$34</f>
        <v>2052</v>
      </c>
      <c r="AQ1" s="364">
        <f xml:space="preserve"> ProjectCashflows!AQ$34</f>
        <v>2053</v>
      </c>
      <c r="AR1" s="364">
        <f xml:space="preserve"> ProjectCashflows!AR$34</f>
        <v>2054</v>
      </c>
      <c r="AS1" s="364">
        <f xml:space="preserve"> ProjectCashflows!AS$34</f>
        <v>2055</v>
      </c>
      <c r="AT1" s="364">
        <f xml:space="preserve"> ProjectCashflows!AT$34</f>
        <v>2056</v>
      </c>
      <c r="AU1" s="364">
        <f xml:space="preserve"> ProjectCashflows!AU$34</f>
        <v>2057</v>
      </c>
      <c r="AV1" s="364">
        <f xml:space="preserve"> ProjectCashflows!AV$34</f>
        <v>2058</v>
      </c>
      <c r="AW1" s="364">
        <f xml:space="preserve"> ProjectCashflows!AW$34</f>
        <v>2059</v>
      </c>
      <c r="AX1" s="364">
        <f xml:space="preserve"> ProjectCashflows!AX$34</f>
        <v>2060</v>
      </c>
    </row>
    <row r="2" spans="1:50" ht="15" customHeight="1" x14ac:dyDescent="0.25">
      <c r="A2" s="93"/>
      <c r="B2" s="94"/>
      <c r="C2" s="95"/>
      <c r="D2" s="95"/>
      <c r="E2" s="931" t="str">
        <f xml:space="preserve"> Translate!E$597</f>
        <v>Row description</v>
      </c>
      <c r="F2" s="250" t="str">
        <f xml:space="preserve"> Translate!E$598</f>
        <v>Constant</v>
      </c>
      <c r="G2" s="931" t="str">
        <f xml:space="preserve"> Translate!E$599</f>
        <v>Units</v>
      </c>
      <c r="H2" s="90" t="str">
        <f>Translate!E600</f>
        <v>Comments</v>
      </c>
      <c r="I2" s="213" t="str">
        <f xml:space="preserve"> Translate!E$601</f>
        <v>Total</v>
      </c>
      <c r="J2" s="48"/>
      <c r="K2" s="13"/>
      <c r="L2" s="13"/>
      <c r="M2" s="13"/>
      <c r="N2" s="97"/>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row>
    <row r="3" spans="1:50" ht="15" customHeight="1" x14ac:dyDescent="0.25">
      <c r="A3" s="89"/>
      <c r="B3" s="89"/>
      <c r="C3" s="89"/>
      <c r="D3" s="89"/>
      <c r="E3" s="90"/>
      <c r="F3" s="159">
        <f ca="1" xml:space="preserve"> ReadMe!$D$7</f>
        <v>0</v>
      </c>
      <c r="G3" s="90" t="str">
        <f xml:space="preserve"> ReadMe!$E$7</f>
        <v>Checks</v>
      </c>
      <c r="H3" s="89"/>
      <c r="I3" s="89"/>
      <c r="J3" s="89"/>
      <c r="K3" s="465">
        <f ca="1" xml:space="preserve"> Track!F$1</f>
        <v>0</v>
      </c>
      <c r="L3" s="3" t="str">
        <f xml:space="preserve"> Track!G$1</f>
        <v>Track changes</v>
      </c>
      <c r="M3" s="89"/>
      <c r="N3" s="89"/>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c r="AT3" s="89"/>
      <c r="AU3" s="89"/>
      <c r="AV3" s="89"/>
      <c r="AW3" s="89"/>
      <c r="AX3" s="89"/>
    </row>
    <row r="4" spans="1:50" s="22" customFormat="1" ht="15" customHeight="1" x14ac:dyDescent="0.25">
      <c r="A4" s="99" t="str">
        <f>Translate!E570</f>
        <v>Data for selected project</v>
      </c>
      <c r="B4" s="99"/>
      <c r="C4" s="99"/>
      <c r="D4" s="99"/>
      <c r="E4" s="99"/>
      <c r="F4" s="99"/>
      <c r="G4" s="99"/>
      <c r="H4" s="99"/>
      <c r="I4" s="99"/>
      <c r="J4" s="99"/>
      <c r="K4" s="99"/>
      <c r="L4" s="99"/>
      <c r="M4" s="99"/>
      <c r="N4" s="99"/>
      <c r="O4" s="99"/>
      <c r="P4" s="99"/>
      <c r="Q4" s="99"/>
      <c r="R4" s="99"/>
      <c r="S4" s="99"/>
      <c r="T4" s="99"/>
      <c r="U4" s="99"/>
      <c r="V4" s="99"/>
      <c r="W4" s="99"/>
      <c r="X4" s="99"/>
      <c r="Y4" s="99"/>
      <c r="Z4" s="99"/>
      <c r="AA4" s="99"/>
      <c r="AB4" s="99"/>
      <c r="AC4" s="99"/>
      <c r="AD4" s="99"/>
      <c r="AE4" s="99"/>
      <c r="AF4" s="99"/>
      <c r="AG4" s="99"/>
      <c r="AH4" s="99"/>
      <c r="AI4" s="99"/>
      <c r="AJ4" s="99"/>
      <c r="AK4" s="99"/>
      <c r="AL4" s="99"/>
      <c r="AM4" s="99"/>
      <c r="AN4" s="99"/>
      <c r="AO4" s="99"/>
      <c r="AP4" s="99"/>
      <c r="AQ4" s="99"/>
      <c r="AR4" s="99"/>
      <c r="AS4" s="99"/>
      <c r="AT4" s="99"/>
      <c r="AU4" s="99"/>
      <c r="AV4" s="99"/>
      <c r="AW4" s="99"/>
      <c r="AX4" s="99"/>
    </row>
    <row r="5" spans="1:50" s="22" customFormat="1" ht="15" customHeight="1" x14ac:dyDescent="0.25">
      <c r="A5" s="21"/>
      <c r="B5" s="21"/>
      <c r="C5" s="288"/>
      <c r="D5" s="289"/>
      <c r="E5" s="544"/>
      <c r="F5" s="544"/>
      <c r="G5" s="544"/>
      <c r="H5" s="544"/>
      <c r="I5" s="544"/>
      <c r="J5" s="544"/>
      <c r="K5" s="544"/>
      <c r="L5" s="544"/>
      <c r="M5" s="544"/>
      <c r="N5" s="544"/>
      <c r="O5" s="544"/>
      <c r="P5" s="544"/>
      <c r="Q5" s="544"/>
      <c r="R5" s="544"/>
      <c r="S5" s="544"/>
      <c r="T5" s="544"/>
      <c r="U5" s="544"/>
      <c r="V5" s="544"/>
      <c r="W5" s="544"/>
      <c r="X5" s="544"/>
      <c r="Y5" s="544"/>
      <c r="Z5" s="544"/>
      <c r="AA5" s="544"/>
      <c r="AB5" s="544"/>
      <c r="AC5" s="544"/>
      <c r="AD5" s="544"/>
      <c r="AE5" s="544"/>
      <c r="AF5" s="544"/>
      <c r="AG5" s="544"/>
      <c r="AH5" s="544"/>
      <c r="AI5" s="544"/>
      <c r="AJ5" s="544"/>
      <c r="AK5" s="544"/>
      <c r="AL5" s="544"/>
      <c r="AM5" s="544"/>
      <c r="AN5" s="544"/>
      <c r="AO5" s="544"/>
      <c r="AP5" s="544"/>
      <c r="AQ5" s="544"/>
      <c r="AR5" s="544"/>
      <c r="AS5" s="544"/>
      <c r="AT5" s="544"/>
      <c r="AU5" s="544"/>
      <c r="AV5" s="544"/>
      <c r="AW5" s="544"/>
      <c r="AX5" s="544"/>
    </row>
    <row r="6" spans="1:50" s="22" customFormat="1" ht="15" customHeight="1" x14ac:dyDescent="0.25">
      <c r="A6" s="21"/>
      <c r="B6" s="21"/>
      <c r="C6" s="288"/>
      <c r="D6" s="289"/>
      <c r="E6" s="305" t="str">
        <f xml:space="preserve"> Inputs!E$12</f>
        <v>Selected project</v>
      </c>
      <c r="F6" s="306" t="str">
        <f xml:space="preserve"> Inputs!F$12</f>
        <v>800MMbbl_A</v>
      </c>
      <c r="G6" s="305" t="str">
        <f xml:space="preserve"> Inputs!G$12</f>
        <v>Option</v>
      </c>
      <c r="H6" s="544"/>
      <c r="I6" s="544"/>
      <c r="J6" s="544"/>
      <c r="K6" s="544"/>
      <c r="L6" s="544"/>
      <c r="M6" s="544"/>
      <c r="N6" s="544"/>
      <c r="O6" s="544"/>
      <c r="P6" s="544"/>
      <c r="Q6" s="544"/>
      <c r="R6" s="544"/>
      <c r="S6" s="544"/>
      <c r="T6" s="544"/>
      <c r="U6" s="544"/>
      <c r="V6" s="544"/>
      <c r="W6" s="544"/>
      <c r="X6" s="544"/>
      <c r="Y6" s="544"/>
      <c r="Z6" s="544"/>
      <c r="AA6" s="544"/>
      <c r="AB6" s="544"/>
      <c r="AC6" s="544"/>
      <c r="AD6" s="544"/>
      <c r="AE6" s="544"/>
      <c r="AF6" s="544"/>
      <c r="AG6" s="544"/>
      <c r="AH6" s="544"/>
      <c r="AI6" s="544"/>
      <c r="AJ6" s="544"/>
      <c r="AK6" s="544"/>
      <c r="AL6" s="544"/>
      <c r="AM6" s="544"/>
      <c r="AN6" s="544"/>
      <c r="AO6" s="544"/>
      <c r="AP6" s="544"/>
      <c r="AQ6" s="544"/>
      <c r="AR6" s="544"/>
      <c r="AS6" s="544"/>
      <c r="AT6" s="544"/>
      <c r="AU6" s="544"/>
      <c r="AV6" s="544"/>
      <c r="AW6" s="544"/>
      <c r="AX6" s="544"/>
    </row>
    <row r="7" spans="1:50" ht="15" customHeight="1" x14ac:dyDescent="0.25">
      <c r="A7" s="89"/>
      <c r="B7" s="89"/>
      <c r="C7" s="89"/>
      <c r="D7" s="89"/>
      <c r="E7" s="90"/>
      <c r="F7"/>
      <c r="G7" s="90"/>
      <c r="H7" s="89"/>
      <c r="I7" s="89"/>
      <c r="J7" s="89"/>
      <c r="K7" s="89"/>
      <c r="L7" s="89"/>
      <c r="M7" s="89"/>
      <c r="N7" s="89"/>
      <c r="O7" s="89"/>
      <c r="P7" s="89"/>
      <c r="Q7" s="89"/>
      <c r="R7" s="89"/>
      <c r="S7" s="89"/>
      <c r="T7" s="89"/>
      <c r="U7" s="89"/>
      <c r="V7" s="89"/>
      <c r="W7" s="89"/>
      <c r="X7" s="89"/>
      <c r="Y7" s="89"/>
      <c r="Z7" s="89"/>
      <c r="AA7" s="89"/>
      <c r="AB7" s="89"/>
      <c r="AC7" s="89"/>
      <c r="AD7" s="89"/>
      <c r="AE7" s="89"/>
      <c r="AF7" s="89"/>
      <c r="AG7" s="89"/>
      <c r="AH7" s="89"/>
      <c r="AI7" s="89"/>
      <c r="AJ7" s="89"/>
      <c r="AK7" s="89"/>
      <c r="AL7" s="89"/>
      <c r="AM7" s="89"/>
      <c r="AN7" s="89"/>
      <c r="AO7" s="89"/>
      <c r="AP7" s="89"/>
      <c r="AQ7" s="89"/>
      <c r="AR7" s="89"/>
      <c r="AS7" s="89"/>
      <c r="AT7" s="89"/>
      <c r="AU7" s="89"/>
      <c r="AV7" s="89"/>
      <c r="AW7" s="89"/>
      <c r="AX7" s="89"/>
    </row>
    <row r="8" spans="1:50" ht="15" customHeight="1" x14ac:dyDescent="0.25">
      <c r="A8" s="106"/>
      <c r="B8" s="87" t="str">
        <f xml:space="preserve"> Translate!E$569</f>
        <v>Raw project data</v>
      </c>
      <c r="C8" s="88"/>
      <c r="D8" s="162"/>
      <c r="E8" s="56"/>
      <c r="F8" s="52"/>
      <c r="G8" s="56"/>
      <c r="H8" s="56"/>
      <c r="I8" s="56"/>
      <c r="J8" s="56"/>
      <c r="K8" s="195" t="str">
        <f xml:space="preserve"> Translate!E$794</f>
        <v>Do not change start-row of this block, unless all project examples changed accordingly</v>
      </c>
      <c r="L8" s="151"/>
      <c r="M8" s="151"/>
      <c r="N8" s="151"/>
      <c r="O8" s="151"/>
      <c r="P8" s="151"/>
      <c r="Q8" s="151"/>
      <c r="R8" s="151"/>
      <c r="S8" s="151"/>
      <c r="T8" s="151"/>
      <c r="U8" s="151"/>
      <c r="V8" s="151"/>
      <c r="W8" s="151"/>
      <c r="X8" s="151"/>
      <c r="Y8" s="151"/>
      <c r="Z8" s="151"/>
      <c r="AA8" s="151"/>
      <c r="AB8" s="151"/>
      <c r="AC8" s="151"/>
      <c r="AD8" s="151"/>
      <c r="AE8" s="151"/>
      <c r="AF8" s="151"/>
      <c r="AG8" s="151"/>
      <c r="AH8" s="151"/>
      <c r="AI8" s="151"/>
      <c r="AJ8" s="151"/>
      <c r="AK8" s="151"/>
      <c r="AL8" s="151"/>
      <c r="AM8" s="151"/>
      <c r="AN8" s="151"/>
      <c r="AO8" s="151"/>
      <c r="AP8" s="151"/>
      <c r="AQ8" s="151"/>
      <c r="AR8" s="151"/>
      <c r="AS8" s="151"/>
      <c r="AT8" s="151"/>
      <c r="AU8" s="151"/>
      <c r="AV8" s="151"/>
      <c r="AW8" s="151"/>
      <c r="AX8" s="151"/>
    </row>
    <row r="9" spans="1:50" ht="15" customHeight="1" x14ac:dyDescent="0.25">
      <c r="A9" s="129"/>
      <c r="B9" s="164"/>
      <c r="C9" s="119"/>
      <c r="D9" s="165"/>
      <c r="E9" s="13" t="str">
        <f xml:space="preserve"> Translate!E$710</f>
        <v>Oil production RATE</v>
      </c>
      <c r="F9" s="56"/>
      <c r="G9" s="13" t="str">
        <f xml:space="preserve"> Translate!E$611</f>
        <v>KBOPD</v>
      </c>
      <c r="H9" s="13"/>
      <c r="I9" s="166"/>
      <c r="J9" s="56"/>
      <c r="K9" s="167">
        <f ca="1">INDIRECT( ADDRESS( ROW(), COLUMN(),,, ProjectCashflows!$F$6))</f>
        <v>0</v>
      </c>
      <c r="L9" s="167">
        <f ca="1">INDIRECT( ADDRESS( ROW(), COLUMN(),,, ProjectCashflows!$F$6))</f>
        <v>0</v>
      </c>
      <c r="M9" s="167">
        <f ca="1">INDIRECT( ADDRESS( ROW(), COLUMN(),,, ProjectCashflows!$F$6))</f>
        <v>0</v>
      </c>
      <c r="N9" s="167">
        <f ca="1">INDIRECT( ADDRESS( ROW(), COLUMN(),,, ProjectCashflows!$F$6))</f>
        <v>0</v>
      </c>
      <c r="O9" s="167">
        <f ca="1">INDIRECT( ADDRESS( ROW(), COLUMN(),,, ProjectCashflows!$F$6))</f>
        <v>9.5471162223815913</v>
      </c>
      <c r="P9" s="167">
        <f ca="1">INDIRECT( ADDRESS( ROW(), COLUMN(),,, ProjectCashflows!$F$6))</f>
        <v>75</v>
      </c>
      <c r="Q9" s="167">
        <f ca="1">INDIRECT( ADDRESS( ROW(), COLUMN(),,, ProjectCashflows!$F$6))</f>
        <v>150</v>
      </c>
      <c r="R9" s="167">
        <f ca="1">INDIRECT( ADDRESS( ROW(), COLUMN(),,, ProjectCashflows!$F$6))</f>
        <v>150</v>
      </c>
      <c r="S9" s="167">
        <f ca="1">INDIRECT( ADDRESS( ROW(), COLUMN(),,, ProjectCashflows!$F$6))</f>
        <v>150</v>
      </c>
      <c r="T9" s="167">
        <f ca="1">INDIRECT( ADDRESS( ROW(), COLUMN(),,, ProjectCashflows!$F$6))</f>
        <v>150</v>
      </c>
      <c r="U9" s="167">
        <f ca="1">INDIRECT( ADDRESS( ROW(), COLUMN(),,, ProjectCashflows!$F$6))</f>
        <v>150</v>
      </c>
      <c r="V9" s="167">
        <f ca="1">INDIRECT( ADDRESS( ROW(), COLUMN(),,, ProjectCashflows!$F$6))</f>
        <v>150</v>
      </c>
      <c r="W9" s="167">
        <f ca="1">INDIRECT( ADDRESS( ROW(), COLUMN(),,, ProjectCashflows!$F$6))</f>
        <v>150</v>
      </c>
      <c r="X9" s="167">
        <f ca="1">INDIRECT( ADDRESS( ROW(), COLUMN(),,, ProjectCashflows!$F$6))</f>
        <v>150</v>
      </c>
      <c r="Y9" s="167">
        <f ca="1">INDIRECT( ADDRESS( ROW(), COLUMN(),,, ProjectCashflows!$F$6))</f>
        <v>150</v>
      </c>
      <c r="Z9" s="167">
        <f ca="1">INDIRECT( ADDRESS( ROW(), COLUMN(),,, ProjectCashflows!$F$6))</f>
        <v>150</v>
      </c>
      <c r="AA9" s="167">
        <f ca="1">INDIRECT( ADDRESS( ROW(), COLUMN(),,, ProjectCashflows!$F$6))</f>
        <v>121.50000000000001</v>
      </c>
      <c r="AB9" s="167">
        <f ca="1">INDIRECT( ADDRESS( ROW(), COLUMN(),,, ProjectCashflows!$F$6))</f>
        <v>98.41500000000002</v>
      </c>
      <c r="AC9" s="167">
        <f ca="1">INDIRECT( ADDRESS( ROW(), COLUMN(),,, ProjectCashflows!$F$6))</f>
        <v>79.716150000000027</v>
      </c>
      <c r="AD9" s="167">
        <f ca="1">INDIRECT( ADDRESS( ROW(), COLUMN(),,, ProjectCashflows!$F$6))</f>
        <v>64.570081500000029</v>
      </c>
      <c r="AE9" s="167">
        <f ca="1">INDIRECT( ADDRESS( ROW(), COLUMN(),,, ProjectCashflows!$F$6))</f>
        <v>52.301766015000027</v>
      </c>
      <c r="AF9" s="167">
        <f ca="1">INDIRECT( ADDRESS( ROW(), COLUMN(),,, ProjectCashflows!$F$6))</f>
        <v>42.364430472150026</v>
      </c>
      <c r="AG9" s="167">
        <f ca="1">INDIRECT( ADDRESS( ROW(), COLUMN(),,, ProjectCashflows!$F$6))</f>
        <v>34.315188682441523</v>
      </c>
      <c r="AH9" s="167">
        <f ca="1">INDIRECT( ADDRESS( ROW(), COLUMN(),,, ProjectCashflows!$F$6))</f>
        <v>27.795302832777637</v>
      </c>
      <c r="AI9" s="167">
        <f ca="1">INDIRECT( ADDRESS( ROW(), COLUMN(),,, ProjectCashflows!$F$6))</f>
        <v>22.514195294549886</v>
      </c>
      <c r="AJ9" s="167">
        <f ca="1">INDIRECT( ADDRESS( ROW(), COLUMN(),,, ProjectCashflows!$F$6))</f>
        <v>18.236498188585408</v>
      </c>
      <c r="AK9" s="167">
        <f ca="1">INDIRECT( ADDRESS( ROW(), COLUMN(),,, ProjectCashflows!$F$6))</f>
        <v>14.771563532754181</v>
      </c>
      <c r="AL9" s="167">
        <f ca="1">INDIRECT( ADDRESS( ROW(), COLUMN(),,, ProjectCashflows!$F$6))</f>
        <v>11.964966461530887</v>
      </c>
      <c r="AM9" s="167">
        <f ca="1">INDIRECT( ADDRESS( ROW(), COLUMN(),,, ProjectCashflows!$F$6))</f>
        <v>9.6916228338400181</v>
      </c>
      <c r="AN9" s="167">
        <f ca="1">INDIRECT( ADDRESS( ROW(), COLUMN(),,, ProjectCashflows!$F$6))</f>
        <v>7.8502144954104152</v>
      </c>
      <c r="AO9" s="167">
        <f ca="1">INDIRECT( ADDRESS( ROW(), COLUMN(),,, ProjectCashflows!$F$6))</f>
        <v>6.3586737412824368</v>
      </c>
      <c r="AP9" s="167">
        <f ca="1">INDIRECT( ADDRESS( ROW(), COLUMN(),,, ProjectCashflows!$F$6))</f>
        <v>0</v>
      </c>
      <c r="AQ9" s="167">
        <f ca="1">INDIRECT( ADDRESS( ROW(), COLUMN(),,, ProjectCashflows!$F$6))</f>
        <v>0</v>
      </c>
      <c r="AR9" s="167">
        <f ca="1">INDIRECT( ADDRESS( ROW(), COLUMN(),,, ProjectCashflows!$F$6))</f>
        <v>0</v>
      </c>
      <c r="AS9" s="167">
        <f ca="1">INDIRECT( ADDRESS( ROW(), COLUMN(),,, ProjectCashflows!$F$6))</f>
        <v>0</v>
      </c>
      <c r="AT9" s="167">
        <f ca="1">INDIRECT( ADDRESS( ROW(), COLUMN(),,, ProjectCashflows!$F$6))</f>
        <v>0</v>
      </c>
      <c r="AU9" s="167">
        <f ca="1">INDIRECT( ADDRESS( ROW(), COLUMN(),,, ProjectCashflows!$F$6))</f>
        <v>0</v>
      </c>
      <c r="AV9" s="167">
        <f ca="1">INDIRECT( ADDRESS( ROW(), COLUMN(),,, ProjectCashflows!$F$6))</f>
        <v>0</v>
      </c>
      <c r="AW9" s="167">
        <f ca="1">INDIRECT( ADDRESS( ROW(), COLUMN(),,, ProjectCashflows!$F$6))</f>
        <v>0</v>
      </c>
      <c r="AX9" s="167">
        <f ca="1">INDIRECT( ADDRESS( ROW(), COLUMN(),,, ProjectCashflows!$F$6))</f>
        <v>0</v>
      </c>
    </row>
    <row r="10" spans="1:50" ht="15" customHeight="1" x14ac:dyDescent="0.25">
      <c r="A10" s="106"/>
      <c r="B10" s="168"/>
      <c r="C10" s="108"/>
      <c r="D10" s="169"/>
      <c r="E10" s="73" t="str">
        <f xml:space="preserve"> Translate!E$711</f>
        <v>Transport costs post-fiscal point</v>
      </c>
      <c r="F10" s="52"/>
      <c r="G10" s="73" t="str">
        <f xml:space="preserve"> Inputs!F$52</f>
        <v>US$ mn 2021</v>
      </c>
      <c r="H10" s="13"/>
      <c r="I10" s="98">
        <f t="shared" ref="I10:I15" ca="1" si="0" xml:space="preserve"> SUM(K10:AX10)</f>
        <v>0</v>
      </c>
      <c r="J10" s="52"/>
      <c r="K10" s="167">
        <f ca="1">INDIRECT( ADDRESS( ROW(), COLUMN(),,, ProjectCashflows!$F$6))</f>
        <v>0</v>
      </c>
      <c r="L10" s="167">
        <f ca="1">INDIRECT( ADDRESS( ROW(), COLUMN(),,, ProjectCashflows!$F$6))</f>
        <v>0</v>
      </c>
      <c r="M10" s="167">
        <f ca="1">INDIRECT( ADDRESS( ROW(), COLUMN(),,, ProjectCashflows!$F$6))</f>
        <v>0</v>
      </c>
      <c r="N10" s="167">
        <f ca="1">INDIRECT( ADDRESS( ROW(), COLUMN(),,, ProjectCashflows!$F$6))</f>
        <v>0</v>
      </c>
      <c r="O10" s="167">
        <f ca="1">INDIRECT( ADDRESS( ROW(), COLUMN(),,, ProjectCashflows!$F$6))</f>
        <v>0</v>
      </c>
      <c r="P10" s="167">
        <f ca="1">INDIRECT( ADDRESS( ROW(), COLUMN(),,, ProjectCashflows!$F$6))</f>
        <v>0</v>
      </c>
      <c r="Q10" s="167">
        <f ca="1">INDIRECT( ADDRESS( ROW(), COLUMN(),,, ProjectCashflows!$F$6))</f>
        <v>0</v>
      </c>
      <c r="R10" s="167">
        <f ca="1">INDIRECT( ADDRESS( ROW(), COLUMN(),,, ProjectCashflows!$F$6))</f>
        <v>0</v>
      </c>
      <c r="S10" s="167">
        <f ca="1">INDIRECT( ADDRESS( ROW(), COLUMN(),,, ProjectCashflows!$F$6))</f>
        <v>0</v>
      </c>
      <c r="T10" s="167">
        <f ca="1">INDIRECT( ADDRESS( ROW(), COLUMN(),,, ProjectCashflows!$F$6))</f>
        <v>0</v>
      </c>
      <c r="U10" s="167">
        <f ca="1">INDIRECT( ADDRESS( ROW(), COLUMN(),,, ProjectCashflows!$F$6))</f>
        <v>0</v>
      </c>
      <c r="V10" s="167">
        <f ca="1">INDIRECT( ADDRESS( ROW(), COLUMN(),,, ProjectCashflows!$F$6))</f>
        <v>0</v>
      </c>
      <c r="W10" s="167">
        <f ca="1">INDIRECT( ADDRESS( ROW(), COLUMN(),,, ProjectCashflows!$F$6))</f>
        <v>0</v>
      </c>
      <c r="X10" s="167">
        <f ca="1">INDIRECT( ADDRESS( ROW(), COLUMN(),,, ProjectCashflows!$F$6))</f>
        <v>0</v>
      </c>
      <c r="Y10" s="167">
        <f ca="1">INDIRECT( ADDRESS( ROW(), COLUMN(),,, ProjectCashflows!$F$6))</f>
        <v>0</v>
      </c>
      <c r="Z10" s="167">
        <f ca="1">INDIRECT( ADDRESS( ROW(), COLUMN(),,, ProjectCashflows!$F$6))</f>
        <v>0</v>
      </c>
      <c r="AA10" s="167">
        <f ca="1">INDIRECT( ADDRESS( ROW(), COLUMN(),,, ProjectCashflows!$F$6))</f>
        <v>0</v>
      </c>
      <c r="AB10" s="167">
        <f ca="1">INDIRECT( ADDRESS( ROW(), COLUMN(),,, ProjectCashflows!$F$6))</f>
        <v>0</v>
      </c>
      <c r="AC10" s="167">
        <f ca="1">INDIRECT( ADDRESS( ROW(), COLUMN(),,, ProjectCashflows!$F$6))</f>
        <v>0</v>
      </c>
      <c r="AD10" s="167">
        <f ca="1">INDIRECT( ADDRESS( ROW(), COLUMN(),,, ProjectCashflows!$F$6))</f>
        <v>0</v>
      </c>
      <c r="AE10" s="167">
        <f ca="1">INDIRECT( ADDRESS( ROW(), COLUMN(),,, ProjectCashflows!$F$6))</f>
        <v>0</v>
      </c>
      <c r="AF10" s="167">
        <f ca="1">INDIRECT( ADDRESS( ROW(), COLUMN(),,, ProjectCashflows!$F$6))</f>
        <v>0</v>
      </c>
      <c r="AG10" s="167">
        <f ca="1">INDIRECT( ADDRESS( ROW(), COLUMN(),,, ProjectCashflows!$F$6))</f>
        <v>0</v>
      </c>
      <c r="AH10" s="167">
        <f ca="1">INDIRECT( ADDRESS( ROW(), COLUMN(),,, ProjectCashflows!$F$6))</f>
        <v>0</v>
      </c>
      <c r="AI10" s="167">
        <f ca="1">INDIRECT( ADDRESS( ROW(), COLUMN(),,, ProjectCashflows!$F$6))</f>
        <v>0</v>
      </c>
      <c r="AJ10" s="167">
        <f ca="1">INDIRECT( ADDRESS( ROW(), COLUMN(),,, ProjectCashflows!$F$6))</f>
        <v>0</v>
      </c>
      <c r="AK10" s="167">
        <f ca="1">INDIRECT( ADDRESS( ROW(), COLUMN(),,, ProjectCashflows!$F$6))</f>
        <v>0</v>
      </c>
      <c r="AL10" s="167">
        <f ca="1">INDIRECT( ADDRESS( ROW(), COLUMN(),,, ProjectCashflows!$F$6))</f>
        <v>0</v>
      </c>
      <c r="AM10" s="167">
        <f ca="1">INDIRECT( ADDRESS( ROW(), COLUMN(),,, ProjectCashflows!$F$6))</f>
        <v>0</v>
      </c>
      <c r="AN10" s="167">
        <f ca="1">INDIRECT( ADDRESS( ROW(), COLUMN(),,, ProjectCashflows!$F$6))</f>
        <v>0</v>
      </c>
      <c r="AO10" s="167">
        <f ca="1">INDIRECT( ADDRESS( ROW(), COLUMN(),,, ProjectCashflows!$F$6))</f>
        <v>0</v>
      </c>
      <c r="AP10" s="167">
        <f ca="1">INDIRECT( ADDRESS( ROW(), COLUMN(),,, ProjectCashflows!$F$6))</f>
        <v>0</v>
      </c>
      <c r="AQ10" s="167">
        <f ca="1">INDIRECT( ADDRESS( ROW(), COLUMN(),,, ProjectCashflows!$F$6))</f>
        <v>0</v>
      </c>
      <c r="AR10" s="167">
        <f ca="1">INDIRECT( ADDRESS( ROW(), COLUMN(),,, ProjectCashflows!$F$6))</f>
        <v>0</v>
      </c>
      <c r="AS10" s="167">
        <f ca="1">INDIRECT( ADDRESS( ROW(), COLUMN(),,, ProjectCashflows!$F$6))</f>
        <v>0</v>
      </c>
      <c r="AT10" s="167">
        <f ca="1">INDIRECT( ADDRESS( ROW(), COLUMN(),,, ProjectCashflows!$F$6))</f>
        <v>0</v>
      </c>
      <c r="AU10" s="167">
        <f ca="1">INDIRECT( ADDRESS( ROW(), COLUMN(),,, ProjectCashflows!$F$6))</f>
        <v>0</v>
      </c>
      <c r="AV10" s="167">
        <f ca="1">INDIRECT( ADDRESS( ROW(), COLUMN(),,, ProjectCashflows!$F$6))</f>
        <v>0</v>
      </c>
      <c r="AW10" s="167">
        <f ca="1">INDIRECT( ADDRESS( ROW(), COLUMN(),,, ProjectCashflows!$F$6))</f>
        <v>0</v>
      </c>
      <c r="AX10" s="167">
        <f ca="1">INDIRECT( ADDRESS( ROW(), COLUMN(),,, ProjectCashflows!$F$6))</f>
        <v>0</v>
      </c>
    </row>
    <row r="11" spans="1:50" ht="15" customHeight="1" x14ac:dyDescent="0.25">
      <c r="A11" s="106"/>
      <c r="B11" s="168"/>
      <c r="C11" s="108"/>
      <c r="D11" s="169"/>
      <c r="E11" s="73" t="str">
        <f>Translate!E$712</f>
        <v>Exploration costs</v>
      </c>
      <c r="F11" s="56"/>
      <c r="G11" s="73" t="str">
        <f xml:space="preserve"> Inputs!F$52</f>
        <v>US$ mn 2021</v>
      </c>
      <c r="H11" s="13"/>
      <c r="I11" s="98">
        <f t="shared" ca="1" si="0"/>
        <v>420</v>
      </c>
      <c r="J11" s="52"/>
      <c r="K11" s="167">
        <f ca="1">INDIRECT( ADDRESS( ROW(), COLUMN(),,, ProjectCashflows!$F$6))</f>
        <v>420</v>
      </c>
      <c r="L11" s="167">
        <f ca="1">INDIRECT( ADDRESS( ROW(), COLUMN(),,, ProjectCashflows!$F$6))</f>
        <v>0</v>
      </c>
      <c r="M11" s="167">
        <f ca="1">INDIRECT( ADDRESS( ROW(), COLUMN(),,, ProjectCashflows!$F$6))</f>
        <v>0</v>
      </c>
      <c r="N11" s="167">
        <f ca="1">INDIRECT( ADDRESS( ROW(), COLUMN(),,, ProjectCashflows!$F$6))</f>
        <v>0</v>
      </c>
      <c r="O11" s="167">
        <f ca="1">INDIRECT( ADDRESS( ROW(), COLUMN(),,, ProjectCashflows!$F$6))</f>
        <v>0</v>
      </c>
      <c r="P11" s="167">
        <f ca="1">INDIRECT( ADDRESS( ROW(), COLUMN(),,, ProjectCashflows!$F$6))</f>
        <v>0</v>
      </c>
      <c r="Q11" s="167">
        <f ca="1">INDIRECT( ADDRESS( ROW(), COLUMN(),,, ProjectCashflows!$F$6))</f>
        <v>0</v>
      </c>
      <c r="R11" s="167">
        <f ca="1">INDIRECT( ADDRESS( ROW(), COLUMN(),,, ProjectCashflows!$F$6))</f>
        <v>0</v>
      </c>
      <c r="S11" s="167">
        <f ca="1">INDIRECT( ADDRESS( ROW(), COLUMN(),,, ProjectCashflows!$F$6))</f>
        <v>0</v>
      </c>
      <c r="T11" s="167">
        <f ca="1">INDIRECT( ADDRESS( ROW(), COLUMN(),,, ProjectCashflows!$F$6))</f>
        <v>0</v>
      </c>
      <c r="U11" s="167">
        <f ca="1">INDIRECT( ADDRESS( ROW(), COLUMN(),,, ProjectCashflows!$F$6))</f>
        <v>0</v>
      </c>
      <c r="V11" s="167">
        <f ca="1">INDIRECT( ADDRESS( ROW(), COLUMN(),,, ProjectCashflows!$F$6))</f>
        <v>0</v>
      </c>
      <c r="W11" s="167">
        <f ca="1">INDIRECT( ADDRESS( ROW(), COLUMN(),,, ProjectCashflows!$F$6))</f>
        <v>0</v>
      </c>
      <c r="X11" s="167">
        <f ca="1">INDIRECT( ADDRESS( ROW(), COLUMN(),,, ProjectCashflows!$F$6))</f>
        <v>0</v>
      </c>
      <c r="Y11" s="167">
        <f ca="1">INDIRECT( ADDRESS( ROW(), COLUMN(),,, ProjectCashflows!$F$6))</f>
        <v>0</v>
      </c>
      <c r="Z11" s="167">
        <f ca="1">INDIRECT( ADDRESS( ROW(), COLUMN(),,, ProjectCashflows!$F$6))</f>
        <v>0</v>
      </c>
      <c r="AA11" s="167">
        <f ca="1">INDIRECT( ADDRESS( ROW(), COLUMN(),,, ProjectCashflows!$F$6))</f>
        <v>0</v>
      </c>
      <c r="AB11" s="167">
        <f ca="1">INDIRECT( ADDRESS( ROW(), COLUMN(),,, ProjectCashflows!$F$6))</f>
        <v>0</v>
      </c>
      <c r="AC11" s="167">
        <f ca="1">INDIRECT( ADDRESS( ROW(), COLUMN(),,, ProjectCashflows!$F$6))</f>
        <v>0</v>
      </c>
      <c r="AD11" s="167">
        <f ca="1">INDIRECT( ADDRESS( ROW(), COLUMN(),,, ProjectCashflows!$F$6))</f>
        <v>0</v>
      </c>
      <c r="AE11" s="167">
        <f ca="1">INDIRECT( ADDRESS( ROW(), COLUMN(),,, ProjectCashflows!$F$6))</f>
        <v>0</v>
      </c>
      <c r="AF11" s="167">
        <f ca="1">INDIRECT( ADDRESS( ROW(), COLUMN(),,, ProjectCashflows!$F$6))</f>
        <v>0</v>
      </c>
      <c r="AG11" s="167">
        <f ca="1">INDIRECT( ADDRESS( ROW(), COLUMN(),,, ProjectCashflows!$F$6))</f>
        <v>0</v>
      </c>
      <c r="AH11" s="167">
        <f ca="1">INDIRECT( ADDRESS( ROW(), COLUMN(),,, ProjectCashflows!$F$6))</f>
        <v>0</v>
      </c>
      <c r="AI11" s="167">
        <f ca="1">INDIRECT( ADDRESS( ROW(), COLUMN(),,, ProjectCashflows!$F$6))</f>
        <v>0</v>
      </c>
      <c r="AJ11" s="167">
        <f ca="1">INDIRECT( ADDRESS( ROW(), COLUMN(),,, ProjectCashflows!$F$6))</f>
        <v>0</v>
      </c>
      <c r="AK11" s="167">
        <f ca="1">INDIRECT( ADDRESS( ROW(), COLUMN(),,, ProjectCashflows!$F$6))</f>
        <v>0</v>
      </c>
      <c r="AL11" s="167">
        <f ca="1">INDIRECT( ADDRESS( ROW(), COLUMN(),,, ProjectCashflows!$F$6))</f>
        <v>0</v>
      </c>
      <c r="AM11" s="167">
        <f ca="1">INDIRECT( ADDRESS( ROW(), COLUMN(),,, ProjectCashflows!$F$6))</f>
        <v>0</v>
      </c>
      <c r="AN11" s="167">
        <f ca="1">INDIRECT( ADDRESS( ROW(), COLUMN(),,, ProjectCashflows!$F$6))</f>
        <v>0</v>
      </c>
      <c r="AO11" s="167">
        <f ca="1">INDIRECT( ADDRESS( ROW(), COLUMN(),,, ProjectCashflows!$F$6))</f>
        <v>0</v>
      </c>
      <c r="AP11" s="167">
        <f ca="1">INDIRECT( ADDRESS( ROW(), COLUMN(),,, ProjectCashflows!$F$6))</f>
        <v>0</v>
      </c>
      <c r="AQ11" s="167">
        <f ca="1">INDIRECT( ADDRESS( ROW(), COLUMN(),,, ProjectCashflows!$F$6))</f>
        <v>0</v>
      </c>
      <c r="AR11" s="167">
        <f ca="1">INDIRECT( ADDRESS( ROW(), COLUMN(),,, ProjectCashflows!$F$6))</f>
        <v>0</v>
      </c>
      <c r="AS11" s="167">
        <f ca="1">INDIRECT( ADDRESS( ROW(), COLUMN(),,, ProjectCashflows!$F$6))</f>
        <v>0</v>
      </c>
      <c r="AT11" s="167">
        <f ca="1">INDIRECT( ADDRESS( ROW(), COLUMN(),,, ProjectCashflows!$F$6))</f>
        <v>0</v>
      </c>
      <c r="AU11" s="167">
        <f ca="1">INDIRECT( ADDRESS( ROW(), COLUMN(),,, ProjectCashflows!$F$6))</f>
        <v>0</v>
      </c>
      <c r="AV11" s="167">
        <f ca="1">INDIRECT( ADDRESS( ROW(), COLUMN(),,, ProjectCashflows!$F$6))</f>
        <v>0</v>
      </c>
      <c r="AW11" s="167">
        <f ca="1">INDIRECT( ADDRESS( ROW(), COLUMN(),,, ProjectCashflows!$F$6))</f>
        <v>0</v>
      </c>
      <c r="AX11" s="167">
        <f ca="1">INDIRECT( ADDRESS( ROW(), COLUMN(),,, ProjectCashflows!$F$6))</f>
        <v>0</v>
      </c>
    </row>
    <row r="12" spans="1:50" ht="15" customHeight="1" x14ac:dyDescent="0.25">
      <c r="A12" s="106"/>
      <c r="B12" s="168"/>
      <c r="C12" s="108"/>
      <c r="D12" s="169"/>
      <c r="E12" s="73" t="str">
        <f>Translate!E$713</f>
        <v>Development costs</v>
      </c>
      <c r="F12" s="56"/>
      <c r="G12" s="73" t="str">
        <f xml:space="preserve"> Inputs!F$52</f>
        <v>US$ mn 2021</v>
      </c>
      <c r="H12" s="13"/>
      <c r="I12" s="98">
        <f t="shared" ca="1" si="0"/>
        <v>9050</v>
      </c>
      <c r="J12" s="52"/>
      <c r="K12" s="167">
        <f ca="1">INDIRECT( ADDRESS( ROW(), COLUMN(),,, ProjectCashflows!$F$6))</f>
        <v>0</v>
      </c>
      <c r="L12" s="167">
        <f ca="1">INDIRECT( ADDRESS( ROW(), COLUMN(),,, ProjectCashflows!$F$6))</f>
        <v>50</v>
      </c>
      <c r="M12" s="167">
        <f ca="1">INDIRECT( ADDRESS( ROW(), COLUMN(),,, ProjectCashflows!$F$6))</f>
        <v>300</v>
      </c>
      <c r="N12" s="167">
        <f ca="1">INDIRECT( ADDRESS( ROW(), COLUMN(),,, ProjectCashflows!$F$6))</f>
        <v>1200</v>
      </c>
      <c r="O12" s="167">
        <f ca="1">INDIRECT( ADDRESS( ROW(), COLUMN(),,, ProjectCashflows!$F$6))</f>
        <v>1200</v>
      </c>
      <c r="P12" s="167">
        <f ca="1">INDIRECT( ADDRESS( ROW(), COLUMN(),,, ProjectCashflows!$F$6))</f>
        <v>2100</v>
      </c>
      <c r="Q12" s="167">
        <f ca="1">INDIRECT( ADDRESS( ROW(), COLUMN(),,, ProjectCashflows!$F$6))</f>
        <v>1100</v>
      </c>
      <c r="R12" s="167">
        <f ca="1">INDIRECT( ADDRESS( ROW(), COLUMN(),,, ProjectCashflows!$F$6))</f>
        <v>450</v>
      </c>
      <c r="S12" s="167">
        <f ca="1">INDIRECT( ADDRESS( ROW(), COLUMN(),,, ProjectCashflows!$F$6))</f>
        <v>250</v>
      </c>
      <c r="T12" s="167">
        <f ca="1">INDIRECT( ADDRESS( ROW(), COLUMN(),,, ProjectCashflows!$F$6))</f>
        <v>250</v>
      </c>
      <c r="U12" s="167">
        <f ca="1">INDIRECT( ADDRESS( ROW(), COLUMN(),,, ProjectCashflows!$F$6))</f>
        <v>250</v>
      </c>
      <c r="V12" s="167">
        <f ca="1">INDIRECT( ADDRESS( ROW(), COLUMN(),,, ProjectCashflows!$F$6))</f>
        <v>250</v>
      </c>
      <c r="W12" s="167">
        <f ca="1">INDIRECT( ADDRESS( ROW(), COLUMN(),,, ProjectCashflows!$F$6))</f>
        <v>250</v>
      </c>
      <c r="X12" s="167">
        <f ca="1">INDIRECT( ADDRESS( ROW(), COLUMN(),,, ProjectCashflows!$F$6))</f>
        <v>250</v>
      </c>
      <c r="Y12" s="167">
        <f ca="1">INDIRECT( ADDRESS( ROW(), COLUMN(),,, ProjectCashflows!$F$6))</f>
        <v>250</v>
      </c>
      <c r="Z12" s="167">
        <f ca="1">INDIRECT( ADDRESS( ROW(), COLUMN(),,, ProjectCashflows!$F$6))</f>
        <v>250</v>
      </c>
      <c r="AA12" s="167">
        <f ca="1">INDIRECT( ADDRESS( ROW(), COLUMN(),,, ProjectCashflows!$F$6))</f>
        <v>250</v>
      </c>
      <c r="AB12" s="167">
        <f ca="1">INDIRECT( ADDRESS( ROW(), COLUMN(),,, ProjectCashflows!$F$6))</f>
        <v>0</v>
      </c>
      <c r="AC12" s="167">
        <f ca="1">INDIRECT( ADDRESS( ROW(), COLUMN(),,, ProjectCashflows!$F$6))</f>
        <v>0</v>
      </c>
      <c r="AD12" s="167">
        <f ca="1">INDIRECT( ADDRESS( ROW(), COLUMN(),,, ProjectCashflows!$F$6))</f>
        <v>200</v>
      </c>
      <c r="AE12" s="167">
        <f ca="1">INDIRECT( ADDRESS( ROW(), COLUMN(),,, ProjectCashflows!$F$6))</f>
        <v>200</v>
      </c>
      <c r="AF12" s="167">
        <f ca="1">INDIRECT( ADDRESS( ROW(), COLUMN(),,, ProjectCashflows!$F$6))</f>
        <v>0</v>
      </c>
      <c r="AG12" s="167">
        <f ca="1">INDIRECT( ADDRESS( ROW(), COLUMN(),,, ProjectCashflows!$F$6))</f>
        <v>0</v>
      </c>
      <c r="AH12" s="167">
        <f ca="1">INDIRECT( ADDRESS( ROW(), COLUMN(),,, ProjectCashflows!$F$6))</f>
        <v>0</v>
      </c>
      <c r="AI12" s="167">
        <f ca="1">INDIRECT( ADDRESS( ROW(), COLUMN(),,, ProjectCashflows!$F$6))</f>
        <v>0</v>
      </c>
      <c r="AJ12" s="167">
        <f ca="1">INDIRECT( ADDRESS( ROW(), COLUMN(),,, ProjectCashflows!$F$6))</f>
        <v>0</v>
      </c>
      <c r="AK12" s="167">
        <f ca="1">INDIRECT( ADDRESS( ROW(), COLUMN(),,, ProjectCashflows!$F$6))</f>
        <v>0</v>
      </c>
      <c r="AL12" s="167">
        <f ca="1">INDIRECT( ADDRESS( ROW(), COLUMN(),,, ProjectCashflows!$F$6))</f>
        <v>0</v>
      </c>
      <c r="AM12" s="167">
        <f ca="1">INDIRECT( ADDRESS( ROW(), COLUMN(),,, ProjectCashflows!$F$6))</f>
        <v>0</v>
      </c>
      <c r="AN12" s="167">
        <f ca="1">INDIRECT( ADDRESS( ROW(), COLUMN(),,, ProjectCashflows!$F$6))</f>
        <v>0</v>
      </c>
      <c r="AO12" s="167">
        <f ca="1">INDIRECT( ADDRESS( ROW(), COLUMN(),,, ProjectCashflows!$F$6))</f>
        <v>0</v>
      </c>
      <c r="AP12" s="167">
        <f ca="1">INDIRECT( ADDRESS( ROW(), COLUMN(),,, ProjectCashflows!$F$6))</f>
        <v>0</v>
      </c>
      <c r="AQ12" s="167">
        <f ca="1">INDIRECT( ADDRESS( ROW(), COLUMN(),,, ProjectCashflows!$F$6))</f>
        <v>0</v>
      </c>
      <c r="AR12" s="167">
        <f ca="1">INDIRECT( ADDRESS( ROW(), COLUMN(),,, ProjectCashflows!$F$6))</f>
        <v>0</v>
      </c>
      <c r="AS12" s="167">
        <f ca="1">INDIRECT( ADDRESS( ROW(), COLUMN(),,, ProjectCashflows!$F$6))</f>
        <v>0</v>
      </c>
      <c r="AT12" s="167">
        <f ca="1">INDIRECT( ADDRESS( ROW(), COLUMN(),,, ProjectCashflows!$F$6))</f>
        <v>0</v>
      </c>
      <c r="AU12" s="167">
        <f ca="1">INDIRECT( ADDRESS( ROW(), COLUMN(),,, ProjectCashflows!$F$6))</f>
        <v>0</v>
      </c>
      <c r="AV12" s="167">
        <f ca="1">INDIRECT( ADDRESS( ROW(), COLUMN(),,, ProjectCashflows!$F$6))</f>
        <v>0</v>
      </c>
      <c r="AW12" s="167">
        <f ca="1">INDIRECT( ADDRESS( ROW(), COLUMN(),,, ProjectCashflows!$F$6))</f>
        <v>0</v>
      </c>
      <c r="AX12" s="167">
        <f ca="1">INDIRECT( ADDRESS( ROW(), COLUMN(),,, ProjectCashflows!$F$6))</f>
        <v>0</v>
      </c>
    </row>
    <row r="13" spans="1:50" ht="15" customHeight="1" x14ac:dyDescent="0.25">
      <c r="A13" s="106"/>
      <c r="B13" s="168"/>
      <c r="C13" s="108"/>
      <c r="D13" s="169"/>
      <c r="E13" s="73" t="str">
        <f>Translate!E$714</f>
        <v>Replacement capital costs</v>
      </c>
      <c r="F13" s="56"/>
      <c r="G13" s="73" t="str">
        <f xml:space="preserve"> Inputs!F$52</f>
        <v>US$ mn 2021</v>
      </c>
      <c r="H13" s="13"/>
      <c r="I13" s="98">
        <f t="shared" ca="1" si="0"/>
        <v>0</v>
      </c>
      <c r="J13" s="52"/>
      <c r="K13" s="167">
        <f ca="1">INDIRECT( ADDRESS( ROW(), COLUMN(),,, ProjectCashflows!$F$6))</f>
        <v>0</v>
      </c>
      <c r="L13" s="167">
        <f ca="1">INDIRECT( ADDRESS( ROW(), COLUMN(),,, ProjectCashflows!$F$6))</f>
        <v>0</v>
      </c>
      <c r="M13" s="167">
        <f ca="1">INDIRECT( ADDRESS( ROW(), COLUMN(),,, ProjectCashflows!$F$6))</f>
        <v>0</v>
      </c>
      <c r="N13" s="167">
        <f ca="1">INDIRECT( ADDRESS( ROW(), COLUMN(),,, ProjectCashflows!$F$6))</f>
        <v>0</v>
      </c>
      <c r="O13" s="167">
        <f ca="1">INDIRECT( ADDRESS( ROW(), COLUMN(),,, ProjectCashflows!$F$6))</f>
        <v>0</v>
      </c>
      <c r="P13" s="167">
        <f ca="1">INDIRECT( ADDRESS( ROW(), COLUMN(),,, ProjectCashflows!$F$6))</f>
        <v>0</v>
      </c>
      <c r="Q13" s="167">
        <f ca="1">INDIRECT( ADDRESS( ROW(), COLUMN(),,, ProjectCashflows!$F$6))</f>
        <v>0</v>
      </c>
      <c r="R13" s="167">
        <f ca="1">INDIRECT( ADDRESS( ROW(), COLUMN(),,, ProjectCashflows!$F$6))</f>
        <v>0</v>
      </c>
      <c r="S13" s="167">
        <f ca="1">INDIRECT( ADDRESS( ROW(), COLUMN(),,, ProjectCashflows!$F$6))</f>
        <v>0</v>
      </c>
      <c r="T13" s="167">
        <f ca="1">INDIRECT( ADDRESS( ROW(), COLUMN(),,, ProjectCashflows!$F$6))</f>
        <v>0</v>
      </c>
      <c r="U13" s="167">
        <f ca="1">INDIRECT( ADDRESS( ROW(), COLUMN(),,, ProjectCashflows!$F$6))</f>
        <v>0</v>
      </c>
      <c r="V13" s="167">
        <f ca="1">INDIRECT( ADDRESS( ROW(), COLUMN(),,, ProjectCashflows!$F$6))</f>
        <v>0</v>
      </c>
      <c r="W13" s="167">
        <f ca="1">INDIRECT( ADDRESS( ROW(), COLUMN(),,, ProjectCashflows!$F$6))</f>
        <v>0</v>
      </c>
      <c r="X13" s="167">
        <f ca="1">INDIRECT( ADDRESS( ROW(), COLUMN(),,, ProjectCashflows!$F$6))</f>
        <v>0</v>
      </c>
      <c r="Y13" s="167">
        <f ca="1">INDIRECT( ADDRESS( ROW(), COLUMN(),,, ProjectCashflows!$F$6))</f>
        <v>0</v>
      </c>
      <c r="Z13" s="167">
        <f ca="1">INDIRECT( ADDRESS( ROW(), COLUMN(),,, ProjectCashflows!$F$6))</f>
        <v>0</v>
      </c>
      <c r="AA13" s="167">
        <f ca="1">INDIRECT( ADDRESS( ROW(), COLUMN(),,, ProjectCashflows!$F$6))</f>
        <v>0</v>
      </c>
      <c r="AB13" s="167">
        <f ca="1">INDIRECT( ADDRESS( ROW(), COLUMN(),,, ProjectCashflows!$F$6))</f>
        <v>0</v>
      </c>
      <c r="AC13" s="167">
        <f ca="1">INDIRECT( ADDRESS( ROW(), COLUMN(),,, ProjectCashflows!$F$6))</f>
        <v>0</v>
      </c>
      <c r="AD13" s="167">
        <f ca="1">INDIRECT( ADDRESS( ROW(), COLUMN(),,, ProjectCashflows!$F$6))</f>
        <v>0</v>
      </c>
      <c r="AE13" s="167">
        <f ca="1">INDIRECT( ADDRESS( ROW(), COLUMN(),,, ProjectCashflows!$F$6))</f>
        <v>0</v>
      </c>
      <c r="AF13" s="167">
        <f ca="1">INDIRECT( ADDRESS( ROW(), COLUMN(),,, ProjectCashflows!$F$6))</f>
        <v>0</v>
      </c>
      <c r="AG13" s="167">
        <f ca="1">INDIRECT( ADDRESS( ROW(), COLUMN(),,, ProjectCashflows!$F$6))</f>
        <v>0</v>
      </c>
      <c r="AH13" s="167">
        <f ca="1">INDIRECT( ADDRESS( ROW(), COLUMN(),,, ProjectCashflows!$F$6))</f>
        <v>0</v>
      </c>
      <c r="AI13" s="167">
        <f ca="1">INDIRECT( ADDRESS( ROW(), COLUMN(),,, ProjectCashflows!$F$6))</f>
        <v>0</v>
      </c>
      <c r="AJ13" s="167">
        <f ca="1">INDIRECT( ADDRESS( ROW(), COLUMN(),,, ProjectCashflows!$F$6))</f>
        <v>0</v>
      </c>
      <c r="AK13" s="167">
        <f ca="1">INDIRECT( ADDRESS( ROW(), COLUMN(),,, ProjectCashflows!$F$6))</f>
        <v>0</v>
      </c>
      <c r="AL13" s="167">
        <f ca="1">INDIRECT( ADDRESS( ROW(), COLUMN(),,, ProjectCashflows!$F$6))</f>
        <v>0</v>
      </c>
      <c r="AM13" s="167">
        <f ca="1">INDIRECT( ADDRESS( ROW(), COLUMN(),,, ProjectCashflows!$F$6))</f>
        <v>0</v>
      </c>
      <c r="AN13" s="167">
        <f ca="1">INDIRECT( ADDRESS( ROW(), COLUMN(),,, ProjectCashflows!$F$6))</f>
        <v>0</v>
      </c>
      <c r="AO13" s="167">
        <f ca="1">INDIRECT( ADDRESS( ROW(), COLUMN(),,, ProjectCashflows!$F$6))</f>
        <v>0</v>
      </c>
      <c r="AP13" s="167">
        <f ca="1">INDIRECT( ADDRESS( ROW(), COLUMN(),,, ProjectCashflows!$F$6))</f>
        <v>0</v>
      </c>
      <c r="AQ13" s="167">
        <f ca="1">INDIRECT( ADDRESS( ROW(), COLUMN(),,, ProjectCashflows!$F$6))</f>
        <v>0</v>
      </c>
      <c r="AR13" s="167">
        <f ca="1">INDIRECT( ADDRESS( ROW(), COLUMN(),,, ProjectCashflows!$F$6))</f>
        <v>0</v>
      </c>
      <c r="AS13" s="167">
        <f ca="1">INDIRECT( ADDRESS( ROW(), COLUMN(),,, ProjectCashflows!$F$6))</f>
        <v>0</v>
      </c>
      <c r="AT13" s="167">
        <f ca="1">INDIRECT( ADDRESS( ROW(), COLUMN(),,, ProjectCashflows!$F$6))</f>
        <v>0</v>
      </c>
      <c r="AU13" s="167">
        <f ca="1">INDIRECT( ADDRESS( ROW(), COLUMN(),,, ProjectCashflows!$F$6))</f>
        <v>0</v>
      </c>
      <c r="AV13" s="167">
        <f ca="1">INDIRECT( ADDRESS( ROW(), COLUMN(),,, ProjectCashflows!$F$6))</f>
        <v>0</v>
      </c>
      <c r="AW13" s="167">
        <f ca="1">INDIRECT( ADDRESS( ROW(), COLUMN(),,, ProjectCashflows!$F$6))</f>
        <v>0</v>
      </c>
      <c r="AX13" s="167">
        <f ca="1">INDIRECT( ADDRESS( ROW(), COLUMN(),,, ProjectCashflows!$F$6))</f>
        <v>0</v>
      </c>
    </row>
    <row r="14" spans="1:50" ht="15" customHeight="1" x14ac:dyDescent="0.25">
      <c r="A14" s="106"/>
      <c r="B14" s="168"/>
      <c r="C14" s="108"/>
      <c r="D14" s="169"/>
      <c r="E14" s="73" t="str">
        <f>Translate!E$715</f>
        <v>Operating costs</v>
      </c>
      <c r="F14" s="56"/>
      <c r="G14" s="73" t="str">
        <f xml:space="preserve"> Inputs!F$52</f>
        <v>US$ mn 2021</v>
      </c>
      <c r="H14" s="13"/>
      <c r="I14" s="98">
        <f t="shared" ca="1" si="0"/>
        <v>4601</v>
      </c>
      <c r="J14" s="52"/>
      <c r="K14" s="167">
        <f ca="1">INDIRECT( ADDRESS( ROW(), COLUMN(),,, ProjectCashflows!$F$6))</f>
        <v>0</v>
      </c>
      <c r="L14" s="167">
        <f ca="1">INDIRECT( ADDRESS( ROW(), COLUMN(),,, ProjectCashflows!$F$6))</f>
        <v>0</v>
      </c>
      <c r="M14" s="167">
        <f ca="1">INDIRECT( ADDRESS( ROW(), COLUMN(),,, ProjectCashflows!$F$6))</f>
        <v>0</v>
      </c>
      <c r="N14" s="167">
        <f ca="1">INDIRECT( ADDRESS( ROW(), COLUMN(),,, ProjectCashflows!$F$6))</f>
        <v>0</v>
      </c>
      <c r="O14" s="167">
        <f ca="1">INDIRECT( ADDRESS( ROW(), COLUMN(),,, ProjectCashflows!$F$6))</f>
        <v>50</v>
      </c>
      <c r="P14" s="167">
        <f ca="1">INDIRECT( ADDRESS( ROW(), COLUMN(),,, ProjectCashflows!$F$6))</f>
        <v>180</v>
      </c>
      <c r="Q14" s="167">
        <f ca="1">INDIRECT( ADDRESS( ROW(), COLUMN(),,, ProjectCashflows!$F$6))</f>
        <v>260</v>
      </c>
      <c r="R14" s="167">
        <f ca="1">INDIRECT( ADDRESS( ROW(), COLUMN(),,, ProjectCashflows!$F$6))</f>
        <v>260</v>
      </c>
      <c r="S14" s="167">
        <f ca="1">INDIRECT( ADDRESS( ROW(), COLUMN(),,, ProjectCashflows!$F$6))</f>
        <v>260</v>
      </c>
      <c r="T14" s="167">
        <f ca="1">INDIRECT( ADDRESS( ROW(), COLUMN(),,, ProjectCashflows!$F$6))</f>
        <v>260</v>
      </c>
      <c r="U14" s="167">
        <f ca="1">INDIRECT( ADDRESS( ROW(), COLUMN(),,, ProjectCashflows!$F$6))</f>
        <v>260</v>
      </c>
      <c r="V14" s="167">
        <f ca="1">INDIRECT( ADDRESS( ROW(), COLUMN(),,, ProjectCashflows!$F$6))</f>
        <v>260</v>
      </c>
      <c r="W14" s="167">
        <f ca="1">INDIRECT( ADDRESS( ROW(), COLUMN(),,, ProjectCashflows!$F$6))</f>
        <v>260</v>
      </c>
      <c r="X14" s="167">
        <f ca="1">INDIRECT( ADDRESS( ROW(), COLUMN(),,, ProjectCashflows!$F$6))</f>
        <v>260</v>
      </c>
      <c r="Y14" s="167">
        <f ca="1">INDIRECT( ADDRESS( ROW(), COLUMN(),,, ProjectCashflows!$F$6))</f>
        <v>260</v>
      </c>
      <c r="Z14" s="167">
        <f ca="1">INDIRECT( ADDRESS( ROW(), COLUMN(),,, ProjectCashflows!$F$6))</f>
        <v>260</v>
      </c>
      <c r="AA14" s="167">
        <f ca="1">INDIRECT( ADDRESS( ROW(), COLUMN(),,, ProjectCashflows!$F$6))</f>
        <v>260</v>
      </c>
      <c r="AB14" s="167">
        <f ca="1">INDIRECT( ADDRESS( ROW(), COLUMN(),,, ProjectCashflows!$F$6))</f>
        <v>260</v>
      </c>
      <c r="AC14" s="167">
        <f ca="1">INDIRECT( ADDRESS( ROW(), COLUMN(),,, ProjectCashflows!$F$6))</f>
        <v>150</v>
      </c>
      <c r="AD14" s="167">
        <f ca="1">INDIRECT( ADDRESS( ROW(), COLUMN(),,, ProjectCashflows!$F$6))</f>
        <v>140</v>
      </c>
      <c r="AE14" s="167">
        <f ca="1">INDIRECT( ADDRESS( ROW(), COLUMN(),,, ProjectCashflows!$F$6))</f>
        <v>120</v>
      </c>
      <c r="AF14" s="167">
        <f ca="1">INDIRECT( ADDRESS( ROW(), COLUMN(),,, ProjectCashflows!$F$6))</f>
        <v>111</v>
      </c>
      <c r="AG14" s="167">
        <f ca="1">INDIRECT( ADDRESS( ROW(), COLUMN(),,, ProjectCashflows!$F$6))</f>
        <v>100</v>
      </c>
      <c r="AH14" s="167">
        <f ca="1">INDIRECT( ADDRESS( ROW(), COLUMN(),,, ProjectCashflows!$F$6))</f>
        <v>95</v>
      </c>
      <c r="AI14" s="167">
        <f ca="1">INDIRECT( ADDRESS( ROW(), COLUMN(),,, ProjectCashflows!$F$6))</f>
        <v>90</v>
      </c>
      <c r="AJ14" s="167">
        <f ca="1">INDIRECT( ADDRESS( ROW(), COLUMN(),,, ProjectCashflows!$F$6))</f>
        <v>85</v>
      </c>
      <c r="AK14" s="167">
        <f ca="1">INDIRECT( ADDRESS( ROW(), COLUMN(),,, ProjectCashflows!$F$6))</f>
        <v>80</v>
      </c>
      <c r="AL14" s="167">
        <f ca="1">INDIRECT( ADDRESS( ROW(), COLUMN(),,, ProjectCashflows!$F$6))</f>
        <v>75</v>
      </c>
      <c r="AM14" s="167">
        <f ca="1">INDIRECT( ADDRESS( ROW(), COLUMN(),,, ProjectCashflows!$F$6))</f>
        <v>70</v>
      </c>
      <c r="AN14" s="167">
        <f ca="1">INDIRECT( ADDRESS( ROW(), COLUMN(),,, ProjectCashflows!$F$6))</f>
        <v>70</v>
      </c>
      <c r="AO14" s="167">
        <f ca="1">INDIRECT( ADDRESS( ROW(), COLUMN(),,, ProjectCashflows!$F$6))</f>
        <v>65</v>
      </c>
      <c r="AP14" s="167">
        <f ca="1">INDIRECT( ADDRESS( ROW(), COLUMN(),,, ProjectCashflows!$F$6))</f>
        <v>0</v>
      </c>
      <c r="AQ14" s="167">
        <f ca="1">INDIRECT( ADDRESS( ROW(), COLUMN(),,, ProjectCashflows!$F$6))</f>
        <v>0</v>
      </c>
      <c r="AR14" s="167">
        <f ca="1">INDIRECT( ADDRESS( ROW(), COLUMN(),,, ProjectCashflows!$F$6))</f>
        <v>0</v>
      </c>
      <c r="AS14" s="167">
        <f ca="1">INDIRECT( ADDRESS( ROW(), COLUMN(),,, ProjectCashflows!$F$6))</f>
        <v>0</v>
      </c>
      <c r="AT14" s="167">
        <f ca="1">INDIRECT( ADDRESS( ROW(), COLUMN(),,, ProjectCashflows!$F$6))</f>
        <v>0</v>
      </c>
      <c r="AU14" s="167">
        <f ca="1">INDIRECT( ADDRESS( ROW(), COLUMN(),,, ProjectCashflows!$F$6))</f>
        <v>0</v>
      </c>
      <c r="AV14" s="167">
        <f ca="1">INDIRECT( ADDRESS( ROW(), COLUMN(),,, ProjectCashflows!$F$6))</f>
        <v>0</v>
      </c>
      <c r="AW14" s="167">
        <f ca="1">INDIRECT( ADDRESS( ROW(), COLUMN(),,, ProjectCashflows!$F$6))</f>
        <v>0</v>
      </c>
      <c r="AX14" s="167">
        <f ca="1">INDIRECT( ADDRESS( ROW(), COLUMN(),,, ProjectCashflows!$F$6))</f>
        <v>0</v>
      </c>
    </row>
    <row r="15" spans="1:50" ht="15" customHeight="1" x14ac:dyDescent="0.25">
      <c r="A15" s="106"/>
      <c r="B15" s="168"/>
      <c r="C15" s="108"/>
      <c r="D15" s="169"/>
      <c r="E15" s="73" t="str">
        <f>Translate!E$716</f>
        <v>Decommissioning costs</v>
      </c>
      <c r="F15" s="56"/>
      <c r="G15" s="73" t="str">
        <f xml:space="preserve"> Inputs!F$52</f>
        <v>US$ mn 2021</v>
      </c>
      <c r="H15" s="13"/>
      <c r="I15" s="98">
        <f t="shared" ca="1" si="0"/>
        <v>750</v>
      </c>
      <c r="J15" s="52"/>
      <c r="K15" s="167">
        <f ca="1">INDIRECT( ADDRESS( ROW(), COLUMN(),,, ProjectCashflows!$F$6))</f>
        <v>0</v>
      </c>
      <c r="L15" s="167">
        <f ca="1">INDIRECT( ADDRESS( ROW(), COLUMN(),,, ProjectCashflows!$F$6))</f>
        <v>0</v>
      </c>
      <c r="M15" s="167">
        <f ca="1">INDIRECT( ADDRESS( ROW(), COLUMN(),,, ProjectCashflows!$F$6))</f>
        <v>0</v>
      </c>
      <c r="N15" s="167">
        <f ca="1">INDIRECT( ADDRESS( ROW(), COLUMN(),,, ProjectCashflows!$F$6))</f>
        <v>0</v>
      </c>
      <c r="O15" s="167">
        <f ca="1">INDIRECT( ADDRESS( ROW(), COLUMN(),,, ProjectCashflows!$F$6))</f>
        <v>0</v>
      </c>
      <c r="P15" s="167">
        <f ca="1">INDIRECT( ADDRESS( ROW(), COLUMN(),,, ProjectCashflows!$F$6))</f>
        <v>0</v>
      </c>
      <c r="Q15" s="167">
        <f ca="1">INDIRECT( ADDRESS( ROW(), COLUMN(),,, ProjectCashflows!$F$6))</f>
        <v>0</v>
      </c>
      <c r="R15" s="167">
        <f ca="1">INDIRECT( ADDRESS( ROW(), COLUMN(),,, ProjectCashflows!$F$6))</f>
        <v>0</v>
      </c>
      <c r="S15" s="167">
        <f ca="1">INDIRECT( ADDRESS( ROW(), COLUMN(),,, ProjectCashflows!$F$6))</f>
        <v>0</v>
      </c>
      <c r="T15" s="167">
        <f ca="1">INDIRECT( ADDRESS( ROW(), COLUMN(),,, ProjectCashflows!$F$6))</f>
        <v>0</v>
      </c>
      <c r="U15" s="167">
        <f ca="1">INDIRECT( ADDRESS( ROW(), COLUMN(),,, ProjectCashflows!$F$6))</f>
        <v>0</v>
      </c>
      <c r="V15" s="167">
        <f ca="1">INDIRECT( ADDRESS( ROW(), COLUMN(),,, ProjectCashflows!$F$6))</f>
        <v>0</v>
      </c>
      <c r="W15" s="167">
        <f ca="1">INDIRECT( ADDRESS( ROW(), COLUMN(),,, ProjectCashflows!$F$6))</f>
        <v>0</v>
      </c>
      <c r="X15" s="167">
        <f ca="1">INDIRECT( ADDRESS( ROW(), COLUMN(),,, ProjectCashflows!$F$6))</f>
        <v>0</v>
      </c>
      <c r="Y15" s="167">
        <f ca="1">INDIRECT( ADDRESS( ROW(), COLUMN(),,, ProjectCashflows!$F$6))</f>
        <v>0</v>
      </c>
      <c r="Z15" s="167">
        <f ca="1">INDIRECT( ADDRESS( ROW(), COLUMN(),,, ProjectCashflows!$F$6))</f>
        <v>0</v>
      </c>
      <c r="AA15" s="167">
        <f ca="1">INDIRECT( ADDRESS( ROW(), COLUMN(),,, ProjectCashflows!$F$6))</f>
        <v>0</v>
      </c>
      <c r="AB15" s="167">
        <f ca="1">INDIRECT( ADDRESS( ROW(), COLUMN(),,, ProjectCashflows!$F$6))</f>
        <v>0</v>
      </c>
      <c r="AC15" s="167">
        <f ca="1">INDIRECT( ADDRESS( ROW(), COLUMN(),,, ProjectCashflows!$F$6))</f>
        <v>0</v>
      </c>
      <c r="AD15" s="167">
        <f ca="1">INDIRECT( ADDRESS( ROW(), COLUMN(),,, ProjectCashflows!$F$6))</f>
        <v>0</v>
      </c>
      <c r="AE15" s="167">
        <f ca="1">INDIRECT( ADDRESS( ROW(), COLUMN(),,, ProjectCashflows!$F$6))</f>
        <v>0</v>
      </c>
      <c r="AF15" s="167">
        <f ca="1">INDIRECT( ADDRESS( ROW(), COLUMN(),,, ProjectCashflows!$F$6))</f>
        <v>0</v>
      </c>
      <c r="AG15" s="167">
        <f ca="1">INDIRECT( ADDRESS( ROW(), COLUMN(),,, ProjectCashflows!$F$6))</f>
        <v>0</v>
      </c>
      <c r="AH15" s="167">
        <f ca="1">INDIRECT( ADDRESS( ROW(), COLUMN(),,, ProjectCashflows!$F$6))</f>
        <v>0</v>
      </c>
      <c r="AI15" s="167">
        <f ca="1">INDIRECT( ADDRESS( ROW(), COLUMN(),,, ProjectCashflows!$F$6))</f>
        <v>0</v>
      </c>
      <c r="AJ15" s="167">
        <f ca="1">INDIRECT( ADDRESS( ROW(), COLUMN(),,, ProjectCashflows!$F$6))</f>
        <v>0</v>
      </c>
      <c r="AK15" s="167">
        <f ca="1">INDIRECT( ADDRESS( ROW(), COLUMN(),,, ProjectCashflows!$F$6))</f>
        <v>0</v>
      </c>
      <c r="AL15" s="167">
        <f ca="1">INDIRECT( ADDRESS( ROW(), COLUMN(),,, ProjectCashflows!$F$6))</f>
        <v>250</v>
      </c>
      <c r="AM15" s="167">
        <f ca="1">INDIRECT( ADDRESS( ROW(), COLUMN(),,, ProjectCashflows!$F$6))</f>
        <v>0</v>
      </c>
      <c r="AN15" s="167">
        <f ca="1">INDIRECT( ADDRESS( ROW(), COLUMN(),,, ProjectCashflows!$F$6))</f>
        <v>0</v>
      </c>
      <c r="AO15" s="167">
        <f ca="1">INDIRECT( ADDRESS( ROW(), COLUMN(),,, ProjectCashflows!$F$6))</f>
        <v>0</v>
      </c>
      <c r="AP15" s="167">
        <f ca="1">INDIRECT( ADDRESS( ROW(), COLUMN(),,, ProjectCashflows!$F$6))</f>
        <v>250</v>
      </c>
      <c r="AQ15" s="167">
        <f ca="1">INDIRECT( ADDRESS( ROW(), COLUMN(),,, ProjectCashflows!$F$6))</f>
        <v>250</v>
      </c>
      <c r="AR15" s="167">
        <f ca="1">INDIRECT( ADDRESS( ROW(), COLUMN(),,, ProjectCashflows!$F$6))</f>
        <v>0</v>
      </c>
      <c r="AS15" s="167">
        <f ca="1">INDIRECT( ADDRESS( ROW(), COLUMN(),,, ProjectCashflows!$F$6))</f>
        <v>0</v>
      </c>
      <c r="AT15" s="167">
        <f ca="1">INDIRECT( ADDRESS( ROW(), COLUMN(),,, ProjectCashflows!$F$6))</f>
        <v>0</v>
      </c>
      <c r="AU15" s="167">
        <f ca="1">INDIRECT( ADDRESS( ROW(), COLUMN(),,, ProjectCashflows!$F$6))</f>
        <v>0</v>
      </c>
      <c r="AV15" s="167">
        <f ca="1">INDIRECT( ADDRESS( ROW(), COLUMN(),,, ProjectCashflows!$F$6))</f>
        <v>0</v>
      </c>
      <c r="AW15" s="167">
        <f ca="1">INDIRECT( ADDRESS( ROW(), COLUMN(),,, ProjectCashflows!$F$6))</f>
        <v>0</v>
      </c>
      <c r="AX15" s="167">
        <f ca="1">INDIRECT( ADDRESS( ROW(), COLUMN(),,, ProjectCashflows!$F$6))</f>
        <v>0</v>
      </c>
    </row>
    <row r="16" spans="1:50" ht="15" customHeight="1" x14ac:dyDescent="0.25">
      <c r="A16" s="106"/>
      <c r="B16" s="168"/>
      <c r="C16" s="108"/>
      <c r="D16" s="169"/>
      <c r="E16" s="13"/>
      <c r="F16" s="56"/>
      <c r="G16" s="13"/>
      <c r="H16" s="13"/>
      <c r="I16" s="98"/>
      <c r="J16" s="52"/>
    </row>
    <row r="17" spans="1:50" ht="15" customHeight="1" x14ac:dyDescent="0.25">
      <c r="A17" s="106"/>
      <c r="B17" s="89"/>
      <c r="C17" s="88"/>
      <c r="D17" s="162"/>
      <c r="E17" s="142" t="str">
        <f xml:space="preserve"> Inputs!E$79</f>
        <v>Production days per year</v>
      </c>
      <c r="F17" s="142">
        <f xml:space="preserve"> Inputs!F$79</f>
        <v>365</v>
      </c>
      <c r="G17" s="142" t="str">
        <f xml:space="preserve"> Inputs!G$79</f>
        <v>Days</v>
      </c>
      <c r="H17" s="56"/>
      <c r="I17" s="56"/>
      <c r="J17" s="56"/>
      <c r="K17" s="52"/>
      <c r="L17" s="52"/>
      <c r="M17" s="52"/>
      <c r="N17" s="52"/>
      <c r="O17" s="52"/>
      <c r="P17" s="52"/>
      <c r="Q17" s="52"/>
      <c r="R17" s="52"/>
      <c r="S17" s="52"/>
      <c r="T17" s="52"/>
      <c r="U17" s="52"/>
      <c r="V17" s="52"/>
      <c r="W17" s="52"/>
      <c r="X17" s="52"/>
      <c r="Y17" s="52"/>
      <c r="Z17" s="52"/>
      <c r="AA17" s="52"/>
      <c r="AB17" s="52"/>
      <c r="AC17" s="52"/>
      <c r="AD17" s="52"/>
      <c r="AE17" s="52"/>
      <c r="AF17" s="52"/>
      <c r="AG17" s="52"/>
      <c r="AH17" s="52"/>
      <c r="AI17" s="52"/>
      <c r="AJ17" s="52"/>
      <c r="AK17" s="52"/>
      <c r="AL17" s="52"/>
      <c r="AM17" s="52"/>
      <c r="AN17" s="52"/>
      <c r="AO17" s="52"/>
      <c r="AP17" s="52"/>
      <c r="AQ17" s="52"/>
      <c r="AR17" s="52"/>
      <c r="AS17" s="52"/>
      <c r="AT17" s="52"/>
      <c r="AU17" s="52"/>
      <c r="AV17" s="52"/>
      <c r="AW17" s="52"/>
      <c r="AX17" s="52"/>
    </row>
    <row r="18" spans="1:50" ht="15" customHeight="1" x14ac:dyDescent="0.25">
      <c r="A18" s="106"/>
      <c r="B18" s="89"/>
      <c r="C18" s="88"/>
      <c r="D18" s="162"/>
      <c r="E18" s="140" t="str">
        <f xml:space="preserve"> Inputs!E$81</f>
        <v>one thousand</v>
      </c>
      <c r="F18" s="140">
        <f xml:space="preserve"> Inputs!F$81</f>
        <v>1000</v>
      </c>
      <c r="G18" s="140" t="str">
        <f xml:space="preserve"> Inputs!G$81</f>
        <v>Constant</v>
      </c>
      <c r="H18" s="56"/>
      <c r="I18" s="56"/>
      <c r="J18" s="56"/>
      <c r="K18" s="52"/>
      <c r="L18" s="52"/>
      <c r="M18" s="52"/>
      <c r="N18" s="52"/>
      <c r="O18" s="52"/>
      <c r="P18" s="52"/>
      <c r="Q18" s="52"/>
      <c r="R18" s="52"/>
      <c r="S18" s="52"/>
      <c r="T18" s="52"/>
      <c r="U18" s="52"/>
      <c r="V18" s="52"/>
      <c r="W18" s="52"/>
      <c r="X18" s="52"/>
      <c r="Y18" s="52"/>
      <c r="Z18" s="52"/>
      <c r="AA18" s="52"/>
      <c r="AB18" s="52"/>
      <c r="AC18" s="52"/>
      <c r="AD18" s="52"/>
      <c r="AE18" s="52"/>
      <c r="AF18" s="52"/>
      <c r="AG18" s="52"/>
      <c r="AH18" s="52"/>
      <c r="AI18" s="52"/>
      <c r="AJ18" s="52"/>
      <c r="AK18" s="52"/>
      <c r="AL18" s="52"/>
      <c r="AM18" s="52"/>
      <c r="AN18" s="52"/>
      <c r="AO18" s="52"/>
      <c r="AP18" s="52"/>
      <c r="AQ18" s="52"/>
      <c r="AR18" s="52"/>
      <c r="AS18" s="52"/>
      <c r="AT18" s="52"/>
      <c r="AU18" s="52"/>
      <c r="AV18" s="52"/>
      <c r="AW18" s="52"/>
      <c r="AX18" s="52"/>
    </row>
    <row r="19" spans="1:50" ht="15" customHeight="1" x14ac:dyDescent="0.25">
      <c r="A19" s="106"/>
      <c r="B19" s="89"/>
      <c r="C19" s="88"/>
      <c r="D19" s="162"/>
      <c r="E19" s="142"/>
      <c r="F19" s="142"/>
      <c r="G19" s="142"/>
      <c r="H19" s="56"/>
      <c r="I19" s="56"/>
      <c r="J19" s="56"/>
      <c r="K19" s="52"/>
      <c r="L19" s="52"/>
      <c r="M19" s="52"/>
      <c r="N19" s="52"/>
      <c r="O19" s="52"/>
      <c r="P19" s="52"/>
      <c r="Q19" s="52"/>
      <c r="R19" s="52"/>
      <c r="S19" s="52"/>
      <c r="T19" s="52"/>
      <c r="U19" s="52"/>
      <c r="V19" s="52"/>
      <c r="W19" s="52"/>
      <c r="X19" s="52"/>
      <c r="Y19" s="52"/>
      <c r="Z19" s="52"/>
      <c r="AA19" s="52"/>
      <c r="AB19" s="52"/>
      <c r="AC19" s="52"/>
      <c r="AD19" s="52"/>
      <c r="AE19" s="52"/>
      <c r="AF19" s="52"/>
      <c r="AG19" s="52"/>
      <c r="AH19" s="52"/>
      <c r="AI19" s="52"/>
      <c r="AJ19" s="52"/>
      <c r="AK19" s="52"/>
      <c r="AL19" s="52"/>
      <c r="AM19" s="52"/>
      <c r="AN19" s="52"/>
      <c r="AO19" s="52"/>
      <c r="AP19" s="52"/>
      <c r="AQ19" s="52"/>
      <c r="AR19" s="52"/>
      <c r="AS19" s="52"/>
      <c r="AT19" s="52"/>
      <c r="AU19" s="52"/>
      <c r="AV19" s="52"/>
      <c r="AW19" s="52"/>
      <c r="AX19" s="52"/>
    </row>
    <row r="20" spans="1:50" ht="15" customHeight="1" x14ac:dyDescent="0.25">
      <c r="A20" s="129"/>
      <c r="B20" s="164"/>
      <c r="C20" s="119"/>
      <c r="D20" s="165"/>
      <c r="E20" s="13" t="str">
        <f xml:space="preserve"> Translate!E$723</f>
        <v>Oil production Volume</v>
      </c>
      <c r="F20" s="56"/>
      <c r="G20" s="13" t="str">
        <f xml:space="preserve"> Translate!E$88</f>
        <v>Mn Bbl</v>
      </c>
      <c r="H20" s="13"/>
      <c r="I20" s="98">
        <f ca="1" xml:space="preserve"> SUM(K20:AX20)</f>
        <v>801.87316114953705</v>
      </c>
      <c r="J20" s="56"/>
      <c r="K20" s="12">
        <f t="shared" ref="K20:AX20" ca="1" si="1" xml:space="preserve"> K9 * $F17 / $F18</f>
        <v>0</v>
      </c>
      <c r="L20" s="12">
        <f t="shared" ca="1" si="1"/>
        <v>0</v>
      </c>
      <c r="M20" s="12">
        <f t="shared" ca="1" si="1"/>
        <v>0</v>
      </c>
      <c r="N20" s="12">
        <f t="shared" ca="1" si="1"/>
        <v>0</v>
      </c>
      <c r="O20" s="12">
        <f t="shared" ca="1" si="1"/>
        <v>3.4846974211692809</v>
      </c>
      <c r="P20" s="12">
        <f t="shared" ca="1" si="1"/>
        <v>27.375</v>
      </c>
      <c r="Q20" s="12">
        <f t="shared" ca="1" si="1"/>
        <v>54.75</v>
      </c>
      <c r="R20" s="12">
        <f t="shared" ca="1" si="1"/>
        <v>54.75</v>
      </c>
      <c r="S20" s="12">
        <f t="shared" ca="1" si="1"/>
        <v>54.75</v>
      </c>
      <c r="T20" s="12">
        <f t="shared" ca="1" si="1"/>
        <v>54.75</v>
      </c>
      <c r="U20" s="12">
        <f t="shared" ca="1" si="1"/>
        <v>54.75</v>
      </c>
      <c r="V20" s="12">
        <f t="shared" ca="1" si="1"/>
        <v>54.75</v>
      </c>
      <c r="W20" s="12">
        <f t="shared" ca="1" si="1"/>
        <v>54.75</v>
      </c>
      <c r="X20" s="12">
        <f t="shared" ca="1" si="1"/>
        <v>54.75</v>
      </c>
      <c r="Y20" s="12">
        <f t="shared" ca="1" si="1"/>
        <v>54.75</v>
      </c>
      <c r="Z20" s="12">
        <f t="shared" ca="1" si="1"/>
        <v>54.75</v>
      </c>
      <c r="AA20" s="12">
        <f t="shared" ca="1" si="1"/>
        <v>44.347500000000011</v>
      </c>
      <c r="AB20" s="12">
        <f t="shared" ca="1" si="1"/>
        <v>35.921475000000008</v>
      </c>
      <c r="AC20" s="12">
        <f t="shared" ca="1" si="1"/>
        <v>29.096394750000009</v>
      </c>
      <c r="AD20" s="12">
        <f t="shared" ca="1" si="1"/>
        <v>23.568079747500011</v>
      </c>
      <c r="AE20" s="12">
        <f t="shared" ca="1" si="1"/>
        <v>19.09014459547501</v>
      </c>
      <c r="AF20" s="12">
        <f t="shared" ca="1" si="1"/>
        <v>15.463017122334758</v>
      </c>
      <c r="AG20" s="12">
        <f t="shared" ca="1" si="1"/>
        <v>12.525043869091157</v>
      </c>
      <c r="AH20" s="12">
        <f t="shared" ca="1" si="1"/>
        <v>10.145285533963838</v>
      </c>
      <c r="AI20" s="12">
        <f t="shared" ca="1" si="1"/>
        <v>8.2176812825107088</v>
      </c>
      <c r="AJ20" s="12">
        <f t="shared" ca="1" si="1"/>
        <v>6.6563218388336738</v>
      </c>
      <c r="AK20" s="12">
        <f t="shared" ca="1" si="1"/>
        <v>5.3916206894552765</v>
      </c>
      <c r="AL20" s="12">
        <f t="shared" ca="1" si="1"/>
        <v>4.3672127584587734</v>
      </c>
      <c r="AM20" s="12">
        <f t="shared" ca="1" si="1"/>
        <v>3.5374423343516064</v>
      </c>
      <c r="AN20" s="12">
        <f t="shared" ca="1" si="1"/>
        <v>2.8653282908248014</v>
      </c>
      <c r="AO20" s="12">
        <f t="shared" ca="1" si="1"/>
        <v>2.3209159155680896</v>
      </c>
      <c r="AP20" s="12">
        <f t="shared" ca="1" si="1"/>
        <v>0</v>
      </c>
      <c r="AQ20" s="12">
        <f t="shared" ca="1" si="1"/>
        <v>0</v>
      </c>
      <c r="AR20" s="12">
        <f t="shared" ca="1" si="1"/>
        <v>0</v>
      </c>
      <c r="AS20" s="12">
        <f t="shared" ca="1" si="1"/>
        <v>0</v>
      </c>
      <c r="AT20" s="12">
        <f t="shared" ca="1" si="1"/>
        <v>0</v>
      </c>
      <c r="AU20" s="12">
        <f t="shared" ca="1" si="1"/>
        <v>0</v>
      </c>
      <c r="AV20" s="12">
        <f t="shared" ca="1" si="1"/>
        <v>0</v>
      </c>
      <c r="AW20" s="12">
        <f t="shared" ca="1" si="1"/>
        <v>0</v>
      </c>
      <c r="AX20" s="12">
        <f t="shared" ca="1" si="1"/>
        <v>0</v>
      </c>
    </row>
    <row r="21" spans="1:50" ht="15" customHeight="1" x14ac:dyDescent="0.25">
      <c r="A21" s="129"/>
      <c r="B21" s="164"/>
      <c r="C21" s="119"/>
      <c r="D21" s="165"/>
      <c r="E21" s="13" t="str">
        <f xml:space="preserve"> Translate!E$601 &amp; ": " &amp; E$20</f>
        <v>Total: Oil production Volume</v>
      </c>
      <c r="F21" s="56">
        <f ca="1" xml:space="preserve"> SUM(K20:AX20)</f>
        <v>801.87316114953705</v>
      </c>
      <c r="G21" s="13" t="str">
        <f xml:space="preserve"> G20</f>
        <v>Mn Bbl</v>
      </c>
      <c r="H21" s="13"/>
      <c r="I21" s="98"/>
      <c r="J21" s="56"/>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row>
    <row r="22" spans="1:50" ht="15" customHeight="1" x14ac:dyDescent="0.25">
      <c r="A22" s="89"/>
      <c r="B22" s="89"/>
      <c r="C22" s="89"/>
      <c r="D22" s="89"/>
      <c r="E22" s="90"/>
      <c r="F22"/>
      <c r="G22" s="90"/>
      <c r="H22" s="89"/>
      <c r="I22" s="89"/>
      <c r="J22" s="89"/>
      <c r="K22" s="89"/>
      <c r="L22" s="89"/>
      <c r="M22" s="89"/>
      <c r="N22" s="89"/>
      <c r="O22" s="89"/>
      <c r="P22" s="89"/>
      <c r="Q22" s="89"/>
      <c r="R22" s="89"/>
      <c r="S22" s="89"/>
      <c r="T22" s="89"/>
      <c r="U22" s="89"/>
      <c r="V22" s="89"/>
      <c r="W22" s="89"/>
      <c r="X22" s="89"/>
      <c r="Y22" s="89"/>
      <c r="Z22" s="89"/>
      <c r="AA22" s="89"/>
      <c r="AB22" s="89"/>
      <c r="AC22" s="89"/>
      <c r="AD22" s="89"/>
      <c r="AE22" s="89"/>
      <c r="AF22" s="89"/>
      <c r="AG22" s="89"/>
      <c r="AH22" s="89"/>
      <c r="AI22" s="89"/>
      <c r="AJ22" s="89"/>
      <c r="AK22" s="89"/>
      <c r="AL22" s="89"/>
      <c r="AM22" s="89"/>
      <c r="AN22" s="89"/>
      <c r="AO22" s="89"/>
      <c r="AP22" s="89"/>
      <c r="AQ22" s="89"/>
      <c r="AR22" s="89"/>
      <c r="AS22" s="89"/>
      <c r="AT22" s="89"/>
      <c r="AU22" s="89"/>
      <c r="AV22" s="89"/>
      <c r="AW22" s="89"/>
      <c r="AX22" s="89"/>
    </row>
    <row r="23" spans="1:50" ht="15" customHeight="1" x14ac:dyDescent="0.25">
      <c r="A23" s="89"/>
      <c r="B23" s="87" t="str">
        <f>Translate!$E$679</f>
        <v>Check project data in correct row</v>
      </c>
      <c r="C23" s="89"/>
      <c r="D23" s="89"/>
      <c r="E23" s="90"/>
      <c r="F23"/>
      <c r="G23" s="90"/>
      <c r="H23" s="89"/>
      <c r="I23" s="89"/>
      <c r="J23" s="89"/>
      <c r="K23" s="89"/>
      <c r="L23" s="89"/>
      <c r="M23" s="89"/>
      <c r="N23" s="89"/>
      <c r="O23" s="89"/>
      <c r="P23" s="89"/>
      <c r="Q23" s="89"/>
      <c r="R23" s="89"/>
      <c r="S23" s="89"/>
      <c r="T23" s="89"/>
      <c r="U23" s="89"/>
      <c r="V23" s="89"/>
      <c r="W23" s="89"/>
      <c r="X23" s="89"/>
      <c r="Y23" s="89"/>
      <c r="Z23" s="89"/>
      <c r="AA23" s="89"/>
      <c r="AB23" s="89"/>
      <c r="AC23" s="89"/>
      <c r="AD23" s="89"/>
      <c r="AE23" s="89"/>
      <c r="AF23" s="89"/>
      <c r="AG23" s="89"/>
      <c r="AH23" s="89"/>
      <c r="AI23" s="89"/>
      <c r="AJ23" s="89"/>
      <c r="AK23" s="89"/>
      <c r="AL23" s="89"/>
      <c r="AM23" s="89"/>
      <c r="AN23" s="89"/>
      <c r="AO23" s="89"/>
      <c r="AP23" s="89"/>
      <c r="AQ23" s="89"/>
      <c r="AR23" s="89"/>
      <c r="AS23" s="89"/>
      <c r="AT23" s="89"/>
      <c r="AU23" s="89"/>
      <c r="AV23" s="89"/>
      <c r="AW23" s="89"/>
      <c r="AX23" s="89"/>
    </row>
    <row r="24" spans="1:50" ht="15" customHeight="1" x14ac:dyDescent="0.25">
      <c r="A24" s="89"/>
      <c r="B24" s="89"/>
      <c r="C24" s="89"/>
      <c r="D24" s="89"/>
      <c r="E24" s="139" t="str">
        <f xml:space="preserve"> Inputs!E$15</f>
        <v>First row of project data</v>
      </c>
      <c r="F24" s="139">
        <f xml:space="preserve"> Inputs!F$15</f>
        <v>9</v>
      </c>
      <c r="G24" s="139" t="str">
        <f xml:space="preserve"> Inputs!G$15</f>
        <v>row</v>
      </c>
      <c r="H24" s="89"/>
      <c r="I24" s="89"/>
      <c r="J24" s="89"/>
      <c r="K24" s="89"/>
      <c r="L24" s="89"/>
      <c r="M24" s="89"/>
      <c r="N24" s="89"/>
      <c r="O24" s="89"/>
      <c r="P24" s="89"/>
      <c r="Q24" s="89"/>
      <c r="R24" s="89"/>
      <c r="S24" s="89"/>
      <c r="T24" s="89"/>
      <c r="U24" s="89"/>
      <c r="V24" s="89"/>
      <c r="W24" s="89"/>
      <c r="X24" s="89"/>
      <c r="Y24" s="89"/>
      <c r="Z24" s="89"/>
      <c r="AA24" s="89"/>
      <c r="AB24" s="89"/>
      <c r="AC24" s="89"/>
      <c r="AD24" s="89"/>
      <c r="AE24" s="89"/>
      <c r="AF24" s="89"/>
      <c r="AG24" s="89"/>
      <c r="AH24" s="89"/>
      <c r="AI24" s="89"/>
      <c r="AJ24" s="89"/>
      <c r="AK24" s="89"/>
      <c r="AL24" s="89"/>
      <c r="AM24" s="89"/>
      <c r="AN24" s="89"/>
      <c r="AO24" s="89"/>
      <c r="AP24" s="89"/>
      <c r="AQ24" s="89"/>
      <c r="AR24" s="89"/>
      <c r="AS24" s="89"/>
      <c r="AT24" s="89"/>
      <c r="AU24" s="89"/>
      <c r="AV24" s="89"/>
      <c r="AW24" s="89"/>
      <c r="AX24" s="89"/>
    </row>
    <row r="25" spans="1:50" ht="15" customHeight="1" x14ac:dyDescent="0.25">
      <c r="A25" s="89"/>
      <c r="B25" s="89"/>
      <c r="C25" s="89"/>
      <c r="D25" s="89"/>
      <c r="E25" s="90" t="str">
        <f xml:space="preserve"> Translate!E$722</f>
        <v>First row of project data</v>
      </c>
      <c r="F25" s="89">
        <f xml:space="preserve"> ROW(F9)</f>
        <v>9</v>
      </c>
      <c r="G25" s="90" t="s">
        <v>51</v>
      </c>
      <c r="H25" s="89"/>
      <c r="I25" s="89"/>
      <c r="J25" s="89"/>
      <c r="K25" s="89"/>
      <c r="L25" s="89"/>
      <c r="M25" s="89"/>
      <c r="N25" s="89"/>
      <c r="O25" s="89"/>
      <c r="P25" s="89"/>
      <c r="Q25" s="89"/>
      <c r="R25" s="89"/>
      <c r="S25" s="89"/>
      <c r="T25" s="89"/>
      <c r="U25" s="89"/>
      <c r="V25" s="89"/>
      <c r="W25" s="89"/>
      <c r="X25" s="89"/>
      <c r="Y25" s="89"/>
      <c r="Z25" s="89"/>
      <c r="AA25" s="89"/>
      <c r="AB25" s="89"/>
      <c r="AC25" s="89"/>
      <c r="AD25" s="89"/>
      <c r="AE25" s="89"/>
      <c r="AF25" s="89"/>
      <c r="AG25" s="89"/>
      <c r="AH25" s="89"/>
      <c r="AI25" s="89"/>
      <c r="AJ25" s="89"/>
      <c r="AK25" s="89"/>
      <c r="AL25" s="89"/>
      <c r="AM25" s="89"/>
      <c r="AN25" s="89"/>
      <c r="AO25" s="89"/>
      <c r="AP25" s="89"/>
      <c r="AQ25" s="89"/>
      <c r="AR25" s="89"/>
      <c r="AS25" s="89"/>
      <c r="AT25" s="89"/>
      <c r="AU25" s="89"/>
      <c r="AV25" s="89"/>
      <c r="AW25" s="89"/>
      <c r="AX25" s="89"/>
    </row>
    <row r="26" spans="1:50" ht="15" customHeight="1" x14ac:dyDescent="0.25">
      <c r="A26" s="89"/>
      <c r="B26" s="89"/>
      <c r="C26" s="89"/>
      <c r="D26" s="89"/>
      <c r="E26" s="90" t="str">
        <f xml:space="preserve"> Translate!E$755 &amp; " " &amp; Translate!E$722</f>
        <v>Check:  First row of project data</v>
      </c>
      <c r="F26" s="159">
        <f xml:space="preserve"> IF( ABS(F24 - F25) &lt;&gt; 0, 1, 0)</f>
        <v>0</v>
      </c>
      <c r="G26" s="90" t="str">
        <f xml:space="preserve"> Translate!E$604</f>
        <v>Check</v>
      </c>
      <c r="H26" s="89"/>
      <c r="I26" s="89"/>
      <c r="J26" s="89"/>
      <c r="K26" s="89"/>
      <c r="L26" s="89"/>
      <c r="M26" s="89"/>
      <c r="N26" s="89"/>
      <c r="O26" s="89"/>
      <c r="P26" s="89"/>
      <c r="Q26" s="89"/>
      <c r="R26" s="89"/>
      <c r="S26" s="89"/>
      <c r="T26" s="89"/>
      <c r="U26" s="89"/>
      <c r="V26" s="89"/>
      <c r="W26" s="89"/>
      <c r="X26" s="89"/>
      <c r="Y26" s="89"/>
      <c r="Z26" s="89"/>
      <c r="AA26" s="89"/>
      <c r="AB26" s="89"/>
      <c r="AC26" s="89"/>
      <c r="AD26" s="89"/>
      <c r="AE26" s="89"/>
      <c r="AF26" s="89"/>
      <c r="AG26" s="89"/>
      <c r="AH26" s="89"/>
      <c r="AI26" s="89"/>
      <c r="AJ26" s="89"/>
      <c r="AK26" s="89"/>
      <c r="AL26" s="89"/>
      <c r="AM26" s="89"/>
      <c r="AN26" s="89"/>
      <c r="AO26" s="89"/>
      <c r="AP26" s="89"/>
      <c r="AQ26" s="89"/>
      <c r="AR26" s="89"/>
      <c r="AS26" s="89"/>
      <c r="AT26" s="89"/>
      <c r="AU26" s="89"/>
      <c r="AV26" s="89"/>
      <c r="AW26" s="89"/>
      <c r="AX26" s="89"/>
    </row>
    <row r="27" spans="1:50" ht="15" customHeight="1" x14ac:dyDescent="0.25">
      <c r="A27" s="89"/>
      <c r="B27" s="89"/>
      <c r="C27" s="89"/>
      <c r="D27" s="89"/>
      <c r="E27" s="90"/>
      <c r="F27"/>
      <c r="G27" s="90"/>
      <c r="H27" s="89"/>
      <c r="I27" s="89"/>
      <c r="J27" s="89"/>
      <c r="K27" s="89"/>
      <c r="L27" s="89"/>
      <c r="M27" s="89"/>
      <c r="N27" s="89"/>
      <c r="O27" s="89"/>
      <c r="P27" s="89"/>
      <c r="Q27" s="89"/>
      <c r="R27" s="89"/>
      <c r="S27" s="89"/>
      <c r="T27" s="89"/>
      <c r="U27" s="89"/>
      <c r="V27" s="89"/>
      <c r="W27" s="89"/>
      <c r="X27" s="89"/>
      <c r="Y27" s="89"/>
      <c r="Z27" s="89"/>
      <c r="AA27" s="89"/>
      <c r="AB27" s="89"/>
      <c r="AC27" s="89"/>
      <c r="AD27" s="89"/>
      <c r="AE27" s="89"/>
      <c r="AF27" s="89"/>
      <c r="AG27" s="89"/>
      <c r="AH27" s="89"/>
      <c r="AI27" s="89"/>
      <c r="AJ27" s="89"/>
      <c r="AK27" s="89"/>
      <c r="AL27" s="89"/>
      <c r="AM27" s="89"/>
      <c r="AN27" s="89"/>
      <c r="AO27" s="89"/>
      <c r="AP27" s="89"/>
      <c r="AQ27" s="89"/>
      <c r="AR27" s="89"/>
      <c r="AS27" s="89"/>
      <c r="AT27" s="89"/>
      <c r="AU27" s="89"/>
      <c r="AV27" s="89"/>
      <c r="AW27" s="89"/>
      <c r="AX27" s="89"/>
    </row>
    <row r="28" spans="1:50" ht="15" customHeight="1" x14ac:dyDescent="0.25">
      <c r="A28" s="89"/>
      <c r="B28" s="89"/>
      <c r="C28" s="89"/>
      <c r="D28" s="89"/>
      <c r="E28" s="90"/>
      <c r="F28"/>
      <c r="G28" s="90"/>
      <c r="H28" s="89"/>
      <c r="I28" s="89"/>
      <c r="J28" s="89"/>
      <c r="K28" s="89"/>
      <c r="L28" s="89"/>
      <c r="M28" s="89"/>
      <c r="N28" s="89"/>
      <c r="O28" s="89"/>
      <c r="P28" s="89"/>
      <c r="Q28" s="89"/>
      <c r="R28" s="89"/>
      <c r="S28" s="89"/>
      <c r="T28" s="89"/>
      <c r="U28" s="89"/>
      <c r="V28" s="89"/>
      <c r="W28" s="89"/>
      <c r="X28" s="89"/>
      <c r="Y28" s="89"/>
      <c r="Z28" s="89"/>
      <c r="AA28" s="89"/>
      <c r="AB28" s="89"/>
      <c r="AC28" s="89"/>
      <c r="AD28" s="89"/>
      <c r="AE28" s="89"/>
      <c r="AF28" s="89"/>
      <c r="AG28" s="89"/>
      <c r="AH28" s="89"/>
      <c r="AI28" s="89"/>
      <c r="AJ28" s="89"/>
      <c r="AK28" s="89"/>
      <c r="AL28" s="89"/>
      <c r="AM28" s="89"/>
      <c r="AN28" s="89"/>
      <c r="AO28" s="89"/>
      <c r="AP28" s="89"/>
      <c r="AQ28" s="89"/>
      <c r="AR28" s="89"/>
      <c r="AS28" s="89"/>
      <c r="AT28" s="89"/>
      <c r="AU28" s="89"/>
      <c r="AV28" s="89"/>
      <c r="AW28" s="89"/>
      <c r="AX28" s="89"/>
    </row>
    <row r="29" spans="1:50" ht="15" customHeight="1" x14ac:dyDescent="0.25">
      <c r="A29" s="99" t="str">
        <f>Translate!E571</f>
        <v>Model timeline</v>
      </c>
      <c r="B29" s="99"/>
      <c r="C29" s="160"/>
      <c r="D29" s="161"/>
      <c r="E29" s="99"/>
      <c r="F29" s="99"/>
      <c r="G29" s="99"/>
      <c r="H29" s="99"/>
      <c r="I29" s="99"/>
      <c r="J29" s="99"/>
      <c r="K29" s="99"/>
      <c r="L29" s="99"/>
      <c r="M29" s="99"/>
      <c r="N29" s="99"/>
      <c r="O29" s="99"/>
      <c r="P29" s="99"/>
      <c r="Q29" s="99"/>
      <c r="R29" s="99"/>
      <c r="S29" s="99"/>
      <c r="T29" s="99"/>
      <c r="U29" s="99"/>
      <c r="V29" s="99"/>
      <c r="W29" s="99"/>
      <c r="X29" s="99"/>
      <c r="Y29" s="99"/>
      <c r="Z29" s="99"/>
      <c r="AA29" s="99"/>
      <c r="AB29" s="99"/>
      <c r="AC29" s="99"/>
      <c r="AD29" s="99"/>
      <c r="AE29" s="99"/>
      <c r="AF29" s="99"/>
      <c r="AG29" s="99"/>
      <c r="AH29" s="99"/>
      <c r="AI29" s="99"/>
      <c r="AJ29" s="99"/>
      <c r="AK29" s="99"/>
      <c r="AL29" s="99"/>
      <c r="AM29" s="99"/>
      <c r="AN29" s="99"/>
      <c r="AO29" s="99"/>
      <c r="AP29" s="99"/>
      <c r="AQ29" s="99"/>
      <c r="AR29" s="99"/>
      <c r="AS29" s="99"/>
      <c r="AT29" s="99"/>
      <c r="AU29" s="99"/>
      <c r="AV29" s="99"/>
      <c r="AW29" s="99"/>
      <c r="AX29" s="99"/>
    </row>
    <row r="30" spans="1:50" s="48" customFormat="1" ht="15" customHeight="1" x14ac:dyDescent="0.25">
      <c r="A30" s="311"/>
      <c r="B30" s="311"/>
      <c r="C30" s="312"/>
      <c r="D30" s="313"/>
      <c r="E30" s="311"/>
      <c r="F30" s="311"/>
      <c r="G30" s="311"/>
      <c r="H30" s="311"/>
      <c r="I30" s="311"/>
      <c r="J30" s="311"/>
      <c r="K30" s="311"/>
      <c r="L30" s="311"/>
      <c r="M30" s="311"/>
      <c r="N30" s="311"/>
      <c r="O30" s="311"/>
      <c r="P30" s="311"/>
      <c r="Q30" s="311"/>
      <c r="R30" s="311"/>
      <c r="S30" s="311"/>
      <c r="T30" s="311"/>
      <c r="U30" s="311"/>
      <c r="V30" s="311"/>
      <c r="W30" s="311"/>
      <c r="X30" s="311"/>
      <c r="Y30" s="311"/>
      <c r="Z30" s="311"/>
      <c r="AA30" s="311"/>
      <c r="AB30" s="311"/>
      <c r="AC30" s="311"/>
      <c r="AD30" s="311"/>
      <c r="AE30" s="311"/>
      <c r="AF30" s="311"/>
      <c r="AG30" s="311"/>
      <c r="AH30" s="311"/>
      <c r="AI30" s="311"/>
      <c r="AJ30" s="311"/>
      <c r="AK30" s="311"/>
      <c r="AL30" s="311"/>
      <c r="AM30" s="311"/>
      <c r="AN30" s="311"/>
      <c r="AO30" s="311"/>
      <c r="AP30" s="311"/>
      <c r="AQ30" s="311"/>
      <c r="AR30" s="311"/>
      <c r="AS30" s="311"/>
      <c r="AT30" s="311"/>
      <c r="AU30" s="311"/>
      <c r="AV30" s="311"/>
      <c r="AW30" s="311"/>
      <c r="AX30" s="311"/>
    </row>
    <row r="31" spans="1:50" s="206" customFormat="1" ht="15" customHeight="1" x14ac:dyDescent="0.25">
      <c r="A31" s="201"/>
      <c r="B31" s="201"/>
      <c r="C31" s="199"/>
      <c r="D31" s="200"/>
      <c r="E31" s="201" t="str">
        <f xml:space="preserve"> Translate!E$655</f>
        <v>Model years</v>
      </c>
      <c r="F31" s="201"/>
      <c r="G31" s="201" t="str">
        <f xml:space="preserve"> Translate!E$759</f>
        <v>Columns</v>
      </c>
      <c r="H31" s="201"/>
      <c r="I31" s="201"/>
      <c r="J31" s="196"/>
      <c r="K31" s="232">
        <f t="shared" ref="K31:AX31" si="2" xml:space="preserve"> J31 + 1</f>
        <v>1</v>
      </c>
      <c r="L31" s="232">
        <f t="shared" si="2"/>
        <v>2</v>
      </c>
      <c r="M31" s="232">
        <f t="shared" si="2"/>
        <v>3</v>
      </c>
      <c r="N31" s="232">
        <f t="shared" si="2"/>
        <v>4</v>
      </c>
      <c r="O31" s="232">
        <f t="shared" si="2"/>
        <v>5</v>
      </c>
      <c r="P31" s="232">
        <f t="shared" si="2"/>
        <v>6</v>
      </c>
      <c r="Q31" s="232">
        <f t="shared" si="2"/>
        <v>7</v>
      </c>
      <c r="R31" s="232">
        <f t="shared" si="2"/>
        <v>8</v>
      </c>
      <c r="S31" s="232">
        <f t="shared" si="2"/>
        <v>9</v>
      </c>
      <c r="T31" s="232">
        <f t="shared" si="2"/>
        <v>10</v>
      </c>
      <c r="U31" s="232">
        <f t="shared" si="2"/>
        <v>11</v>
      </c>
      <c r="V31" s="232">
        <f t="shared" si="2"/>
        <v>12</v>
      </c>
      <c r="W31" s="232">
        <f t="shared" si="2"/>
        <v>13</v>
      </c>
      <c r="X31" s="232">
        <f t="shared" si="2"/>
        <v>14</v>
      </c>
      <c r="Y31" s="232">
        <f t="shared" si="2"/>
        <v>15</v>
      </c>
      <c r="Z31" s="232">
        <f t="shared" si="2"/>
        <v>16</v>
      </c>
      <c r="AA31" s="232">
        <f t="shared" si="2"/>
        <v>17</v>
      </c>
      <c r="AB31" s="232">
        <f t="shared" si="2"/>
        <v>18</v>
      </c>
      <c r="AC31" s="232">
        <f t="shared" si="2"/>
        <v>19</v>
      </c>
      <c r="AD31" s="232">
        <f t="shared" si="2"/>
        <v>20</v>
      </c>
      <c r="AE31" s="232">
        <f t="shared" si="2"/>
        <v>21</v>
      </c>
      <c r="AF31" s="232">
        <f t="shared" si="2"/>
        <v>22</v>
      </c>
      <c r="AG31" s="232">
        <f t="shared" si="2"/>
        <v>23</v>
      </c>
      <c r="AH31" s="232">
        <f t="shared" si="2"/>
        <v>24</v>
      </c>
      <c r="AI31" s="232">
        <f t="shared" si="2"/>
        <v>25</v>
      </c>
      <c r="AJ31" s="232">
        <f t="shared" si="2"/>
        <v>26</v>
      </c>
      <c r="AK31" s="232">
        <f t="shared" si="2"/>
        <v>27</v>
      </c>
      <c r="AL31" s="232">
        <f t="shared" si="2"/>
        <v>28</v>
      </c>
      <c r="AM31" s="232">
        <f t="shared" si="2"/>
        <v>29</v>
      </c>
      <c r="AN31" s="232">
        <f t="shared" si="2"/>
        <v>30</v>
      </c>
      <c r="AO31" s="232">
        <f t="shared" si="2"/>
        <v>31</v>
      </c>
      <c r="AP31" s="232">
        <f t="shared" si="2"/>
        <v>32</v>
      </c>
      <c r="AQ31" s="232">
        <f t="shared" si="2"/>
        <v>33</v>
      </c>
      <c r="AR31" s="232">
        <f t="shared" si="2"/>
        <v>34</v>
      </c>
      <c r="AS31" s="232">
        <f t="shared" si="2"/>
        <v>35</v>
      </c>
      <c r="AT31" s="232">
        <f t="shared" si="2"/>
        <v>36</v>
      </c>
      <c r="AU31" s="232">
        <f t="shared" si="2"/>
        <v>37</v>
      </c>
      <c r="AV31" s="232">
        <f t="shared" si="2"/>
        <v>38</v>
      </c>
      <c r="AW31" s="232">
        <f t="shared" si="2"/>
        <v>39</v>
      </c>
      <c r="AX31" s="232">
        <f t="shared" si="2"/>
        <v>40</v>
      </c>
    </row>
    <row r="32" spans="1:50" s="45" customFormat="1" ht="15" customHeight="1" x14ac:dyDescent="0.25">
      <c r="A32" s="85"/>
      <c r="B32" s="85"/>
      <c r="C32" s="84"/>
      <c r="D32" s="213"/>
      <c r="E32" s="85"/>
      <c r="F32" s="85"/>
      <c r="G32" s="85"/>
      <c r="H32" s="85"/>
      <c r="I32" s="85"/>
      <c r="J32"/>
      <c r="K32" s="151"/>
      <c r="L32" s="151"/>
      <c r="M32" s="151"/>
      <c r="N32" s="151"/>
      <c r="O32" s="151"/>
      <c r="P32" s="151"/>
      <c r="Q32" s="151"/>
      <c r="R32" s="151"/>
      <c r="S32" s="151"/>
      <c r="T32" s="151"/>
      <c r="U32" s="151"/>
      <c r="V32" s="151"/>
      <c r="W32" s="151"/>
      <c r="X32" s="151"/>
      <c r="Y32" s="151"/>
      <c r="Z32" s="151"/>
      <c r="AA32" s="151"/>
      <c r="AB32" s="151"/>
      <c r="AC32" s="151"/>
      <c r="AD32" s="151"/>
      <c r="AE32" s="151"/>
      <c r="AF32" s="151"/>
      <c r="AG32" s="151"/>
      <c r="AH32" s="151"/>
      <c r="AI32" s="151"/>
      <c r="AJ32" s="151"/>
      <c r="AK32" s="151"/>
      <c r="AL32" s="151"/>
      <c r="AM32" s="151"/>
      <c r="AN32" s="151"/>
      <c r="AO32" s="151"/>
      <c r="AP32" s="151"/>
      <c r="AQ32" s="151"/>
      <c r="AR32" s="151"/>
      <c r="AS32" s="151"/>
      <c r="AT32" s="151"/>
      <c r="AU32" s="151"/>
      <c r="AV32" s="151"/>
      <c r="AW32" s="151"/>
      <c r="AX32" s="151"/>
    </row>
    <row r="33" spans="1:50" s="741" customFormat="1" ht="15" customHeight="1" x14ac:dyDescent="0.25">
      <c r="A33" s="874"/>
      <c r="C33" s="740"/>
      <c r="E33" s="793" t="str">
        <f xml:space="preserve"> Inputs!E$7</f>
        <v>Model first calendar year</v>
      </c>
      <c r="F33" s="742">
        <f xml:space="preserve"> Inputs!F$7</f>
        <v>2021</v>
      </c>
      <c r="G33" s="793" t="str">
        <f xml:space="preserve"> Inputs!G$7</f>
        <v>Calendar year</v>
      </c>
      <c r="H33" s="774"/>
      <c r="I33" s="774"/>
      <c r="J33" s="774"/>
      <c r="K33" s="774"/>
      <c r="L33" s="774"/>
      <c r="M33" s="774"/>
      <c r="N33" s="774"/>
      <c r="O33" s="774"/>
      <c r="P33" s="774"/>
      <c r="Q33" s="774"/>
      <c r="R33" s="774"/>
      <c r="S33" s="774"/>
      <c r="T33" s="774"/>
      <c r="U33" s="774"/>
      <c r="V33" s="774"/>
      <c r="W33" s="774"/>
      <c r="X33" s="774"/>
      <c r="Y33" s="774"/>
      <c r="Z33" s="774"/>
      <c r="AA33" s="774"/>
      <c r="AB33" s="774"/>
      <c r="AC33" s="774"/>
      <c r="AD33" s="774"/>
      <c r="AE33" s="774"/>
      <c r="AF33" s="774"/>
      <c r="AG33" s="774"/>
      <c r="AH33" s="774"/>
      <c r="AI33" s="774"/>
      <c r="AJ33" s="774"/>
      <c r="AK33" s="774"/>
      <c r="AL33" s="774"/>
      <c r="AM33" s="774"/>
      <c r="AN33" s="774"/>
      <c r="AO33" s="774"/>
      <c r="AP33" s="774"/>
      <c r="AQ33" s="774"/>
      <c r="AR33" s="774"/>
      <c r="AS33" s="774"/>
      <c r="AT33" s="774"/>
      <c r="AU33" s="774"/>
      <c r="AV33" s="774"/>
      <c r="AW33" s="774"/>
      <c r="AX33" s="774"/>
    </row>
    <row r="34" spans="1:50" s="884" customFormat="1" ht="15" customHeight="1" x14ac:dyDescent="0.25">
      <c r="B34" s="885"/>
      <c r="C34" s="886"/>
      <c r="D34" s="885"/>
      <c r="E34" s="881" t="str">
        <f xml:space="preserve"> Translate!E$656</f>
        <v>Model calendar years</v>
      </c>
      <c r="F34" s="881"/>
      <c r="G34" s="881" t="str">
        <f xml:space="preserve"> Translate!E$608</f>
        <v>Year</v>
      </c>
      <c r="H34" s="881"/>
      <c r="I34" s="881"/>
      <c r="J34" s="887"/>
      <c r="K34" s="881">
        <f t="shared" ref="K34:AX34" si="3" xml:space="preserve"> IF(K31 = 1, $F33, J34 + 1)</f>
        <v>2021</v>
      </c>
      <c r="L34" s="881">
        <f t="shared" si="3"/>
        <v>2022</v>
      </c>
      <c r="M34" s="881">
        <f t="shared" si="3"/>
        <v>2023</v>
      </c>
      <c r="N34" s="881">
        <f t="shared" si="3"/>
        <v>2024</v>
      </c>
      <c r="O34" s="881">
        <f t="shared" si="3"/>
        <v>2025</v>
      </c>
      <c r="P34" s="881">
        <f t="shared" si="3"/>
        <v>2026</v>
      </c>
      <c r="Q34" s="881">
        <f t="shared" si="3"/>
        <v>2027</v>
      </c>
      <c r="R34" s="881">
        <f t="shared" si="3"/>
        <v>2028</v>
      </c>
      <c r="S34" s="881">
        <f t="shared" si="3"/>
        <v>2029</v>
      </c>
      <c r="T34" s="881">
        <f t="shared" si="3"/>
        <v>2030</v>
      </c>
      <c r="U34" s="881">
        <f t="shared" si="3"/>
        <v>2031</v>
      </c>
      <c r="V34" s="881">
        <f t="shared" si="3"/>
        <v>2032</v>
      </c>
      <c r="W34" s="881">
        <f t="shared" si="3"/>
        <v>2033</v>
      </c>
      <c r="X34" s="881">
        <f t="shared" si="3"/>
        <v>2034</v>
      </c>
      <c r="Y34" s="881">
        <f t="shared" si="3"/>
        <v>2035</v>
      </c>
      <c r="Z34" s="881">
        <f t="shared" si="3"/>
        <v>2036</v>
      </c>
      <c r="AA34" s="881">
        <f t="shared" si="3"/>
        <v>2037</v>
      </c>
      <c r="AB34" s="881">
        <f t="shared" si="3"/>
        <v>2038</v>
      </c>
      <c r="AC34" s="881">
        <f t="shared" si="3"/>
        <v>2039</v>
      </c>
      <c r="AD34" s="881">
        <f t="shared" si="3"/>
        <v>2040</v>
      </c>
      <c r="AE34" s="881">
        <f t="shared" si="3"/>
        <v>2041</v>
      </c>
      <c r="AF34" s="881">
        <f t="shared" si="3"/>
        <v>2042</v>
      </c>
      <c r="AG34" s="881">
        <f t="shared" si="3"/>
        <v>2043</v>
      </c>
      <c r="AH34" s="881">
        <f t="shared" si="3"/>
        <v>2044</v>
      </c>
      <c r="AI34" s="881">
        <f t="shared" si="3"/>
        <v>2045</v>
      </c>
      <c r="AJ34" s="881">
        <f t="shared" si="3"/>
        <v>2046</v>
      </c>
      <c r="AK34" s="881">
        <f t="shared" si="3"/>
        <v>2047</v>
      </c>
      <c r="AL34" s="881">
        <f t="shared" si="3"/>
        <v>2048</v>
      </c>
      <c r="AM34" s="881">
        <f t="shared" si="3"/>
        <v>2049</v>
      </c>
      <c r="AN34" s="881">
        <f t="shared" si="3"/>
        <v>2050</v>
      </c>
      <c r="AO34" s="881">
        <f t="shared" si="3"/>
        <v>2051</v>
      </c>
      <c r="AP34" s="881">
        <f t="shared" si="3"/>
        <v>2052</v>
      </c>
      <c r="AQ34" s="881">
        <f t="shared" si="3"/>
        <v>2053</v>
      </c>
      <c r="AR34" s="881">
        <f t="shared" si="3"/>
        <v>2054</v>
      </c>
      <c r="AS34" s="881">
        <f t="shared" si="3"/>
        <v>2055</v>
      </c>
      <c r="AT34" s="881">
        <f t="shared" si="3"/>
        <v>2056</v>
      </c>
      <c r="AU34" s="881">
        <f t="shared" si="3"/>
        <v>2057</v>
      </c>
      <c r="AV34" s="881">
        <f t="shared" si="3"/>
        <v>2058</v>
      </c>
      <c r="AW34" s="881">
        <f t="shared" si="3"/>
        <v>2059</v>
      </c>
      <c r="AX34" s="881">
        <f t="shared" si="3"/>
        <v>2060</v>
      </c>
    </row>
    <row r="35" spans="1:50" ht="15" customHeight="1" x14ac:dyDescent="0.25">
      <c r="A35" s="106"/>
      <c r="B35" s="89"/>
      <c r="C35" s="88"/>
      <c r="D35" s="162"/>
      <c r="E35" s="56"/>
      <c r="F35" s="52"/>
      <c r="G35" s="56"/>
      <c r="H35" s="56"/>
      <c r="I35" s="56"/>
      <c r="J35"/>
      <c r="K35" s="314"/>
      <c r="L35" s="314"/>
      <c r="M35" s="314"/>
      <c r="N35" s="314"/>
      <c r="O35" s="314"/>
      <c r="P35" s="314"/>
      <c r="Q35" s="314"/>
      <c r="R35" s="314"/>
      <c r="S35" s="314"/>
      <c r="T35" s="314"/>
      <c r="U35" s="314"/>
      <c r="V35" s="314"/>
      <c r="W35" s="314"/>
      <c r="X35" s="314"/>
      <c r="Y35" s="314"/>
      <c r="Z35" s="314"/>
      <c r="AA35" s="314"/>
      <c r="AB35" s="314"/>
      <c r="AC35" s="314"/>
      <c r="AD35" s="314"/>
      <c r="AE35" s="314"/>
      <c r="AF35" s="314"/>
      <c r="AG35" s="314"/>
      <c r="AH35" s="314"/>
      <c r="AI35" s="314"/>
      <c r="AJ35" s="314"/>
      <c r="AK35" s="314"/>
      <c r="AL35" s="314"/>
      <c r="AM35" s="314"/>
      <c r="AN35" s="314"/>
      <c r="AO35" s="314"/>
      <c r="AP35" s="314"/>
      <c r="AQ35" s="314"/>
      <c r="AR35" s="314"/>
      <c r="AS35" s="314"/>
      <c r="AT35" s="314"/>
      <c r="AU35" s="314"/>
      <c r="AV35" s="314"/>
      <c r="AW35" s="314"/>
      <c r="AX35" s="314"/>
    </row>
    <row r="36" spans="1:50" ht="15" customHeight="1" x14ac:dyDescent="0.25">
      <c r="A36" s="106"/>
      <c r="B36" s="109"/>
      <c r="C36" s="108"/>
      <c r="D36" s="117"/>
      <c r="E36" s="54"/>
      <c r="G36" s="54"/>
      <c r="H36" s="54"/>
      <c r="I36" s="54"/>
      <c r="J36" s="54"/>
      <c r="K36" s="54"/>
      <c r="L36" s="54"/>
      <c r="M36" s="54"/>
      <c r="N36" s="54"/>
      <c r="O36" s="54"/>
      <c r="P36" s="54"/>
      <c r="Q36" s="54"/>
      <c r="R36" s="54"/>
      <c r="S36" s="54"/>
      <c r="T36" s="54"/>
      <c r="U36" s="54"/>
      <c r="V36" s="54"/>
      <c r="W36" s="54"/>
      <c r="X36" s="54"/>
      <c r="Y36" s="54"/>
      <c r="Z36" s="54"/>
      <c r="AA36" s="54"/>
      <c r="AB36" s="54"/>
      <c r="AC36" s="54"/>
      <c r="AD36" s="54"/>
      <c r="AE36" s="54"/>
      <c r="AF36" s="54"/>
      <c r="AG36" s="54"/>
      <c r="AH36" s="54"/>
      <c r="AI36" s="54"/>
      <c r="AJ36" s="54"/>
      <c r="AK36" s="54"/>
      <c r="AL36" s="54"/>
      <c r="AM36" s="54"/>
      <c r="AN36" s="54"/>
      <c r="AO36" s="54"/>
      <c r="AP36" s="54"/>
      <c r="AQ36" s="54"/>
      <c r="AR36" s="54"/>
      <c r="AS36" s="54"/>
      <c r="AT36" s="54"/>
      <c r="AU36" s="54"/>
      <c r="AV36" s="54"/>
      <c r="AW36" s="54"/>
      <c r="AX36" s="54"/>
    </row>
    <row r="37" spans="1:50" ht="15" customHeight="1" x14ac:dyDescent="0.25">
      <c r="A37" s="99" t="str">
        <f>Translate!E572</f>
        <v>Project data with sensitivity factors applied</v>
      </c>
      <c r="B37" s="99"/>
      <c r="C37" s="160"/>
      <c r="D37" s="161"/>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99"/>
      <c r="AI37" s="99"/>
      <c r="AJ37" s="99"/>
      <c r="AK37" s="99"/>
      <c r="AL37" s="99"/>
      <c r="AM37" s="99"/>
      <c r="AN37" s="99"/>
      <c r="AO37" s="99"/>
      <c r="AP37" s="99"/>
      <c r="AQ37" s="99"/>
      <c r="AR37" s="99"/>
      <c r="AS37" s="99"/>
      <c r="AT37" s="99"/>
      <c r="AU37" s="99"/>
      <c r="AV37" s="99"/>
      <c r="AW37" s="99"/>
      <c r="AX37" s="99"/>
    </row>
    <row r="38" spans="1:50" ht="15" customHeight="1" x14ac:dyDescent="0.25">
      <c r="A38" s="171"/>
      <c r="B38" s="172"/>
      <c r="C38" s="173"/>
      <c r="D38" s="162"/>
      <c r="E38" s="109"/>
      <c r="F38" s="87"/>
      <c r="G38" s="109"/>
      <c r="H38" s="109"/>
      <c r="I38" s="109"/>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row>
    <row r="39" spans="1:50" ht="15" customHeight="1" x14ac:dyDescent="0.25">
      <c r="A39" s="106"/>
      <c r="B39" s="87" t="str">
        <f>Translate!$E$680</f>
        <v>Sensitivity factors</v>
      </c>
      <c r="C39" s="88"/>
      <c r="D39" s="162"/>
      <c r="E39" s="56"/>
      <c r="F39" s="52"/>
      <c r="G39" s="56"/>
      <c r="H39" s="56"/>
      <c r="I39" s="56"/>
      <c r="J39" s="56"/>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c r="AM39" s="52"/>
      <c r="AN39" s="52"/>
      <c r="AO39" s="52"/>
      <c r="AP39" s="52"/>
      <c r="AQ39" s="52"/>
      <c r="AR39" s="52"/>
      <c r="AS39" s="52"/>
      <c r="AT39" s="52"/>
      <c r="AU39" s="52"/>
      <c r="AV39" s="52"/>
      <c r="AW39" s="52"/>
      <c r="AX39" s="52"/>
    </row>
    <row r="40" spans="1:50" ht="15" customHeight="1" x14ac:dyDescent="0.25">
      <c r="A40" s="106"/>
      <c r="B40" s="89"/>
      <c r="C40" s="88"/>
      <c r="D40" s="162"/>
      <c r="E40" s="141" t="str">
        <f xml:space="preserve"> Inputs!E$34</f>
        <v>Production sensitivity</v>
      </c>
      <c r="F40" s="141">
        <f xml:space="preserve"> Inputs!F$34</f>
        <v>1</v>
      </c>
      <c r="G40" s="141" t="str">
        <f xml:space="preserve"> Inputs!G$34</f>
        <v>factor</v>
      </c>
      <c r="H40" s="56"/>
      <c r="I40" s="56"/>
      <c r="J40" s="56"/>
      <c r="K40" s="52"/>
      <c r="L40" s="52"/>
      <c r="M40" s="52"/>
      <c r="N40" s="52"/>
      <c r="O40" s="52"/>
      <c r="P40" s="52"/>
      <c r="Q40" s="52"/>
      <c r="R40" s="52"/>
      <c r="S40" s="52"/>
      <c r="T40" s="52"/>
      <c r="U40" s="52"/>
      <c r="V40" s="52"/>
      <c r="W40" s="52"/>
      <c r="X40" s="52"/>
      <c r="Y40" s="52"/>
      <c r="Z40" s="52"/>
      <c r="AA40" s="52"/>
      <c r="AB40" s="52"/>
      <c r="AC40" s="52"/>
      <c r="AD40" s="52"/>
      <c r="AE40" s="52"/>
      <c r="AF40" s="52"/>
      <c r="AG40" s="52"/>
      <c r="AH40" s="52"/>
      <c r="AI40" s="52"/>
      <c r="AJ40" s="52"/>
      <c r="AK40" s="52"/>
      <c r="AL40" s="52"/>
      <c r="AM40" s="52"/>
      <c r="AN40" s="52"/>
      <c r="AO40" s="52"/>
      <c r="AP40" s="52"/>
      <c r="AQ40" s="52"/>
      <c r="AR40" s="52"/>
      <c r="AS40" s="52"/>
      <c r="AT40" s="52"/>
      <c r="AU40" s="52"/>
      <c r="AV40" s="52"/>
      <c r="AW40" s="52"/>
      <c r="AX40" s="52"/>
    </row>
    <row r="41" spans="1:50" ht="15" customHeight="1" x14ac:dyDescent="0.25">
      <c r="A41" s="106"/>
      <c r="B41" s="89"/>
      <c r="C41" s="88"/>
      <c r="D41" s="162"/>
      <c r="E41" s="141" t="str">
        <f xml:space="preserve"> Inputs!E$35</f>
        <v>Exploration cost sensitivity</v>
      </c>
      <c r="F41" s="141">
        <f xml:space="preserve"> Inputs!F$35</f>
        <v>1</v>
      </c>
      <c r="G41" s="141" t="str">
        <f xml:space="preserve"> Inputs!G$35</f>
        <v>factor</v>
      </c>
      <c r="H41" s="56"/>
      <c r="I41" s="56"/>
      <c r="J41" s="56"/>
      <c r="K41" s="52"/>
      <c r="L41" s="52"/>
      <c r="M41" s="52"/>
      <c r="N41" s="52"/>
      <c r="O41" s="52"/>
      <c r="P41" s="52"/>
      <c r="Q41" s="52"/>
      <c r="R41" s="52"/>
      <c r="S41" s="52"/>
      <c r="T41" s="52"/>
      <c r="U41" s="52"/>
      <c r="V41" s="52"/>
      <c r="W41" s="52"/>
      <c r="X41" s="52"/>
      <c r="Y41" s="52"/>
      <c r="Z41" s="52"/>
      <c r="AA41" s="52"/>
      <c r="AB41" s="52"/>
      <c r="AC41" s="52"/>
      <c r="AD41" s="52"/>
      <c r="AE41" s="52"/>
      <c r="AF41" s="52"/>
      <c r="AG41" s="52"/>
      <c r="AH41" s="52"/>
      <c r="AI41" s="52"/>
      <c r="AJ41" s="52"/>
      <c r="AK41" s="52"/>
      <c r="AL41" s="52"/>
      <c r="AM41" s="52"/>
      <c r="AN41" s="52"/>
      <c r="AO41" s="52"/>
      <c r="AP41" s="52"/>
      <c r="AQ41" s="52"/>
      <c r="AR41" s="52"/>
      <c r="AS41" s="52"/>
      <c r="AT41" s="52"/>
      <c r="AU41" s="52"/>
      <c r="AV41" s="52"/>
      <c r="AW41" s="52"/>
      <c r="AX41" s="52"/>
    </row>
    <row r="42" spans="1:50" ht="15" customHeight="1" x14ac:dyDescent="0.25">
      <c r="A42" s="106"/>
      <c r="B42" s="89"/>
      <c r="C42" s="88"/>
      <c r="D42" s="162"/>
      <c r="E42" s="141" t="str">
        <f xml:space="preserve"> Inputs!E$36</f>
        <v xml:space="preserve">Capex sensitivity (Dev; Replace; Decomm.) </v>
      </c>
      <c r="F42" s="141">
        <f xml:space="preserve"> Inputs!F$36</f>
        <v>1</v>
      </c>
      <c r="G42" s="141" t="str">
        <f xml:space="preserve"> Inputs!G$36</f>
        <v>factor</v>
      </c>
      <c r="H42" s="56"/>
      <c r="I42" s="56"/>
      <c r="J42" s="56"/>
      <c r="K42" s="52"/>
      <c r="L42" s="52"/>
      <c r="M42" s="52"/>
      <c r="N42" s="52"/>
      <c r="O42" s="52"/>
      <c r="P42" s="52"/>
      <c r="Q42" s="52"/>
      <c r="R42" s="52"/>
      <c r="S42" s="52"/>
      <c r="T42" s="52"/>
      <c r="U42" s="52"/>
      <c r="V42" s="52"/>
      <c r="W42" s="52"/>
      <c r="X42" s="52"/>
      <c r="Y42" s="52"/>
      <c r="Z42" s="52"/>
      <c r="AA42" s="52"/>
      <c r="AB42" s="52"/>
      <c r="AC42" s="52"/>
      <c r="AD42" s="52"/>
      <c r="AE42" s="52"/>
      <c r="AF42" s="52"/>
      <c r="AG42" s="52"/>
      <c r="AH42" s="52"/>
      <c r="AI42" s="52"/>
      <c r="AJ42" s="52"/>
      <c r="AK42" s="52"/>
      <c r="AL42" s="52"/>
      <c r="AM42" s="52"/>
      <c r="AN42" s="52"/>
      <c r="AO42" s="52"/>
      <c r="AP42" s="52"/>
      <c r="AQ42" s="52"/>
      <c r="AR42" s="52"/>
      <c r="AS42" s="52"/>
      <c r="AT42" s="52"/>
      <c r="AU42" s="52"/>
      <c r="AV42" s="52"/>
      <c r="AW42" s="52"/>
      <c r="AX42" s="52"/>
    </row>
    <row r="43" spans="1:50" ht="15" customHeight="1" x14ac:dyDescent="0.25">
      <c r="A43" s="106"/>
      <c r="B43" s="89"/>
      <c r="C43" s="88"/>
      <c r="D43" s="162"/>
      <c r="E43" s="141" t="str">
        <f xml:space="preserve"> Inputs!E$37</f>
        <v>Operating cost sensitivity</v>
      </c>
      <c r="F43" s="141">
        <f xml:space="preserve"> Inputs!F$37</f>
        <v>1</v>
      </c>
      <c r="G43" s="141" t="str">
        <f xml:space="preserve"> Inputs!G$37</f>
        <v>factor</v>
      </c>
      <c r="H43" s="56"/>
      <c r="I43" s="56"/>
      <c r="J43" s="56"/>
      <c r="K43" s="52"/>
      <c r="L43" s="52"/>
      <c r="M43" s="52"/>
      <c r="N43" s="52"/>
      <c r="O43" s="52"/>
      <c r="P43" s="52"/>
      <c r="Q43" s="52"/>
      <c r="R43" s="52"/>
      <c r="S43" s="52"/>
      <c r="T43" s="52"/>
      <c r="U43" s="52"/>
      <c r="V43" s="52"/>
      <c r="W43" s="52"/>
      <c r="X43" s="52"/>
      <c r="Y43" s="52"/>
      <c r="Z43" s="52"/>
      <c r="AA43" s="52"/>
      <c r="AB43" s="52"/>
      <c r="AC43" s="52"/>
      <c r="AD43" s="52"/>
      <c r="AE43" s="52"/>
      <c r="AF43" s="52"/>
      <c r="AG43" s="52"/>
      <c r="AH43" s="52"/>
      <c r="AI43" s="52"/>
      <c r="AJ43" s="52"/>
      <c r="AK43" s="52"/>
      <c r="AL43" s="52"/>
      <c r="AM43" s="52"/>
      <c r="AN43" s="52"/>
      <c r="AO43" s="52"/>
      <c r="AP43" s="52"/>
      <c r="AQ43" s="52"/>
      <c r="AR43" s="52"/>
      <c r="AS43" s="52"/>
      <c r="AT43" s="52"/>
      <c r="AU43" s="52"/>
      <c r="AV43" s="52"/>
      <c r="AW43" s="52"/>
      <c r="AX43" s="52"/>
    </row>
    <row r="44" spans="1:50" ht="15" customHeight="1" x14ac:dyDescent="0.25">
      <c r="A44" s="171"/>
      <c r="B44" s="172"/>
      <c r="C44" s="173"/>
      <c r="D44" s="162"/>
      <c r="E44" s="109"/>
      <c r="F44" s="87"/>
      <c r="G44" s="109"/>
      <c r="H44" s="109"/>
      <c r="I44" s="109"/>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row>
    <row r="45" spans="1:50" ht="15" customHeight="1" x14ac:dyDescent="0.25">
      <c r="A45" s="171"/>
      <c r="B45" s="174" t="str">
        <f>Translate!$E$681</f>
        <v>Project data with sensitivies applied</v>
      </c>
      <c r="C45" s="173"/>
      <c r="D45" s="162"/>
      <c r="E45" s="109"/>
      <c r="F45" s="87"/>
      <c r="G45" s="109"/>
      <c r="H45" s="109"/>
      <c r="I45" s="109"/>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row>
    <row r="46" spans="1:50" s="257" customFormat="1" ht="15" customHeight="1" x14ac:dyDescent="0.25">
      <c r="A46" s="891"/>
      <c r="B46" s="892"/>
      <c r="C46" s="893"/>
      <c r="D46" s="894"/>
      <c r="E46" s="190" t="str">
        <f xml:space="preserve"> E9</f>
        <v>Oil production RATE</v>
      </c>
      <c r="F46" s="70"/>
      <c r="G46" s="190" t="str">
        <f xml:space="preserve"> G9</f>
        <v>KBOPD</v>
      </c>
      <c r="H46" s="13"/>
      <c r="I46" s="895"/>
      <c r="J46" s="70"/>
      <c r="K46" s="12">
        <f t="shared" ref="K46:AX46" ca="1" si="4" xml:space="preserve"> K9 * $F40</f>
        <v>0</v>
      </c>
      <c r="L46" s="12">
        <f t="shared" ca="1" si="4"/>
        <v>0</v>
      </c>
      <c r="M46" s="12">
        <f t="shared" ca="1" si="4"/>
        <v>0</v>
      </c>
      <c r="N46" s="12">
        <f t="shared" ca="1" si="4"/>
        <v>0</v>
      </c>
      <c r="O46" s="12">
        <f t="shared" ca="1" si="4"/>
        <v>9.5471162223815913</v>
      </c>
      <c r="P46" s="12">
        <f t="shared" ca="1" si="4"/>
        <v>75</v>
      </c>
      <c r="Q46" s="12">
        <f t="shared" ca="1" si="4"/>
        <v>150</v>
      </c>
      <c r="R46" s="12">
        <f t="shared" ca="1" si="4"/>
        <v>150</v>
      </c>
      <c r="S46" s="12">
        <f t="shared" ca="1" si="4"/>
        <v>150</v>
      </c>
      <c r="T46" s="12">
        <f t="shared" ca="1" si="4"/>
        <v>150</v>
      </c>
      <c r="U46" s="12">
        <f t="shared" ca="1" si="4"/>
        <v>150</v>
      </c>
      <c r="V46" s="12">
        <f t="shared" ca="1" si="4"/>
        <v>150</v>
      </c>
      <c r="W46" s="12">
        <f t="shared" ca="1" si="4"/>
        <v>150</v>
      </c>
      <c r="X46" s="12">
        <f t="shared" ca="1" si="4"/>
        <v>150</v>
      </c>
      <c r="Y46" s="12">
        <f t="shared" ca="1" si="4"/>
        <v>150</v>
      </c>
      <c r="Z46" s="12">
        <f t="shared" ca="1" si="4"/>
        <v>150</v>
      </c>
      <c r="AA46" s="12">
        <f t="shared" ca="1" si="4"/>
        <v>121.50000000000001</v>
      </c>
      <c r="AB46" s="12">
        <f t="shared" ca="1" si="4"/>
        <v>98.41500000000002</v>
      </c>
      <c r="AC46" s="12">
        <f t="shared" ca="1" si="4"/>
        <v>79.716150000000027</v>
      </c>
      <c r="AD46" s="12">
        <f t="shared" ca="1" si="4"/>
        <v>64.570081500000029</v>
      </c>
      <c r="AE46" s="12">
        <f t="shared" ca="1" si="4"/>
        <v>52.301766015000027</v>
      </c>
      <c r="AF46" s="12">
        <f t="shared" ca="1" si="4"/>
        <v>42.364430472150026</v>
      </c>
      <c r="AG46" s="12">
        <f t="shared" ca="1" si="4"/>
        <v>34.315188682441523</v>
      </c>
      <c r="AH46" s="12">
        <f t="shared" ca="1" si="4"/>
        <v>27.795302832777637</v>
      </c>
      <c r="AI46" s="12">
        <f t="shared" ca="1" si="4"/>
        <v>22.514195294549886</v>
      </c>
      <c r="AJ46" s="12">
        <f t="shared" ca="1" si="4"/>
        <v>18.236498188585408</v>
      </c>
      <c r="AK46" s="12">
        <f t="shared" ca="1" si="4"/>
        <v>14.771563532754181</v>
      </c>
      <c r="AL46" s="12">
        <f t="shared" ca="1" si="4"/>
        <v>11.964966461530887</v>
      </c>
      <c r="AM46" s="12">
        <f t="shared" ca="1" si="4"/>
        <v>9.6916228338400181</v>
      </c>
      <c r="AN46" s="12">
        <f t="shared" ca="1" si="4"/>
        <v>7.8502144954104152</v>
      </c>
      <c r="AO46" s="12">
        <f t="shared" ca="1" si="4"/>
        <v>6.3586737412824368</v>
      </c>
      <c r="AP46" s="12">
        <f t="shared" ca="1" si="4"/>
        <v>0</v>
      </c>
      <c r="AQ46" s="12">
        <f t="shared" ca="1" si="4"/>
        <v>0</v>
      </c>
      <c r="AR46" s="12">
        <f t="shared" ca="1" si="4"/>
        <v>0</v>
      </c>
      <c r="AS46" s="12">
        <f t="shared" ca="1" si="4"/>
        <v>0</v>
      </c>
      <c r="AT46" s="12">
        <f t="shared" ca="1" si="4"/>
        <v>0</v>
      </c>
      <c r="AU46" s="12">
        <f t="shared" ca="1" si="4"/>
        <v>0</v>
      </c>
      <c r="AV46" s="12">
        <f t="shared" ca="1" si="4"/>
        <v>0</v>
      </c>
      <c r="AW46" s="12">
        <f t="shared" ca="1" si="4"/>
        <v>0</v>
      </c>
      <c r="AX46" s="12">
        <f t="shared" ca="1" si="4"/>
        <v>0</v>
      </c>
    </row>
    <row r="47" spans="1:50" s="257" customFormat="1" ht="15" customHeight="1" x14ac:dyDescent="0.25">
      <c r="A47" s="891"/>
      <c r="B47" s="892"/>
      <c r="C47" s="893"/>
      <c r="D47" s="894"/>
      <c r="E47" s="190" t="str">
        <f xml:space="preserve"> E20</f>
        <v>Oil production Volume</v>
      </c>
      <c r="F47" s="70"/>
      <c r="G47" s="190" t="str">
        <f xml:space="preserve"> G20</f>
        <v>Mn Bbl</v>
      </c>
      <c r="H47" s="13"/>
      <c r="I47" s="12">
        <f t="shared" ref="I47:I53" ca="1" si="5" xml:space="preserve"> SUM(K47:AX47)</f>
        <v>801.87316114953705</v>
      </c>
      <c r="J47" s="73"/>
      <c r="K47" s="12">
        <f t="shared" ref="K47:AX47" ca="1" si="6" xml:space="preserve"> K20 * $F40</f>
        <v>0</v>
      </c>
      <c r="L47" s="12">
        <f t="shared" ca="1" si="6"/>
        <v>0</v>
      </c>
      <c r="M47" s="12">
        <f t="shared" ca="1" si="6"/>
        <v>0</v>
      </c>
      <c r="N47" s="12">
        <f t="shared" ca="1" si="6"/>
        <v>0</v>
      </c>
      <c r="O47" s="12">
        <f t="shared" ca="1" si="6"/>
        <v>3.4846974211692809</v>
      </c>
      <c r="P47" s="12">
        <f t="shared" ca="1" si="6"/>
        <v>27.375</v>
      </c>
      <c r="Q47" s="12">
        <f t="shared" ca="1" si="6"/>
        <v>54.75</v>
      </c>
      <c r="R47" s="12">
        <f t="shared" ca="1" si="6"/>
        <v>54.75</v>
      </c>
      <c r="S47" s="12">
        <f t="shared" ca="1" si="6"/>
        <v>54.75</v>
      </c>
      <c r="T47" s="12">
        <f t="shared" ca="1" si="6"/>
        <v>54.75</v>
      </c>
      <c r="U47" s="12">
        <f t="shared" ca="1" si="6"/>
        <v>54.75</v>
      </c>
      <c r="V47" s="12">
        <f t="shared" ca="1" si="6"/>
        <v>54.75</v>
      </c>
      <c r="W47" s="12">
        <f t="shared" ca="1" si="6"/>
        <v>54.75</v>
      </c>
      <c r="X47" s="12">
        <f t="shared" ca="1" si="6"/>
        <v>54.75</v>
      </c>
      <c r="Y47" s="12">
        <f t="shared" ca="1" si="6"/>
        <v>54.75</v>
      </c>
      <c r="Z47" s="12">
        <f t="shared" ca="1" si="6"/>
        <v>54.75</v>
      </c>
      <c r="AA47" s="12">
        <f t="shared" ca="1" si="6"/>
        <v>44.347500000000011</v>
      </c>
      <c r="AB47" s="12">
        <f t="shared" ca="1" si="6"/>
        <v>35.921475000000008</v>
      </c>
      <c r="AC47" s="12">
        <f t="shared" ca="1" si="6"/>
        <v>29.096394750000009</v>
      </c>
      <c r="AD47" s="12">
        <f t="shared" ca="1" si="6"/>
        <v>23.568079747500011</v>
      </c>
      <c r="AE47" s="12">
        <f t="shared" ca="1" si="6"/>
        <v>19.09014459547501</v>
      </c>
      <c r="AF47" s="12">
        <f t="shared" ca="1" si="6"/>
        <v>15.463017122334758</v>
      </c>
      <c r="AG47" s="12">
        <f t="shared" ca="1" si="6"/>
        <v>12.525043869091157</v>
      </c>
      <c r="AH47" s="12">
        <f t="shared" ca="1" si="6"/>
        <v>10.145285533963838</v>
      </c>
      <c r="AI47" s="12">
        <f t="shared" ca="1" si="6"/>
        <v>8.2176812825107088</v>
      </c>
      <c r="AJ47" s="12">
        <f t="shared" ca="1" si="6"/>
        <v>6.6563218388336738</v>
      </c>
      <c r="AK47" s="12">
        <f t="shared" ca="1" si="6"/>
        <v>5.3916206894552765</v>
      </c>
      <c r="AL47" s="12">
        <f t="shared" ca="1" si="6"/>
        <v>4.3672127584587734</v>
      </c>
      <c r="AM47" s="12">
        <f t="shared" ca="1" si="6"/>
        <v>3.5374423343516064</v>
      </c>
      <c r="AN47" s="12">
        <f t="shared" ca="1" si="6"/>
        <v>2.8653282908248014</v>
      </c>
      <c r="AO47" s="12">
        <f t="shared" ca="1" si="6"/>
        <v>2.3209159155680896</v>
      </c>
      <c r="AP47" s="12">
        <f t="shared" ca="1" si="6"/>
        <v>0</v>
      </c>
      <c r="AQ47" s="12">
        <f t="shared" ca="1" si="6"/>
        <v>0</v>
      </c>
      <c r="AR47" s="12">
        <f t="shared" ca="1" si="6"/>
        <v>0</v>
      </c>
      <c r="AS47" s="12">
        <f t="shared" ca="1" si="6"/>
        <v>0</v>
      </c>
      <c r="AT47" s="12">
        <f t="shared" ca="1" si="6"/>
        <v>0</v>
      </c>
      <c r="AU47" s="12">
        <f t="shared" ca="1" si="6"/>
        <v>0</v>
      </c>
      <c r="AV47" s="12">
        <f t="shared" ca="1" si="6"/>
        <v>0</v>
      </c>
      <c r="AW47" s="12">
        <f t="shared" ca="1" si="6"/>
        <v>0</v>
      </c>
      <c r="AX47" s="12">
        <f t="shared" ca="1" si="6"/>
        <v>0</v>
      </c>
    </row>
    <row r="48" spans="1:50" ht="15" customHeight="1" x14ac:dyDescent="0.25">
      <c r="A48" s="106"/>
      <c r="B48" s="168"/>
      <c r="C48" s="108"/>
      <c r="D48" s="169"/>
      <c r="E48" s="55" t="str">
        <f t="shared" ref="E48:E53" si="7" xml:space="preserve"> E10</f>
        <v>Transport costs post-fiscal point</v>
      </c>
      <c r="F48" s="52"/>
      <c r="G48" s="55" t="str">
        <f t="shared" ref="G48:G53" si="8" xml:space="preserve"> G10</f>
        <v>US$ mn 2021</v>
      </c>
      <c r="H48" s="13"/>
      <c r="I48" s="98">
        <f t="shared" ca="1" si="5"/>
        <v>0</v>
      </c>
      <c r="J48" s="52"/>
      <c r="K48" s="12">
        <f t="shared" ref="K48:AX48" ca="1" si="9" xml:space="preserve"> K10 * $F40</f>
        <v>0</v>
      </c>
      <c r="L48" s="12">
        <f t="shared" ca="1" si="9"/>
        <v>0</v>
      </c>
      <c r="M48" s="12">
        <f t="shared" ca="1" si="9"/>
        <v>0</v>
      </c>
      <c r="N48" s="12">
        <f t="shared" ca="1" si="9"/>
        <v>0</v>
      </c>
      <c r="O48" s="12">
        <f t="shared" ca="1" si="9"/>
        <v>0</v>
      </c>
      <c r="P48" s="12">
        <f t="shared" ca="1" si="9"/>
        <v>0</v>
      </c>
      <c r="Q48" s="12">
        <f t="shared" ca="1" si="9"/>
        <v>0</v>
      </c>
      <c r="R48" s="12">
        <f t="shared" ca="1" si="9"/>
        <v>0</v>
      </c>
      <c r="S48" s="12">
        <f t="shared" ca="1" si="9"/>
        <v>0</v>
      </c>
      <c r="T48" s="12">
        <f t="shared" ca="1" si="9"/>
        <v>0</v>
      </c>
      <c r="U48" s="12">
        <f t="shared" ca="1" si="9"/>
        <v>0</v>
      </c>
      <c r="V48" s="12">
        <f t="shared" ca="1" si="9"/>
        <v>0</v>
      </c>
      <c r="W48" s="12">
        <f t="shared" ca="1" si="9"/>
        <v>0</v>
      </c>
      <c r="X48" s="12">
        <f t="shared" ca="1" si="9"/>
        <v>0</v>
      </c>
      <c r="Y48" s="12">
        <f t="shared" ca="1" si="9"/>
        <v>0</v>
      </c>
      <c r="Z48" s="12">
        <f t="shared" ca="1" si="9"/>
        <v>0</v>
      </c>
      <c r="AA48" s="12">
        <f t="shared" ca="1" si="9"/>
        <v>0</v>
      </c>
      <c r="AB48" s="12">
        <f t="shared" ca="1" si="9"/>
        <v>0</v>
      </c>
      <c r="AC48" s="12">
        <f t="shared" ca="1" si="9"/>
        <v>0</v>
      </c>
      <c r="AD48" s="12">
        <f t="shared" ca="1" si="9"/>
        <v>0</v>
      </c>
      <c r="AE48" s="12">
        <f t="shared" ca="1" si="9"/>
        <v>0</v>
      </c>
      <c r="AF48" s="12">
        <f t="shared" ca="1" si="9"/>
        <v>0</v>
      </c>
      <c r="AG48" s="12">
        <f t="shared" ca="1" si="9"/>
        <v>0</v>
      </c>
      <c r="AH48" s="12">
        <f t="shared" ca="1" si="9"/>
        <v>0</v>
      </c>
      <c r="AI48" s="12">
        <f t="shared" ca="1" si="9"/>
        <v>0</v>
      </c>
      <c r="AJ48" s="12">
        <f t="shared" ca="1" si="9"/>
        <v>0</v>
      </c>
      <c r="AK48" s="12">
        <f t="shared" ca="1" si="9"/>
        <v>0</v>
      </c>
      <c r="AL48" s="12">
        <f t="shared" ca="1" si="9"/>
        <v>0</v>
      </c>
      <c r="AM48" s="12">
        <f t="shared" ca="1" si="9"/>
        <v>0</v>
      </c>
      <c r="AN48" s="12">
        <f t="shared" ca="1" si="9"/>
        <v>0</v>
      </c>
      <c r="AO48" s="12">
        <f t="shared" ca="1" si="9"/>
        <v>0</v>
      </c>
      <c r="AP48" s="12">
        <f t="shared" ca="1" si="9"/>
        <v>0</v>
      </c>
      <c r="AQ48" s="12">
        <f t="shared" ca="1" si="9"/>
        <v>0</v>
      </c>
      <c r="AR48" s="12">
        <f t="shared" ca="1" si="9"/>
        <v>0</v>
      </c>
      <c r="AS48" s="12">
        <f t="shared" ca="1" si="9"/>
        <v>0</v>
      </c>
      <c r="AT48" s="12">
        <f t="shared" ca="1" si="9"/>
        <v>0</v>
      </c>
      <c r="AU48" s="12">
        <f t="shared" ca="1" si="9"/>
        <v>0</v>
      </c>
      <c r="AV48" s="12">
        <f t="shared" ca="1" si="9"/>
        <v>0</v>
      </c>
      <c r="AW48" s="12">
        <f t="shared" ca="1" si="9"/>
        <v>0</v>
      </c>
      <c r="AX48" s="12">
        <f t="shared" ca="1" si="9"/>
        <v>0</v>
      </c>
    </row>
    <row r="49" spans="1:50" ht="15" customHeight="1" x14ac:dyDescent="0.25">
      <c r="A49" s="106"/>
      <c r="B49" s="168"/>
      <c r="C49" s="108"/>
      <c r="D49" s="169"/>
      <c r="E49" s="55" t="str">
        <f t="shared" si="7"/>
        <v>Exploration costs</v>
      </c>
      <c r="F49" s="56"/>
      <c r="G49" s="55" t="str">
        <f t="shared" si="8"/>
        <v>US$ mn 2021</v>
      </c>
      <c r="H49" s="13"/>
      <c r="I49" s="98">
        <f t="shared" ca="1" si="5"/>
        <v>420</v>
      </c>
      <c r="J49" s="52"/>
      <c r="K49" s="12">
        <f t="shared" ref="K49:AX49" ca="1" si="10" xml:space="preserve"> K11 * $F41</f>
        <v>420</v>
      </c>
      <c r="L49" s="12">
        <f t="shared" ca="1" si="10"/>
        <v>0</v>
      </c>
      <c r="M49" s="12">
        <f t="shared" ca="1" si="10"/>
        <v>0</v>
      </c>
      <c r="N49" s="12">
        <f t="shared" ca="1" si="10"/>
        <v>0</v>
      </c>
      <c r="O49" s="12">
        <f t="shared" ca="1" si="10"/>
        <v>0</v>
      </c>
      <c r="P49" s="12">
        <f t="shared" ca="1" si="10"/>
        <v>0</v>
      </c>
      <c r="Q49" s="12">
        <f t="shared" ca="1" si="10"/>
        <v>0</v>
      </c>
      <c r="R49" s="12">
        <f t="shared" ca="1" si="10"/>
        <v>0</v>
      </c>
      <c r="S49" s="12">
        <f t="shared" ca="1" si="10"/>
        <v>0</v>
      </c>
      <c r="T49" s="12">
        <f t="shared" ca="1" si="10"/>
        <v>0</v>
      </c>
      <c r="U49" s="12">
        <f t="shared" ca="1" si="10"/>
        <v>0</v>
      </c>
      <c r="V49" s="12">
        <f t="shared" ca="1" si="10"/>
        <v>0</v>
      </c>
      <c r="W49" s="12">
        <f t="shared" ca="1" si="10"/>
        <v>0</v>
      </c>
      <c r="X49" s="12">
        <f t="shared" ca="1" si="10"/>
        <v>0</v>
      </c>
      <c r="Y49" s="12">
        <f t="shared" ca="1" si="10"/>
        <v>0</v>
      </c>
      <c r="Z49" s="12">
        <f t="shared" ca="1" si="10"/>
        <v>0</v>
      </c>
      <c r="AA49" s="12">
        <f t="shared" ca="1" si="10"/>
        <v>0</v>
      </c>
      <c r="AB49" s="12">
        <f t="shared" ca="1" si="10"/>
        <v>0</v>
      </c>
      <c r="AC49" s="12">
        <f t="shared" ca="1" si="10"/>
        <v>0</v>
      </c>
      <c r="AD49" s="12">
        <f t="shared" ca="1" si="10"/>
        <v>0</v>
      </c>
      <c r="AE49" s="12">
        <f t="shared" ca="1" si="10"/>
        <v>0</v>
      </c>
      <c r="AF49" s="12">
        <f t="shared" ca="1" si="10"/>
        <v>0</v>
      </c>
      <c r="AG49" s="12">
        <f t="shared" ca="1" si="10"/>
        <v>0</v>
      </c>
      <c r="AH49" s="12">
        <f t="shared" ca="1" si="10"/>
        <v>0</v>
      </c>
      <c r="AI49" s="12">
        <f t="shared" ca="1" si="10"/>
        <v>0</v>
      </c>
      <c r="AJ49" s="12">
        <f t="shared" ca="1" si="10"/>
        <v>0</v>
      </c>
      <c r="AK49" s="12">
        <f t="shared" ca="1" si="10"/>
        <v>0</v>
      </c>
      <c r="AL49" s="12">
        <f t="shared" ca="1" si="10"/>
        <v>0</v>
      </c>
      <c r="AM49" s="12">
        <f t="shared" ca="1" si="10"/>
        <v>0</v>
      </c>
      <c r="AN49" s="12">
        <f t="shared" ca="1" si="10"/>
        <v>0</v>
      </c>
      <c r="AO49" s="12">
        <f t="shared" ca="1" si="10"/>
        <v>0</v>
      </c>
      <c r="AP49" s="12">
        <f t="shared" ca="1" si="10"/>
        <v>0</v>
      </c>
      <c r="AQ49" s="12">
        <f t="shared" ca="1" si="10"/>
        <v>0</v>
      </c>
      <c r="AR49" s="12">
        <f t="shared" ca="1" si="10"/>
        <v>0</v>
      </c>
      <c r="AS49" s="12">
        <f t="shared" ca="1" si="10"/>
        <v>0</v>
      </c>
      <c r="AT49" s="12">
        <f t="shared" ca="1" si="10"/>
        <v>0</v>
      </c>
      <c r="AU49" s="12">
        <f t="shared" ca="1" si="10"/>
        <v>0</v>
      </c>
      <c r="AV49" s="12">
        <f t="shared" ca="1" si="10"/>
        <v>0</v>
      </c>
      <c r="AW49" s="12">
        <f t="shared" ca="1" si="10"/>
        <v>0</v>
      </c>
      <c r="AX49" s="12">
        <f t="shared" ca="1" si="10"/>
        <v>0</v>
      </c>
    </row>
    <row r="50" spans="1:50" ht="15" customHeight="1" x14ac:dyDescent="0.25">
      <c r="A50" s="106"/>
      <c r="B50" s="168"/>
      <c r="C50" s="108"/>
      <c r="D50" s="169"/>
      <c r="E50" s="55" t="str">
        <f t="shared" si="7"/>
        <v>Development costs</v>
      </c>
      <c r="F50" s="56"/>
      <c r="G50" s="55" t="str">
        <f t="shared" si="8"/>
        <v>US$ mn 2021</v>
      </c>
      <c r="H50" s="13"/>
      <c r="I50" s="98">
        <f t="shared" ca="1" si="5"/>
        <v>9050</v>
      </c>
      <c r="J50" s="52"/>
      <c r="K50" s="12">
        <f t="shared" ref="K50:AX50" ca="1" si="11" xml:space="preserve"> K12 * $F42</f>
        <v>0</v>
      </c>
      <c r="L50" s="12">
        <f t="shared" ca="1" si="11"/>
        <v>50</v>
      </c>
      <c r="M50" s="12">
        <f t="shared" ca="1" si="11"/>
        <v>300</v>
      </c>
      <c r="N50" s="12">
        <f t="shared" ca="1" si="11"/>
        <v>1200</v>
      </c>
      <c r="O50" s="12">
        <f t="shared" ca="1" si="11"/>
        <v>1200</v>
      </c>
      <c r="P50" s="12">
        <f t="shared" ca="1" si="11"/>
        <v>2100</v>
      </c>
      <c r="Q50" s="12">
        <f t="shared" ca="1" si="11"/>
        <v>1100</v>
      </c>
      <c r="R50" s="12">
        <f t="shared" ca="1" si="11"/>
        <v>450</v>
      </c>
      <c r="S50" s="12">
        <f t="shared" ca="1" si="11"/>
        <v>250</v>
      </c>
      <c r="T50" s="12">
        <f t="shared" ca="1" si="11"/>
        <v>250</v>
      </c>
      <c r="U50" s="12">
        <f t="shared" ca="1" si="11"/>
        <v>250</v>
      </c>
      <c r="V50" s="12">
        <f t="shared" ca="1" si="11"/>
        <v>250</v>
      </c>
      <c r="W50" s="12">
        <f t="shared" ca="1" si="11"/>
        <v>250</v>
      </c>
      <c r="X50" s="12">
        <f t="shared" ca="1" si="11"/>
        <v>250</v>
      </c>
      <c r="Y50" s="12">
        <f t="shared" ca="1" si="11"/>
        <v>250</v>
      </c>
      <c r="Z50" s="12">
        <f t="shared" ca="1" si="11"/>
        <v>250</v>
      </c>
      <c r="AA50" s="12">
        <f t="shared" ca="1" si="11"/>
        <v>250</v>
      </c>
      <c r="AB50" s="12">
        <f t="shared" ca="1" si="11"/>
        <v>0</v>
      </c>
      <c r="AC50" s="12">
        <f t="shared" ca="1" si="11"/>
        <v>0</v>
      </c>
      <c r="AD50" s="12">
        <f t="shared" ca="1" si="11"/>
        <v>200</v>
      </c>
      <c r="AE50" s="12">
        <f t="shared" ca="1" si="11"/>
        <v>200</v>
      </c>
      <c r="AF50" s="12">
        <f t="shared" ca="1" si="11"/>
        <v>0</v>
      </c>
      <c r="AG50" s="12">
        <f t="shared" ca="1" si="11"/>
        <v>0</v>
      </c>
      <c r="AH50" s="12">
        <f t="shared" ca="1" si="11"/>
        <v>0</v>
      </c>
      <c r="AI50" s="12">
        <f t="shared" ca="1" si="11"/>
        <v>0</v>
      </c>
      <c r="AJ50" s="12">
        <f t="shared" ca="1" si="11"/>
        <v>0</v>
      </c>
      <c r="AK50" s="12">
        <f t="shared" ca="1" si="11"/>
        <v>0</v>
      </c>
      <c r="AL50" s="12">
        <f t="shared" ca="1" si="11"/>
        <v>0</v>
      </c>
      <c r="AM50" s="12">
        <f t="shared" ca="1" si="11"/>
        <v>0</v>
      </c>
      <c r="AN50" s="12">
        <f t="shared" ca="1" si="11"/>
        <v>0</v>
      </c>
      <c r="AO50" s="12">
        <f t="shared" ca="1" si="11"/>
        <v>0</v>
      </c>
      <c r="AP50" s="12">
        <f t="shared" ca="1" si="11"/>
        <v>0</v>
      </c>
      <c r="AQ50" s="12">
        <f t="shared" ca="1" si="11"/>
        <v>0</v>
      </c>
      <c r="AR50" s="12">
        <f t="shared" ca="1" si="11"/>
        <v>0</v>
      </c>
      <c r="AS50" s="12">
        <f t="shared" ca="1" si="11"/>
        <v>0</v>
      </c>
      <c r="AT50" s="12">
        <f t="shared" ca="1" si="11"/>
        <v>0</v>
      </c>
      <c r="AU50" s="12">
        <f t="shared" ca="1" si="11"/>
        <v>0</v>
      </c>
      <c r="AV50" s="12">
        <f t="shared" ca="1" si="11"/>
        <v>0</v>
      </c>
      <c r="AW50" s="12">
        <f t="shared" ca="1" si="11"/>
        <v>0</v>
      </c>
      <c r="AX50" s="12">
        <f t="shared" ca="1" si="11"/>
        <v>0</v>
      </c>
    </row>
    <row r="51" spans="1:50" ht="15" customHeight="1" x14ac:dyDescent="0.25">
      <c r="A51" s="106"/>
      <c r="B51" s="168"/>
      <c r="C51" s="108"/>
      <c r="D51" s="169"/>
      <c r="E51" s="55" t="str">
        <f t="shared" si="7"/>
        <v>Replacement capital costs</v>
      </c>
      <c r="F51" s="56"/>
      <c r="G51" s="55" t="str">
        <f t="shared" si="8"/>
        <v>US$ mn 2021</v>
      </c>
      <c r="H51" s="13"/>
      <c r="I51" s="98">
        <f t="shared" ca="1" si="5"/>
        <v>0</v>
      </c>
      <c r="J51" s="52"/>
      <c r="K51" s="12">
        <f t="shared" ref="K51:AX51" ca="1" si="12" xml:space="preserve"> K13 * $F42</f>
        <v>0</v>
      </c>
      <c r="L51" s="12">
        <f t="shared" ca="1" si="12"/>
        <v>0</v>
      </c>
      <c r="M51" s="12">
        <f t="shared" ca="1" si="12"/>
        <v>0</v>
      </c>
      <c r="N51" s="12">
        <f t="shared" ca="1" si="12"/>
        <v>0</v>
      </c>
      <c r="O51" s="12">
        <f t="shared" ca="1" si="12"/>
        <v>0</v>
      </c>
      <c r="P51" s="12">
        <f t="shared" ca="1" si="12"/>
        <v>0</v>
      </c>
      <c r="Q51" s="12">
        <f t="shared" ca="1" si="12"/>
        <v>0</v>
      </c>
      <c r="R51" s="12">
        <f t="shared" ca="1" si="12"/>
        <v>0</v>
      </c>
      <c r="S51" s="12">
        <f t="shared" ca="1" si="12"/>
        <v>0</v>
      </c>
      <c r="T51" s="12">
        <f t="shared" ca="1" si="12"/>
        <v>0</v>
      </c>
      <c r="U51" s="12">
        <f t="shared" ca="1" si="12"/>
        <v>0</v>
      </c>
      <c r="V51" s="12">
        <f t="shared" ca="1" si="12"/>
        <v>0</v>
      </c>
      <c r="W51" s="12">
        <f t="shared" ca="1" si="12"/>
        <v>0</v>
      </c>
      <c r="X51" s="12">
        <f t="shared" ca="1" si="12"/>
        <v>0</v>
      </c>
      <c r="Y51" s="12">
        <f t="shared" ca="1" si="12"/>
        <v>0</v>
      </c>
      <c r="Z51" s="12">
        <f t="shared" ca="1" si="12"/>
        <v>0</v>
      </c>
      <c r="AA51" s="12">
        <f t="shared" ca="1" si="12"/>
        <v>0</v>
      </c>
      <c r="AB51" s="12">
        <f t="shared" ca="1" si="12"/>
        <v>0</v>
      </c>
      <c r="AC51" s="12">
        <f t="shared" ca="1" si="12"/>
        <v>0</v>
      </c>
      <c r="AD51" s="12">
        <f t="shared" ca="1" si="12"/>
        <v>0</v>
      </c>
      <c r="AE51" s="12">
        <f t="shared" ca="1" si="12"/>
        <v>0</v>
      </c>
      <c r="AF51" s="12">
        <f t="shared" ca="1" si="12"/>
        <v>0</v>
      </c>
      <c r="AG51" s="12">
        <f t="shared" ca="1" si="12"/>
        <v>0</v>
      </c>
      <c r="AH51" s="12">
        <f t="shared" ca="1" si="12"/>
        <v>0</v>
      </c>
      <c r="AI51" s="12">
        <f t="shared" ca="1" si="12"/>
        <v>0</v>
      </c>
      <c r="AJ51" s="12">
        <f t="shared" ca="1" si="12"/>
        <v>0</v>
      </c>
      <c r="AK51" s="12">
        <f t="shared" ca="1" si="12"/>
        <v>0</v>
      </c>
      <c r="AL51" s="12">
        <f t="shared" ca="1" si="12"/>
        <v>0</v>
      </c>
      <c r="AM51" s="12">
        <f t="shared" ca="1" si="12"/>
        <v>0</v>
      </c>
      <c r="AN51" s="12">
        <f t="shared" ca="1" si="12"/>
        <v>0</v>
      </c>
      <c r="AO51" s="12">
        <f t="shared" ca="1" si="12"/>
        <v>0</v>
      </c>
      <c r="AP51" s="12">
        <f t="shared" ca="1" si="12"/>
        <v>0</v>
      </c>
      <c r="AQ51" s="12">
        <f t="shared" ca="1" si="12"/>
        <v>0</v>
      </c>
      <c r="AR51" s="12">
        <f t="shared" ca="1" si="12"/>
        <v>0</v>
      </c>
      <c r="AS51" s="12">
        <f t="shared" ca="1" si="12"/>
        <v>0</v>
      </c>
      <c r="AT51" s="12">
        <f t="shared" ca="1" si="12"/>
        <v>0</v>
      </c>
      <c r="AU51" s="12">
        <f t="shared" ca="1" si="12"/>
        <v>0</v>
      </c>
      <c r="AV51" s="12">
        <f t="shared" ca="1" si="12"/>
        <v>0</v>
      </c>
      <c r="AW51" s="12">
        <f t="shared" ca="1" si="12"/>
        <v>0</v>
      </c>
      <c r="AX51" s="12">
        <f t="shared" ca="1" si="12"/>
        <v>0</v>
      </c>
    </row>
    <row r="52" spans="1:50" ht="15" customHeight="1" x14ac:dyDescent="0.25">
      <c r="A52" s="106"/>
      <c r="B52" s="168"/>
      <c r="C52" s="108"/>
      <c r="D52" s="169"/>
      <c r="E52" s="55" t="str">
        <f t="shared" si="7"/>
        <v>Operating costs</v>
      </c>
      <c r="F52" s="56"/>
      <c r="G52" s="55" t="str">
        <f t="shared" si="8"/>
        <v>US$ mn 2021</v>
      </c>
      <c r="H52" s="13"/>
      <c r="I52" s="98">
        <f t="shared" ca="1" si="5"/>
        <v>4601</v>
      </c>
      <c r="J52" s="52"/>
      <c r="K52" s="12">
        <f t="shared" ref="K52:AX52" ca="1" si="13" xml:space="preserve"> K14 * $F43</f>
        <v>0</v>
      </c>
      <c r="L52" s="12">
        <f t="shared" ca="1" si="13"/>
        <v>0</v>
      </c>
      <c r="M52" s="12">
        <f t="shared" ca="1" si="13"/>
        <v>0</v>
      </c>
      <c r="N52" s="12">
        <f t="shared" ca="1" si="13"/>
        <v>0</v>
      </c>
      <c r="O52" s="12">
        <f t="shared" ca="1" si="13"/>
        <v>50</v>
      </c>
      <c r="P52" s="12">
        <f t="shared" ca="1" si="13"/>
        <v>180</v>
      </c>
      <c r="Q52" s="12">
        <f t="shared" ca="1" si="13"/>
        <v>260</v>
      </c>
      <c r="R52" s="12">
        <f t="shared" ca="1" si="13"/>
        <v>260</v>
      </c>
      <c r="S52" s="12">
        <f t="shared" ca="1" si="13"/>
        <v>260</v>
      </c>
      <c r="T52" s="12">
        <f t="shared" ca="1" si="13"/>
        <v>260</v>
      </c>
      <c r="U52" s="12">
        <f t="shared" ca="1" si="13"/>
        <v>260</v>
      </c>
      <c r="V52" s="12">
        <f t="shared" ca="1" si="13"/>
        <v>260</v>
      </c>
      <c r="W52" s="12">
        <f t="shared" ca="1" si="13"/>
        <v>260</v>
      </c>
      <c r="X52" s="12">
        <f t="shared" ca="1" si="13"/>
        <v>260</v>
      </c>
      <c r="Y52" s="12">
        <f t="shared" ca="1" si="13"/>
        <v>260</v>
      </c>
      <c r="Z52" s="12">
        <f t="shared" ca="1" si="13"/>
        <v>260</v>
      </c>
      <c r="AA52" s="12">
        <f t="shared" ca="1" si="13"/>
        <v>260</v>
      </c>
      <c r="AB52" s="12">
        <f t="shared" ca="1" si="13"/>
        <v>260</v>
      </c>
      <c r="AC52" s="12">
        <f t="shared" ca="1" si="13"/>
        <v>150</v>
      </c>
      <c r="AD52" s="12">
        <f t="shared" ca="1" si="13"/>
        <v>140</v>
      </c>
      <c r="AE52" s="12">
        <f t="shared" ca="1" si="13"/>
        <v>120</v>
      </c>
      <c r="AF52" s="12">
        <f t="shared" ca="1" si="13"/>
        <v>111</v>
      </c>
      <c r="AG52" s="12">
        <f t="shared" ca="1" si="13"/>
        <v>100</v>
      </c>
      <c r="AH52" s="12">
        <f t="shared" ca="1" si="13"/>
        <v>95</v>
      </c>
      <c r="AI52" s="12">
        <f t="shared" ca="1" si="13"/>
        <v>90</v>
      </c>
      <c r="AJ52" s="12">
        <f t="shared" ca="1" si="13"/>
        <v>85</v>
      </c>
      <c r="AK52" s="12">
        <f t="shared" ca="1" si="13"/>
        <v>80</v>
      </c>
      <c r="AL52" s="12">
        <f t="shared" ca="1" si="13"/>
        <v>75</v>
      </c>
      <c r="AM52" s="12">
        <f t="shared" ca="1" si="13"/>
        <v>70</v>
      </c>
      <c r="AN52" s="12">
        <f t="shared" ca="1" si="13"/>
        <v>70</v>
      </c>
      <c r="AO52" s="12">
        <f t="shared" ca="1" si="13"/>
        <v>65</v>
      </c>
      <c r="AP52" s="12">
        <f t="shared" ca="1" si="13"/>
        <v>0</v>
      </c>
      <c r="AQ52" s="12">
        <f t="shared" ca="1" si="13"/>
        <v>0</v>
      </c>
      <c r="AR52" s="12">
        <f t="shared" ca="1" si="13"/>
        <v>0</v>
      </c>
      <c r="AS52" s="12">
        <f t="shared" ca="1" si="13"/>
        <v>0</v>
      </c>
      <c r="AT52" s="12">
        <f t="shared" ca="1" si="13"/>
        <v>0</v>
      </c>
      <c r="AU52" s="12">
        <f t="shared" ca="1" si="13"/>
        <v>0</v>
      </c>
      <c r="AV52" s="12">
        <f t="shared" ca="1" si="13"/>
        <v>0</v>
      </c>
      <c r="AW52" s="12">
        <f t="shared" ca="1" si="13"/>
        <v>0</v>
      </c>
      <c r="AX52" s="12">
        <f t="shared" ca="1" si="13"/>
        <v>0</v>
      </c>
    </row>
    <row r="53" spans="1:50" ht="15" customHeight="1" x14ac:dyDescent="0.25">
      <c r="A53" s="106"/>
      <c r="B53" s="168"/>
      <c r="C53" s="108"/>
      <c r="D53" s="169"/>
      <c r="E53" s="55" t="str">
        <f t="shared" si="7"/>
        <v>Decommissioning costs</v>
      </c>
      <c r="F53" s="56"/>
      <c r="G53" s="55" t="str">
        <f t="shared" si="8"/>
        <v>US$ mn 2021</v>
      </c>
      <c r="H53" s="13"/>
      <c r="I53" s="98">
        <f t="shared" ca="1" si="5"/>
        <v>750</v>
      </c>
      <c r="J53" s="52"/>
      <c r="K53" s="12">
        <f t="shared" ref="K53:AX53" ca="1" si="14" xml:space="preserve"> K15 * $F42</f>
        <v>0</v>
      </c>
      <c r="L53" s="12">
        <f t="shared" ca="1" si="14"/>
        <v>0</v>
      </c>
      <c r="M53" s="12">
        <f t="shared" ca="1" si="14"/>
        <v>0</v>
      </c>
      <c r="N53" s="12">
        <f t="shared" ca="1" si="14"/>
        <v>0</v>
      </c>
      <c r="O53" s="12">
        <f t="shared" ca="1" si="14"/>
        <v>0</v>
      </c>
      <c r="P53" s="12">
        <f t="shared" ca="1" si="14"/>
        <v>0</v>
      </c>
      <c r="Q53" s="12">
        <f t="shared" ca="1" si="14"/>
        <v>0</v>
      </c>
      <c r="R53" s="12">
        <f t="shared" ca="1" si="14"/>
        <v>0</v>
      </c>
      <c r="S53" s="12">
        <f t="shared" ca="1" si="14"/>
        <v>0</v>
      </c>
      <c r="T53" s="12">
        <f t="shared" ca="1" si="14"/>
        <v>0</v>
      </c>
      <c r="U53" s="12">
        <f t="shared" ca="1" si="14"/>
        <v>0</v>
      </c>
      <c r="V53" s="12">
        <f t="shared" ca="1" si="14"/>
        <v>0</v>
      </c>
      <c r="W53" s="12">
        <f t="shared" ca="1" si="14"/>
        <v>0</v>
      </c>
      <c r="X53" s="12">
        <f t="shared" ca="1" si="14"/>
        <v>0</v>
      </c>
      <c r="Y53" s="12">
        <f t="shared" ca="1" si="14"/>
        <v>0</v>
      </c>
      <c r="Z53" s="12">
        <f t="shared" ca="1" si="14"/>
        <v>0</v>
      </c>
      <c r="AA53" s="12">
        <f t="shared" ca="1" si="14"/>
        <v>0</v>
      </c>
      <c r="AB53" s="12">
        <f t="shared" ca="1" si="14"/>
        <v>0</v>
      </c>
      <c r="AC53" s="12">
        <f t="shared" ca="1" si="14"/>
        <v>0</v>
      </c>
      <c r="AD53" s="12">
        <f t="shared" ca="1" si="14"/>
        <v>0</v>
      </c>
      <c r="AE53" s="12">
        <f t="shared" ca="1" si="14"/>
        <v>0</v>
      </c>
      <c r="AF53" s="12">
        <f t="shared" ca="1" si="14"/>
        <v>0</v>
      </c>
      <c r="AG53" s="12">
        <f t="shared" ca="1" si="14"/>
        <v>0</v>
      </c>
      <c r="AH53" s="12">
        <f t="shared" ca="1" si="14"/>
        <v>0</v>
      </c>
      <c r="AI53" s="12">
        <f t="shared" ca="1" si="14"/>
        <v>0</v>
      </c>
      <c r="AJ53" s="12">
        <f t="shared" ca="1" si="14"/>
        <v>0</v>
      </c>
      <c r="AK53" s="12">
        <f t="shared" ca="1" si="14"/>
        <v>0</v>
      </c>
      <c r="AL53" s="12">
        <f t="shared" ca="1" si="14"/>
        <v>250</v>
      </c>
      <c r="AM53" s="12">
        <f t="shared" ca="1" si="14"/>
        <v>0</v>
      </c>
      <c r="AN53" s="12">
        <f t="shared" ca="1" si="14"/>
        <v>0</v>
      </c>
      <c r="AO53" s="12">
        <f t="shared" ca="1" si="14"/>
        <v>0</v>
      </c>
      <c r="AP53" s="12">
        <f t="shared" ca="1" si="14"/>
        <v>250</v>
      </c>
      <c r="AQ53" s="12">
        <f t="shared" ca="1" si="14"/>
        <v>250</v>
      </c>
      <c r="AR53" s="12">
        <f t="shared" ca="1" si="14"/>
        <v>0</v>
      </c>
      <c r="AS53" s="12">
        <f t="shared" ca="1" si="14"/>
        <v>0</v>
      </c>
      <c r="AT53" s="12">
        <f t="shared" ca="1" si="14"/>
        <v>0</v>
      </c>
      <c r="AU53" s="12">
        <f t="shared" ca="1" si="14"/>
        <v>0</v>
      </c>
      <c r="AV53" s="12">
        <f t="shared" ca="1" si="14"/>
        <v>0</v>
      </c>
      <c r="AW53" s="12">
        <f t="shared" ca="1" si="14"/>
        <v>0</v>
      </c>
      <c r="AX53" s="12">
        <f t="shared" ca="1" si="14"/>
        <v>0</v>
      </c>
    </row>
    <row r="54" spans="1:50" ht="15" customHeight="1" x14ac:dyDescent="0.25">
      <c r="A54" s="106"/>
      <c r="B54" s="175"/>
      <c r="C54" s="88"/>
      <c r="D54" s="162"/>
      <c r="E54" s="56"/>
      <c r="F54" s="56"/>
      <c r="G54" s="56"/>
      <c r="H54" s="56"/>
      <c r="I54" s="89"/>
      <c r="J54" s="56"/>
      <c r="K54" s="56"/>
      <c r="L54" s="56"/>
      <c r="M54" s="56"/>
      <c r="N54" s="56"/>
      <c r="O54" s="56"/>
      <c r="P54" s="56"/>
      <c r="Q54" s="56"/>
      <c r="R54" s="56"/>
      <c r="S54" s="56"/>
      <c r="T54" s="56"/>
      <c r="U54" s="56"/>
      <c r="V54" s="56"/>
      <c r="W54" s="56"/>
      <c r="X54" s="56"/>
      <c r="Y54" s="56"/>
      <c r="Z54" s="56"/>
      <c r="AA54" s="56"/>
      <c r="AB54" s="56"/>
      <c r="AC54" s="56"/>
      <c r="AD54" s="56"/>
      <c r="AE54" s="56"/>
      <c r="AF54" s="56"/>
      <c r="AG54" s="56"/>
      <c r="AH54" s="56"/>
      <c r="AI54" s="56"/>
      <c r="AJ54" s="56"/>
      <c r="AK54" s="56"/>
      <c r="AL54" s="56"/>
      <c r="AM54" s="56"/>
      <c r="AN54" s="56"/>
      <c r="AO54" s="56"/>
      <c r="AP54" s="56"/>
      <c r="AQ54" s="56"/>
      <c r="AR54" s="56"/>
      <c r="AS54" s="56"/>
      <c r="AT54" s="56"/>
      <c r="AU54" s="56"/>
      <c r="AV54" s="56"/>
      <c r="AW54" s="56"/>
      <c r="AX54" s="56"/>
    </row>
    <row r="55" spans="1:50" s="741" customFormat="1" ht="15" customHeight="1" x14ac:dyDescent="0.25">
      <c r="A55" s="738"/>
      <c r="B55" s="883"/>
      <c r="C55" s="862"/>
      <c r="D55" s="883"/>
      <c r="E55" s="775" t="str">
        <f t="shared" ref="E55:AX55" si="15" xml:space="preserve"> E$34</f>
        <v>Model calendar years</v>
      </c>
      <c r="F55" s="775">
        <f t="shared" si="15"/>
        <v>0</v>
      </c>
      <c r="G55" s="775" t="str">
        <f t="shared" si="15"/>
        <v>Year</v>
      </c>
      <c r="H55" s="775">
        <f t="shared" si="15"/>
        <v>0</v>
      </c>
      <c r="I55" s="775">
        <f t="shared" si="15"/>
        <v>0</v>
      </c>
      <c r="J55" s="775">
        <f t="shared" si="15"/>
        <v>0</v>
      </c>
      <c r="K55" s="775">
        <f t="shared" si="15"/>
        <v>2021</v>
      </c>
      <c r="L55" s="775">
        <f t="shared" si="15"/>
        <v>2022</v>
      </c>
      <c r="M55" s="775">
        <f t="shared" si="15"/>
        <v>2023</v>
      </c>
      <c r="N55" s="775">
        <f t="shared" si="15"/>
        <v>2024</v>
      </c>
      <c r="O55" s="775">
        <f t="shared" si="15"/>
        <v>2025</v>
      </c>
      <c r="P55" s="775">
        <f t="shared" si="15"/>
        <v>2026</v>
      </c>
      <c r="Q55" s="775">
        <f t="shared" si="15"/>
        <v>2027</v>
      </c>
      <c r="R55" s="775">
        <f t="shared" si="15"/>
        <v>2028</v>
      </c>
      <c r="S55" s="775">
        <f t="shared" si="15"/>
        <v>2029</v>
      </c>
      <c r="T55" s="775">
        <f t="shared" si="15"/>
        <v>2030</v>
      </c>
      <c r="U55" s="775">
        <f t="shared" si="15"/>
        <v>2031</v>
      </c>
      <c r="V55" s="775">
        <f t="shared" si="15"/>
        <v>2032</v>
      </c>
      <c r="W55" s="775">
        <f t="shared" si="15"/>
        <v>2033</v>
      </c>
      <c r="X55" s="775">
        <f t="shared" si="15"/>
        <v>2034</v>
      </c>
      <c r="Y55" s="775">
        <f t="shared" si="15"/>
        <v>2035</v>
      </c>
      <c r="Z55" s="775">
        <f t="shared" si="15"/>
        <v>2036</v>
      </c>
      <c r="AA55" s="775">
        <f t="shared" si="15"/>
        <v>2037</v>
      </c>
      <c r="AB55" s="775">
        <f t="shared" si="15"/>
        <v>2038</v>
      </c>
      <c r="AC55" s="775">
        <f t="shared" si="15"/>
        <v>2039</v>
      </c>
      <c r="AD55" s="775">
        <f t="shared" si="15"/>
        <v>2040</v>
      </c>
      <c r="AE55" s="775">
        <f t="shared" si="15"/>
        <v>2041</v>
      </c>
      <c r="AF55" s="775">
        <f t="shared" si="15"/>
        <v>2042</v>
      </c>
      <c r="AG55" s="775">
        <f t="shared" si="15"/>
        <v>2043</v>
      </c>
      <c r="AH55" s="775">
        <f t="shared" si="15"/>
        <v>2044</v>
      </c>
      <c r="AI55" s="775">
        <f t="shared" si="15"/>
        <v>2045</v>
      </c>
      <c r="AJ55" s="775">
        <f t="shared" si="15"/>
        <v>2046</v>
      </c>
      <c r="AK55" s="775">
        <f t="shared" si="15"/>
        <v>2047</v>
      </c>
      <c r="AL55" s="775">
        <f t="shared" si="15"/>
        <v>2048</v>
      </c>
      <c r="AM55" s="775">
        <f t="shared" si="15"/>
        <v>2049</v>
      </c>
      <c r="AN55" s="775">
        <f t="shared" si="15"/>
        <v>2050</v>
      </c>
      <c r="AO55" s="775">
        <f t="shared" si="15"/>
        <v>2051</v>
      </c>
      <c r="AP55" s="775">
        <f t="shared" si="15"/>
        <v>2052</v>
      </c>
      <c r="AQ55" s="775">
        <f t="shared" si="15"/>
        <v>2053</v>
      </c>
      <c r="AR55" s="775">
        <f t="shared" si="15"/>
        <v>2054</v>
      </c>
      <c r="AS55" s="775">
        <f t="shared" si="15"/>
        <v>2055</v>
      </c>
      <c r="AT55" s="775">
        <f t="shared" si="15"/>
        <v>2056</v>
      </c>
      <c r="AU55" s="775">
        <f t="shared" si="15"/>
        <v>2057</v>
      </c>
      <c r="AV55" s="775">
        <f t="shared" si="15"/>
        <v>2058</v>
      </c>
      <c r="AW55" s="775">
        <f t="shared" si="15"/>
        <v>2059</v>
      </c>
      <c r="AX55" s="775">
        <f t="shared" si="15"/>
        <v>2060</v>
      </c>
    </row>
    <row r="56" spans="1:50" ht="15" customHeight="1" x14ac:dyDescent="0.25">
      <c r="A56" s="106"/>
      <c r="B56" s="168"/>
      <c r="C56" s="108"/>
      <c r="D56" s="169"/>
      <c r="E56" s="55" t="str">
        <f>Translate!E573</f>
        <v xml:space="preserve">Peak production </v>
      </c>
      <c r="F56" s="151">
        <f ca="1" xml:space="preserve"> MAX(K46:AX46)</f>
        <v>150</v>
      </c>
      <c r="G56" s="55" t="str">
        <f>G46</f>
        <v>KBOPD</v>
      </c>
      <c r="H56" s="13"/>
      <c r="I56" s="98"/>
      <c r="J56" s="5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row>
    <row r="57" spans="1:50" s="741" customFormat="1" ht="15" customHeight="1" x14ac:dyDescent="0.25">
      <c r="A57" s="874"/>
      <c r="C57" s="740"/>
      <c r="D57" s="775"/>
      <c r="E57" s="775" t="str">
        <f>Translate!E574</f>
        <v>Peak production year</v>
      </c>
      <c r="F57" s="775">
        <f ca="1">INDEX(K55:BH55,,MATCH(F56,K46:AX46,0))</f>
        <v>2027</v>
      </c>
      <c r="G57" s="741" t="str">
        <f>Translate!E$608</f>
        <v>Year</v>
      </c>
      <c r="H57" s="776"/>
      <c r="I57" s="775"/>
      <c r="J57" s="775"/>
      <c r="K57" s="776"/>
      <c r="L57" s="776"/>
      <c r="M57" s="776"/>
      <c r="N57" s="776"/>
      <c r="O57" s="776"/>
      <c r="P57" s="776"/>
      <c r="Q57" s="776"/>
      <c r="R57" s="776"/>
      <c r="S57" s="776"/>
      <c r="T57" s="776"/>
      <c r="U57" s="776"/>
      <c r="V57" s="776"/>
      <c r="W57" s="776"/>
      <c r="X57" s="776"/>
      <c r="Y57" s="776"/>
      <c r="Z57" s="776"/>
      <c r="AA57" s="776"/>
      <c r="AB57" s="776"/>
      <c r="AC57" s="776"/>
      <c r="AD57" s="776"/>
      <c r="AE57" s="776"/>
      <c r="AF57" s="776"/>
      <c r="AG57" s="776"/>
      <c r="AH57" s="776"/>
      <c r="AI57" s="776"/>
      <c r="AJ57" s="776"/>
      <c r="AK57" s="776"/>
      <c r="AL57" s="776"/>
      <c r="AM57" s="776"/>
      <c r="AN57" s="776"/>
      <c r="AO57" s="776"/>
      <c r="AP57" s="776"/>
      <c r="AQ57" s="776"/>
      <c r="AR57" s="776"/>
      <c r="AS57" s="776"/>
      <c r="AT57" s="776"/>
      <c r="AU57" s="776"/>
      <c r="AV57" s="776"/>
      <c r="AW57" s="776"/>
      <c r="AX57" s="776"/>
    </row>
    <row r="58" spans="1:50" ht="15" customHeight="1" x14ac:dyDescent="0.25">
      <c r="A58" s="178"/>
      <c r="B58" s="179"/>
      <c r="C58" s="180"/>
      <c r="D58" s="165"/>
      <c r="E58" s="52"/>
      <c r="F58" s="56"/>
      <c r="G58" s="52"/>
      <c r="H58" s="52"/>
      <c r="I58" s="98"/>
      <c r="J58" s="5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row>
    <row r="59" spans="1:50" ht="15" customHeight="1" x14ac:dyDescent="0.25">
      <c r="A59" s="202" t="str">
        <f xml:space="preserve"> Translate!E$701 &amp; ": " &amp; Inputs!F$91</f>
        <v>Project cashflows: real</v>
      </c>
      <c r="B59" s="202"/>
      <c r="C59" s="203"/>
      <c r="D59" s="204"/>
      <c r="E59" s="99"/>
      <c r="F59" s="99"/>
      <c r="G59" s="99"/>
      <c r="H59" s="99"/>
      <c r="I59" s="99"/>
      <c r="J59" s="99"/>
      <c r="K59" s="99"/>
      <c r="L59" s="99"/>
      <c r="M59" s="99"/>
      <c r="N59" s="99"/>
      <c r="O59" s="99"/>
      <c r="P59" s="99"/>
      <c r="Q59" s="99"/>
      <c r="R59" s="99"/>
      <c r="S59" s="99"/>
      <c r="T59" s="99"/>
      <c r="U59" s="99"/>
      <c r="V59" s="99"/>
      <c r="W59" s="99"/>
      <c r="X59" s="99"/>
      <c r="Y59" s="99"/>
      <c r="Z59" s="99"/>
      <c r="AA59" s="99"/>
      <c r="AB59" s="99"/>
      <c r="AC59" s="99"/>
      <c r="AD59" s="99"/>
      <c r="AE59" s="99"/>
      <c r="AF59" s="99"/>
      <c r="AG59" s="99"/>
      <c r="AH59" s="99"/>
      <c r="AI59" s="99"/>
      <c r="AJ59" s="99"/>
      <c r="AK59" s="99"/>
      <c r="AL59" s="99"/>
      <c r="AM59" s="99"/>
      <c r="AN59" s="99"/>
      <c r="AO59" s="99"/>
      <c r="AP59" s="99"/>
      <c r="AQ59" s="99"/>
      <c r="AR59" s="99"/>
      <c r="AS59" s="99"/>
      <c r="AT59" s="99"/>
      <c r="AU59" s="99"/>
      <c r="AV59" s="99"/>
      <c r="AW59" s="99"/>
      <c r="AX59" s="99"/>
    </row>
    <row r="60" spans="1:50" ht="15" customHeight="1" x14ac:dyDescent="0.25">
      <c r="A60" s="48"/>
      <c r="B60" s="48"/>
      <c r="C60" s="146"/>
      <c r="D60" s="147"/>
      <c r="E60" s="56"/>
      <c r="F60" s="56"/>
      <c r="G60" s="56"/>
      <c r="H60" s="56"/>
      <c r="I60" s="89"/>
      <c r="J60" s="56"/>
      <c r="K60" s="56"/>
      <c r="L60" s="56"/>
      <c r="M60" s="56"/>
      <c r="N60" s="56"/>
      <c r="O60" s="56"/>
      <c r="P60" s="56"/>
      <c r="Q60" s="56"/>
      <c r="R60" s="56"/>
      <c r="S60" s="56"/>
      <c r="T60" s="56"/>
      <c r="U60" s="56"/>
      <c r="V60" s="56"/>
      <c r="W60" s="56"/>
      <c r="X60" s="56"/>
      <c r="Y60" s="56"/>
      <c r="Z60" s="56"/>
      <c r="AA60" s="56"/>
      <c r="AB60" s="56"/>
      <c r="AC60" s="56"/>
      <c r="AD60" s="56"/>
      <c r="AE60" s="56"/>
      <c r="AF60" s="56"/>
      <c r="AG60" s="56"/>
      <c r="AH60" s="56"/>
      <c r="AI60" s="56"/>
      <c r="AJ60" s="56"/>
      <c r="AK60" s="56"/>
      <c r="AL60" s="56"/>
      <c r="AM60" s="56"/>
      <c r="AN60" s="56"/>
      <c r="AO60" s="56"/>
      <c r="AP60" s="56"/>
      <c r="AQ60" s="56"/>
      <c r="AR60" s="56"/>
      <c r="AS60" s="56"/>
      <c r="AT60" s="56"/>
      <c r="AU60" s="56"/>
      <c r="AV60" s="56"/>
      <c r="AW60" s="56"/>
      <c r="AX60" s="56"/>
    </row>
    <row r="61" spans="1:50" ht="15" customHeight="1" x14ac:dyDescent="0.25">
      <c r="A61" s="86"/>
      <c r="B61" s="205" t="str">
        <f>Translate!$E$682</f>
        <v>Oil price</v>
      </c>
      <c r="C61" s="88"/>
      <c r="D61" s="162"/>
      <c r="E61" s="56"/>
      <c r="F61" s="56"/>
      <c r="G61" s="56"/>
      <c r="H61" s="56"/>
      <c r="I61" s="89"/>
      <c r="J61" s="56"/>
      <c r="K61" s="56"/>
      <c r="L61" s="56"/>
      <c r="M61" s="56"/>
      <c r="N61" s="56"/>
      <c r="O61" s="56"/>
      <c r="P61" s="56"/>
      <c r="Q61" s="56"/>
      <c r="R61" s="56"/>
      <c r="S61" s="56"/>
      <c r="T61" s="56"/>
      <c r="U61" s="56"/>
      <c r="V61" s="56"/>
      <c r="W61" s="56"/>
      <c r="X61" s="56"/>
      <c r="Y61" s="56"/>
      <c r="Z61" s="56"/>
      <c r="AA61" s="56"/>
      <c r="AB61" s="56"/>
      <c r="AC61" s="56"/>
      <c r="AD61" s="56"/>
      <c r="AE61" s="56"/>
      <c r="AF61" s="56"/>
      <c r="AG61" s="56"/>
      <c r="AH61" s="56"/>
      <c r="AI61" s="56"/>
      <c r="AJ61" s="56"/>
      <c r="AK61" s="56"/>
      <c r="AL61" s="56"/>
      <c r="AM61" s="56"/>
      <c r="AN61" s="56"/>
      <c r="AO61" s="56"/>
      <c r="AP61" s="56"/>
      <c r="AQ61" s="56"/>
      <c r="AR61" s="56"/>
      <c r="AS61" s="56"/>
      <c r="AT61" s="56"/>
      <c r="AU61" s="56"/>
      <c r="AV61" s="56"/>
      <c r="AW61" s="56"/>
      <c r="AX61" s="56"/>
    </row>
    <row r="62" spans="1:50" ht="15" customHeight="1" x14ac:dyDescent="0.25">
      <c r="A62" s="241"/>
      <c r="B62" s="145"/>
      <c r="C62" s="146"/>
      <c r="D62" s="48"/>
      <c r="E62" s="140" t="str">
        <f xml:space="preserve"> Inputs!E$30</f>
        <v>Oil price (constant real terms)</v>
      </c>
      <c r="F62" s="140">
        <f xml:space="preserve"> Inputs!F$30</f>
        <v>55</v>
      </c>
      <c r="G62" s="140" t="str">
        <f xml:space="preserve"> Inputs!G$30</f>
        <v>US$ 2021 / bbl</v>
      </c>
      <c r="H62" s="55"/>
      <c r="I62" s="48"/>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row>
    <row r="63" spans="1:50" ht="15" customHeight="1" x14ac:dyDescent="0.25">
      <c r="A63" s="86"/>
      <c r="B63" s="205"/>
      <c r="C63" s="88"/>
      <c r="D63" s="162"/>
      <c r="E63" s="141" t="str">
        <f xml:space="preserve"> Inputs!E$33</f>
        <v>Price sensitivity</v>
      </c>
      <c r="F63" s="141">
        <f xml:space="preserve"> Inputs!F$33</f>
        <v>1</v>
      </c>
      <c r="G63" s="141" t="str">
        <f xml:space="preserve"> Inputs!G$33</f>
        <v>factor</v>
      </c>
      <c r="H63" s="56"/>
      <c r="I63" s="89"/>
      <c r="J63" s="56"/>
      <c r="K63" s="56"/>
      <c r="L63" s="56"/>
      <c r="M63" s="56"/>
      <c r="N63" s="56"/>
      <c r="O63" s="56"/>
      <c r="P63" s="56"/>
      <c r="Q63" s="56"/>
      <c r="R63" s="56"/>
      <c r="S63" s="56"/>
      <c r="T63" s="56"/>
      <c r="U63" s="56"/>
      <c r="V63" s="56"/>
      <c r="W63" s="56"/>
      <c r="X63" s="56"/>
      <c r="Y63" s="56"/>
      <c r="Z63" s="56"/>
      <c r="AA63" s="56"/>
      <c r="AB63" s="56"/>
      <c r="AC63" s="56"/>
      <c r="AD63" s="56"/>
      <c r="AE63" s="56"/>
      <c r="AF63" s="56"/>
      <c r="AG63" s="56"/>
      <c r="AH63" s="56"/>
      <c r="AI63" s="56"/>
      <c r="AJ63" s="56"/>
      <c r="AK63" s="56"/>
      <c r="AL63" s="56"/>
      <c r="AM63" s="56"/>
      <c r="AN63" s="56"/>
      <c r="AO63" s="56"/>
      <c r="AP63" s="56"/>
      <c r="AQ63" s="56"/>
      <c r="AR63" s="56"/>
      <c r="AS63" s="56"/>
      <c r="AT63" s="56"/>
      <c r="AU63" s="56"/>
      <c r="AV63" s="56"/>
      <c r="AW63" s="56"/>
      <c r="AX63" s="56"/>
    </row>
    <row r="64" spans="1:50" ht="15" customHeight="1" x14ac:dyDescent="0.25">
      <c r="A64" s="241"/>
      <c r="B64" s="145"/>
      <c r="C64" s="146"/>
      <c r="D64" s="48"/>
      <c r="E64" s="411" t="str">
        <f xml:space="preserve"> E62 &amp; " " &amp; Translate!E575</f>
        <v>Oil price (constant real terms) into model</v>
      </c>
      <c r="F64" s="411">
        <f xml:space="preserve"> F62 * F63</f>
        <v>55</v>
      </c>
      <c r="G64" s="411" t="str">
        <f xml:space="preserve"> G62</f>
        <v>US$ 2021 / bbl</v>
      </c>
      <c r="H64" s="55"/>
      <c r="I64" s="48"/>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row>
    <row r="65" spans="1:50" ht="15" customHeight="1" x14ac:dyDescent="0.25">
      <c r="A65" s="241"/>
      <c r="B65" s="48"/>
      <c r="C65" s="146"/>
      <c r="D65" s="48"/>
      <c r="E65" s="190" t="str">
        <f>Translate!E576</f>
        <v>Oil price realized from sales</v>
      </c>
      <c r="F65" s="55"/>
      <c r="G65" s="190" t="str">
        <f xml:space="preserve"> Inputs!F$56</f>
        <v>US$ 2021 / bbl</v>
      </c>
      <c r="H65" s="190"/>
      <c r="I65" s="48"/>
      <c r="J65" s="55"/>
      <c r="K65" s="48">
        <f t="shared" ref="K65:AX65" si="16" xml:space="preserve"> $F64</f>
        <v>55</v>
      </c>
      <c r="L65" s="48">
        <f t="shared" si="16"/>
        <v>55</v>
      </c>
      <c r="M65" s="48">
        <f t="shared" si="16"/>
        <v>55</v>
      </c>
      <c r="N65" s="48">
        <f t="shared" si="16"/>
        <v>55</v>
      </c>
      <c r="O65" s="48">
        <f t="shared" si="16"/>
        <v>55</v>
      </c>
      <c r="P65" s="48">
        <f t="shared" si="16"/>
        <v>55</v>
      </c>
      <c r="Q65" s="48">
        <f t="shared" si="16"/>
        <v>55</v>
      </c>
      <c r="R65" s="48">
        <f t="shared" si="16"/>
        <v>55</v>
      </c>
      <c r="S65" s="48">
        <f t="shared" si="16"/>
        <v>55</v>
      </c>
      <c r="T65" s="48">
        <f t="shared" si="16"/>
        <v>55</v>
      </c>
      <c r="U65" s="48">
        <f t="shared" si="16"/>
        <v>55</v>
      </c>
      <c r="V65" s="48">
        <f t="shared" si="16"/>
        <v>55</v>
      </c>
      <c r="W65" s="48">
        <f t="shared" si="16"/>
        <v>55</v>
      </c>
      <c r="X65" s="48">
        <f t="shared" si="16"/>
        <v>55</v>
      </c>
      <c r="Y65" s="48">
        <f t="shared" si="16"/>
        <v>55</v>
      </c>
      <c r="Z65" s="48">
        <f t="shared" si="16"/>
        <v>55</v>
      </c>
      <c r="AA65" s="48">
        <f t="shared" si="16"/>
        <v>55</v>
      </c>
      <c r="AB65" s="48">
        <f t="shared" si="16"/>
        <v>55</v>
      </c>
      <c r="AC65" s="48">
        <f t="shared" si="16"/>
        <v>55</v>
      </c>
      <c r="AD65" s="48">
        <f t="shared" si="16"/>
        <v>55</v>
      </c>
      <c r="AE65" s="48">
        <f t="shared" si="16"/>
        <v>55</v>
      </c>
      <c r="AF65" s="48">
        <f t="shared" si="16"/>
        <v>55</v>
      </c>
      <c r="AG65" s="48">
        <f t="shared" si="16"/>
        <v>55</v>
      </c>
      <c r="AH65" s="48">
        <f t="shared" si="16"/>
        <v>55</v>
      </c>
      <c r="AI65" s="48">
        <f t="shared" si="16"/>
        <v>55</v>
      </c>
      <c r="AJ65" s="48">
        <f t="shared" si="16"/>
        <v>55</v>
      </c>
      <c r="AK65" s="48">
        <f t="shared" si="16"/>
        <v>55</v>
      </c>
      <c r="AL65" s="48">
        <f t="shared" si="16"/>
        <v>55</v>
      </c>
      <c r="AM65" s="48">
        <f t="shared" si="16"/>
        <v>55</v>
      </c>
      <c r="AN65" s="48">
        <f t="shared" si="16"/>
        <v>55</v>
      </c>
      <c r="AO65" s="48">
        <f t="shared" si="16"/>
        <v>55</v>
      </c>
      <c r="AP65" s="48">
        <f t="shared" si="16"/>
        <v>55</v>
      </c>
      <c r="AQ65" s="48">
        <f t="shared" si="16"/>
        <v>55</v>
      </c>
      <c r="AR65" s="48">
        <f t="shared" si="16"/>
        <v>55</v>
      </c>
      <c r="AS65" s="48">
        <f t="shared" si="16"/>
        <v>55</v>
      </c>
      <c r="AT65" s="48">
        <f t="shared" si="16"/>
        <v>55</v>
      </c>
      <c r="AU65" s="48">
        <f t="shared" si="16"/>
        <v>55</v>
      </c>
      <c r="AV65" s="48">
        <f t="shared" si="16"/>
        <v>55</v>
      </c>
      <c r="AW65" s="48">
        <f t="shared" si="16"/>
        <v>55</v>
      </c>
      <c r="AX65" s="48">
        <f t="shared" si="16"/>
        <v>55</v>
      </c>
    </row>
    <row r="66" spans="1:50" ht="15" customHeight="1" x14ac:dyDescent="0.25">
      <c r="A66" s="86"/>
      <c r="B66" s="175"/>
      <c r="C66" s="88"/>
      <c r="D66" s="162"/>
      <c r="E66" s="89"/>
      <c r="F66" s="89"/>
      <c r="G66" s="89"/>
      <c r="H66" s="89"/>
      <c r="I66" s="89"/>
      <c r="J66" s="89"/>
      <c r="K66" s="89"/>
      <c r="L66" s="89"/>
      <c r="M66" s="89"/>
      <c r="N66" s="89"/>
      <c r="O66" s="89"/>
      <c r="P66" s="89"/>
      <c r="Q66" s="89"/>
      <c r="R66" s="89"/>
      <c r="S66" s="89"/>
      <c r="T66" s="89"/>
      <c r="U66" s="89"/>
      <c r="V66" s="89"/>
      <c r="W66" s="89"/>
      <c r="X66" s="89"/>
      <c r="Y66" s="89"/>
      <c r="Z66" s="89"/>
      <c r="AA66" s="89"/>
      <c r="AB66" s="89"/>
      <c r="AC66" s="89"/>
      <c r="AD66" s="89"/>
      <c r="AE66" s="89"/>
      <c r="AF66" s="89"/>
      <c r="AG66" s="89"/>
      <c r="AH66" s="89"/>
      <c r="AI66" s="89"/>
      <c r="AJ66" s="89"/>
      <c r="AK66" s="89"/>
      <c r="AL66" s="89"/>
      <c r="AM66" s="89"/>
      <c r="AN66" s="89"/>
      <c r="AO66" s="89"/>
      <c r="AP66" s="89"/>
      <c r="AQ66" s="89"/>
      <c r="AR66" s="89"/>
      <c r="AS66" s="89"/>
      <c r="AT66" s="89"/>
      <c r="AU66" s="89"/>
      <c r="AV66" s="89"/>
      <c r="AW66" s="89"/>
      <c r="AX66" s="89"/>
    </row>
    <row r="67" spans="1:50" ht="15" customHeight="1" x14ac:dyDescent="0.25">
      <c r="A67" s="86"/>
      <c r="B67" s="205" t="str">
        <f>Translate!$E$683</f>
        <v>Revenues</v>
      </c>
      <c r="C67" s="88"/>
      <c r="D67" s="162"/>
      <c r="E67" s="13"/>
      <c r="F67" s="56"/>
      <c r="G67" s="13"/>
      <c r="H67" s="13"/>
      <c r="I67" s="89"/>
      <c r="J67" s="52"/>
      <c r="K67" s="89"/>
      <c r="L67" s="89"/>
      <c r="M67" s="89"/>
      <c r="N67" s="89"/>
      <c r="O67" s="89"/>
      <c r="P67" s="89"/>
      <c r="Q67" s="89"/>
      <c r="R67" s="89"/>
      <c r="S67" s="89"/>
      <c r="T67" s="89"/>
      <c r="U67" s="89"/>
      <c r="V67" s="89"/>
      <c r="W67" s="89"/>
      <c r="X67" s="89"/>
      <c r="Y67" s="89"/>
      <c r="Z67" s="89"/>
      <c r="AA67" s="89"/>
      <c r="AB67" s="89"/>
      <c r="AC67" s="89"/>
      <c r="AD67" s="89"/>
      <c r="AE67" s="89"/>
      <c r="AF67" s="89"/>
      <c r="AG67" s="89"/>
      <c r="AH67" s="89"/>
      <c r="AI67" s="89"/>
      <c r="AJ67" s="89"/>
      <c r="AK67" s="89"/>
      <c r="AL67" s="89"/>
      <c r="AM67" s="89"/>
      <c r="AN67" s="89"/>
      <c r="AO67" s="89"/>
      <c r="AP67" s="89"/>
      <c r="AQ67" s="89"/>
      <c r="AR67" s="89"/>
      <c r="AS67" s="89"/>
      <c r="AT67" s="89"/>
      <c r="AU67" s="89"/>
      <c r="AV67" s="89"/>
      <c r="AW67" s="89"/>
      <c r="AX67" s="89"/>
    </row>
    <row r="68" spans="1:50" ht="15" customHeight="1" x14ac:dyDescent="0.25">
      <c r="A68" s="86"/>
      <c r="B68" s="175"/>
      <c r="C68" s="88"/>
      <c r="D68" s="162"/>
      <c r="E68" s="55" t="str">
        <f t="shared" ref="E68:AX68" si="17" xml:space="preserve"> E$47</f>
        <v>Oil production Volume</v>
      </c>
      <c r="F68" s="55">
        <f t="shared" si="17"/>
        <v>0</v>
      </c>
      <c r="G68" s="55" t="str">
        <f t="shared" si="17"/>
        <v>Mn Bbl</v>
      </c>
      <c r="H68" s="55">
        <f t="shared" si="17"/>
        <v>0</v>
      </c>
      <c r="I68" s="55">
        <f t="shared" ca="1" si="17"/>
        <v>801.87316114953705</v>
      </c>
      <c r="J68" s="55">
        <f t="shared" si="17"/>
        <v>0</v>
      </c>
      <c r="K68" s="55">
        <f t="shared" ca="1" si="17"/>
        <v>0</v>
      </c>
      <c r="L68" s="55">
        <f t="shared" ca="1" si="17"/>
        <v>0</v>
      </c>
      <c r="M68" s="55">
        <f t="shared" ca="1" si="17"/>
        <v>0</v>
      </c>
      <c r="N68" s="55">
        <f t="shared" ca="1" si="17"/>
        <v>0</v>
      </c>
      <c r="O68" s="55">
        <f t="shared" ca="1" si="17"/>
        <v>3.4846974211692809</v>
      </c>
      <c r="P68" s="55">
        <f t="shared" ca="1" si="17"/>
        <v>27.375</v>
      </c>
      <c r="Q68" s="55">
        <f t="shared" ca="1" si="17"/>
        <v>54.75</v>
      </c>
      <c r="R68" s="55">
        <f t="shared" ca="1" si="17"/>
        <v>54.75</v>
      </c>
      <c r="S68" s="55">
        <f t="shared" ca="1" si="17"/>
        <v>54.75</v>
      </c>
      <c r="T68" s="55">
        <f t="shared" ca="1" si="17"/>
        <v>54.75</v>
      </c>
      <c r="U68" s="55">
        <f t="shared" ca="1" si="17"/>
        <v>54.75</v>
      </c>
      <c r="V68" s="55">
        <f t="shared" ca="1" si="17"/>
        <v>54.75</v>
      </c>
      <c r="W68" s="55">
        <f t="shared" ca="1" si="17"/>
        <v>54.75</v>
      </c>
      <c r="X68" s="55">
        <f t="shared" ca="1" si="17"/>
        <v>54.75</v>
      </c>
      <c r="Y68" s="55">
        <f t="shared" ca="1" si="17"/>
        <v>54.75</v>
      </c>
      <c r="Z68" s="55">
        <f t="shared" ca="1" si="17"/>
        <v>54.75</v>
      </c>
      <c r="AA68" s="55">
        <f t="shared" ca="1" si="17"/>
        <v>44.347500000000011</v>
      </c>
      <c r="AB68" s="55">
        <f t="shared" ca="1" si="17"/>
        <v>35.921475000000008</v>
      </c>
      <c r="AC68" s="55">
        <f t="shared" ca="1" si="17"/>
        <v>29.096394750000009</v>
      </c>
      <c r="AD68" s="55">
        <f t="shared" ca="1" si="17"/>
        <v>23.568079747500011</v>
      </c>
      <c r="AE68" s="55">
        <f t="shared" ca="1" si="17"/>
        <v>19.09014459547501</v>
      </c>
      <c r="AF68" s="55">
        <f t="shared" ca="1" si="17"/>
        <v>15.463017122334758</v>
      </c>
      <c r="AG68" s="55">
        <f t="shared" ca="1" si="17"/>
        <v>12.525043869091157</v>
      </c>
      <c r="AH68" s="55">
        <f t="shared" ca="1" si="17"/>
        <v>10.145285533963838</v>
      </c>
      <c r="AI68" s="55">
        <f t="shared" ca="1" si="17"/>
        <v>8.2176812825107088</v>
      </c>
      <c r="AJ68" s="55">
        <f t="shared" ca="1" si="17"/>
        <v>6.6563218388336738</v>
      </c>
      <c r="AK68" s="55">
        <f t="shared" ca="1" si="17"/>
        <v>5.3916206894552765</v>
      </c>
      <c r="AL68" s="55">
        <f t="shared" ca="1" si="17"/>
        <v>4.3672127584587734</v>
      </c>
      <c r="AM68" s="55">
        <f t="shared" ca="1" si="17"/>
        <v>3.5374423343516064</v>
      </c>
      <c r="AN68" s="55">
        <f t="shared" ca="1" si="17"/>
        <v>2.8653282908248014</v>
      </c>
      <c r="AO68" s="55">
        <f t="shared" ca="1" si="17"/>
        <v>2.3209159155680896</v>
      </c>
      <c r="AP68" s="55">
        <f t="shared" ca="1" si="17"/>
        <v>0</v>
      </c>
      <c r="AQ68" s="55">
        <f t="shared" ca="1" si="17"/>
        <v>0</v>
      </c>
      <c r="AR68" s="55">
        <f t="shared" ca="1" si="17"/>
        <v>0</v>
      </c>
      <c r="AS68" s="55">
        <f t="shared" ca="1" si="17"/>
        <v>0</v>
      </c>
      <c r="AT68" s="55">
        <f t="shared" ca="1" si="17"/>
        <v>0</v>
      </c>
      <c r="AU68" s="55">
        <f t="shared" ca="1" si="17"/>
        <v>0</v>
      </c>
      <c r="AV68" s="55">
        <f t="shared" ca="1" si="17"/>
        <v>0</v>
      </c>
      <c r="AW68" s="55">
        <f t="shared" ca="1" si="17"/>
        <v>0</v>
      </c>
      <c r="AX68" s="55">
        <f t="shared" ca="1" si="17"/>
        <v>0</v>
      </c>
    </row>
    <row r="69" spans="1:50" ht="15" customHeight="1" x14ac:dyDescent="0.25">
      <c r="A69" s="86"/>
      <c r="B69" s="175"/>
      <c r="C69" s="88"/>
      <c r="D69" s="162"/>
      <c r="E69" s="55" t="str">
        <f t="shared" ref="E69:AX69" si="18" xml:space="preserve"> E$65</f>
        <v>Oil price realized from sales</v>
      </c>
      <c r="F69" s="55">
        <f t="shared" si="18"/>
        <v>0</v>
      </c>
      <c r="G69" s="55" t="str">
        <f t="shared" si="18"/>
        <v>US$ 2021 / bbl</v>
      </c>
      <c r="H69" s="55">
        <f t="shared" si="18"/>
        <v>0</v>
      </c>
      <c r="I69" s="55">
        <f t="shared" si="18"/>
        <v>0</v>
      </c>
      <c r="J69" s="55">
        <f t="shared" si="18"/>
        <v>0</v>
      </c>
      <c r="K69" s="55">
        <f t="shared" si="18"/>
        <v>55</v>
      </c>
      <c r="L69" s="55">
        <f t="shared" si="18"/>
        <v>55</v>
      </c>
      <c r="M69" s="55">
        <f t="shared" si="18"/>
        <v>55</v>
      </c>
      <c r="N69" s="55">
        <f t="shared" si="18"/>
        <v>55</v>
      </c>
      <c r="O69" s="55">
        <f t="shared" si="18"/>
        <v>55</v>
      </c>
      <c r="P69" s="55">
        <f t="shared" si="18"/>
        <v>55</v>
      </c>
      <c r="Q69" s="55">
        <f t="shared" si="18"/>
        <v>55</v>
      </c>
      <c r="R69" s="55">
        <f t="shared" si="18"/>
        <v>55</v>
      </c>
      <c r="S69" s="55">
        <f t="shared" si="18"/>
        <v>55</v>
      </c>
      <c r="T69" s="55">
        <f t="shared" si="18"/>
        <v>55</v>
      </c>
      <c r="U69" s="55">
        <f t="shared" si="18"/>
        <v>55</v>
      </c>
      <c r="V69" s="55">
        <f t="shared" si="18"/>
        <v>55</v>
      </c>
      <c r="W69" s="55">
        <f t="shared" si="18"/>
        <v>55</v>
      </c>
      <c r="X69" s="55">
        <f t="shared" si="18"/>
        <v>55</v>
      </c>
      <c r="Y69" s="55">
        <f t="shared" si="18"/>
        <v>55</v>
      </c>
      <c r="Z69" s="55">
        <f t="shared" si="18"/>
        <v>55</v>
      </c>
      <c r="AA69" s="55">
        <f t="shared" si="18"/>
        <v>55</v>
      </c>
      <c r="AB69" s="55">
        <f t="shared" si="18"/>
        <v>55</v>
      </c>
      <c r="AC69" s="55">
        <f t="shared" si="18"/>
        <v>55</v>
      </c>
      <c r="AD69" s="55">
        <f t="shared" si="18"/>
        <v>55</v>
      </c>
      <c r="AE69" s="55">
        <f t="shared" si="18"/>
        <v>55</v>
      </c>
      <c r="AF69" s="55">
        <f t="shared" si="18"/>
        <v>55</v>
      </c>
      <c r="AG69" s="55">
        <f t="shared" si="18"/>
        <v>55</v>
      </c>
      <c r="AH69" s="55">
        <f t="shared" si="18"/>
        <v>55</v>
      </c>
      <c r="AI69" s="55">
        <f t="shared" si="18"/>
        <v>55</v>
      </c>
      <c r="AJ69" s="55">
        <f t="shared" si="18"/>
        <v>55</v>
      </c>
      <c r="AK69" s="55">
        <f t="shared" si="18"/>
        <v>55</v>
      </c>
      <c r="AL69" s="55">
        <f t="shared" si="18"/>
        <v>55</v>
      </c>
      <c r="AM69" s="55">
        <f t="shared" si="18"/>
        <v>55</v>
      </c>
      <c r="AN69" s="55">
        <f t="shared" si="18"/>
        <v>55</v>
      </c>
      <c r="AO69" s="55">
        <f t="shared" si="18"/>
        <v>55</v>
      </c>
      <c r="AP69" s="55">
        <f t="shared" si="18"/>
        <v>55</v>
      </c>
      <c r="AQ69" s="55">
        <f t="shared" si="18"/>
        <v>55</v>
      </c>
      <c r="AR69" s="55">
        <f t="shared" si="18"/>
        <v>55</v>
      </c>
      <c r="AS69" s="55">
        <f t="shared" si="18"/>
        <v>55</v>
      </c>
      <c r="AT69" s="55">
        <f t="shared" si="18"/>
        <v>55</v>
      </c>
      <c r="AU69" s="55">
        <f t="shared" si="18"/>
        <v>55</v>
      </c>
      <c r="AV69" s="55">
        <f t="shared" si="18"/>
        <v>55</v>
      </c>
      <c r="AW69" s="55">
        <f t="shared" si="18"/>
        <v>55</v>
      </c>
      <c r="AX69" s="55">
        <f t="shared" si="18"/>
        <v>55</v>
      </c>
    </row>
    <row r="70" spans="1:50" ht="15" customHeight="1" x14ac:dyDescent="0.25">
      <c r="A70" s="86"/>
      <c r="B70" s="175"/>
      <c r="C70" s="88"/>
      <c r="D70" s="162" t="str">
        <f>Translate!E529</f>
        <v>add</v>
      </c>
      <c r="E70" s="56" t="str">
        <f xml:space="preserve"> Translate!E$577</f>
        <v>Oil revenues gross</v>
      </c>
      <c r="F70" s="56"/>
      <c r="G70" s="56" t="str">
        <f xml:space="preserve"> Inputs!F$52</f>
        <v>US$ mn 2021</v>
      </c>
      <c r="H70" s="56"/>
      <c r="I70" s="56">
        <f ca="1" xml:space="preserve"> SUM(K70:AX70)</f>
        <v>44103.023863224538</v>
      </c>
      <c r="J70" s="56"/>
      <c r="K70" s="56">
        <f t="shared" ref="K70:AX70" ca="1" si="19" xml:space="preserve"> K68 * K69</f>
        <v>0</v>
      </c>
      <c r="L70" s="56">
        <f t="shared" ca="1" si="19"/>
        <v>0</v>
      </c>
      <c r="M70" s="56">
        <f t="shared" ca="1" si="19"/>
        <v>0</v>
      </c>
      <c r="N70" s="56">
        <f t="shared" ca="1" si="19"/>
        <v>0</v>
      </c>
      <c r="O70" s="56">
        <f t="shared" ca="1" si="19"/>
        <v>191.65835816431044</v>
      </c>
      <c r="P70" s="56">
        <f t="shared" ca="1" si="19"/>
        <v>1505.625</v>
      </c>
      <c r="Q70" s="56">
        <f t="shared" ca="1" si="19"/>
        <v>3011.25</v>
      </c>
      <c r="R70" s="56">
        <f t="shared" ca="1" si="19"/>
        <v>3011.25</v>
      </c>
      <c r="S70" s="56">
        <f t="shared" ca="1" si="19"/>
        <v>3011.25</v>
      </c>
      <c r="T70" s="56">
        <f t="shared" ca="1" si="19"/>
        <v>3011.25</v>
      </c>
      <c r="U70" s="56">
        <f t="shared" ca="1" si="19"/>
        <v>3011.25</v>
      </c>
      <c r="V70" s="56">
        <f t="shared" ca="1" si="19"/>
        <v>3011.25</v>
      </c>
      <c r="W70" s="56">
        <f t="shared" ca="1" si="19"/>
        <v>3011.25</v>
      </c>
      <c r="X70" s="56">
        <f t="shared" ca="1" si="19"/>
        <v>3011.25</v>
      </c>
      <c r="Y70" s="56">
        <f t="shared" ca="1" si="19"/>
        <v>3011.25</v>
      </c>
      <c r="Z70" s="56">
        <f t="shared" ca="1" si="19"/>
        <v>3011.25</v>
      </c>
      <c r="AA70" s="56">
        <f t="shared" ca="1" si="19"/>
        <v>2439.1125000000006</v>
      </c>
      <c r="AB70" s="56">
        <f t="shared" ca="1" si="19"/>
        <v>1975.6811250000005</v>
      </c>
      <c r="AC70" s="56">
        <f t="shared" ca="1" si="19"/>
        <v>1600.3017112500004</v>
      </c>
      <c r="AD70" s="56">
        <f t="shared" ca="1" si="19"/>
        <v>1296.2443861125007</v>
      </c>
      <c r="AE70" s="56">
        <f t="shared" ca="1" si="19"/>
        <v>1049.9579527511255</v>
      </c>
      <c r="AF70" s="56">
        <f t="shared" ca="1" si="19"/>
        <v>850.46594172841174</v>
      </c>
      <c r="AG70" s="56">
        <f t="shared" ca="1" si="19"/>
        <v>688.87741280001364</v>
      </c>
      <c r="AH70" s="56">
        <f t="shared" ca="1" si="19"/>
        <v>557.99070436801105</v>
      </c>
      <c r="AI70" s="56">
        <f t="shared" ca="1" si="19"/>
        <v>451.972470538089</v>
      </c>
      <c r="AJ70" s="56">
        <f t="shared" ca="1" si="19"/>
        <v>366.09770113585205</v>
      </c>
      <c r="AK70" s="56">
        <f t="shared" ca="1" si="19"/>
        <v>296.53913792004022</v>
      </c>
      <c r="AL70" s="56">
        <f t="shared" ca="1" si="19"/>
        <v>240.19670171523254</v>
      </c>
      <c r="AM70" s="56">
        <f t="shared" ca="1" si="19"/>
        <v>194.55932838933836</v>
      </c>
      <c r="AN70" s="56">
        <f t="shared" ca="1" si="19"/>
        <v>157.59305599536407</v>
      </c>
      <c r="AO70" s="56">
        <f t="shared" ca="1" si="19"/>
        <v>127.65037535624494</v>
      </c>
      <c r="AP70" s="56">
        <f t="shared" ca="1" si="19"/>
        <v>0</v>
      </c>
      <c r="AQ70" s="56">
        <f t="shared" ca="1" si="19"/>
        <v>0</v>
      </c>
      <c r="AR70" s="56">
        <f t="shared" ca="1" si="19"/>
        <v>0</v>
      </c>
      <c r="AS70" s="56">
        <f t="shared" ca="1" si="19"/>
        <v>0</v>
      </c>
      <c r="AT70" s="56">
        <f t="shared" ca="1" si="19"/>
        <v>0</v>
      </c>
      <c r="AU70" s="56">
        <f t="shared" ca="1" si="19"/>
        <v>0</v>
      </c>
      <c r="AV70" s="56">
        <f t="shared" ca="1" si="19"/>
        <v>0</v>
      </c>
      <c r="AW70" s="56">
        <f t="shared" ca="1" si="19"/>
        <v>0</v>
      </c>
      <c r="AX70" s="56">
        <f t="shared" ca="1" si="19"/>
        <v>0</v>
      </c>
    </row>
    <row r="71" spans="1:50" ht="15" customHeight="1" x14ac:dyDescent="0.25">
      <c r="A71" s="86"/>
      <c r="B71" s="175"/>
      <c r="C71" s="88"/>
      <c r="D71" s="162" t="str">
        <f>Translate!E530</f>
        <v>less</v>
      </c>
      <c r="E71" s="55" t="str">
        <f t="shared" ref="E71:AX71" si="20" xml:space="preserve"> E$48</f>
        <v>Transport costs post-fiscal point</v>
      </c>
      <c r="F71" s="55">
        <f t="shared" si="20"/>
        <v>0</v>
      </c>
      <c r="G71" s="55" t="str">
        <f t="shared" si="20"/>
        <v>US$ mn 2021</v>
      </c>
      <c r="H71" s="55">
        <f t="shared" si="20"/>
        <v>0</v>
      </c>
      <c r="I71" s="55">
        <f t="shared" ca="1" si="20"/>
        <v>0</v>
      </c>
      <c r="J71" s="55">
        <f t="shared" si="20"/>
        <v>0</v>
      </c>
      <c r="K71" s="55">
        <f t="shared" ca="1" si="20"/>
        <v>0</v>
      </c>
      <c r="L71" s="55">
        <f t="shared" ca="1" si="20"/>
        <v>0</v>
      </c>
      <c r="M71" s="55">
        <f t="shared" ca="1" si="20"/>
        <v>0</v>
      </c>
      <c r="N71" s="55">
        <f t="shared" ca="1" si="20"/>
        <v>0</v>
      </c>
      <c r="O71" s="55">
        <f t="shared" ca="1" si="20"/>
        <v>0</v>
      </c>
      <c r="P71" s="55">
        <f t="shared" ca="1" si="20"/>
        <v>0</v>
      </c>
      <c r="Q71" s="55">
        <f t="shared" ca="1" si="20"/>
        <v>0</v>
      </c>
      <c r="R71" s="55">
        <f t="shared" ca="1" si="20"/>
        <v>0</v>
      </c>
      <c r="S71" s="55">
        <f t="shared" ca="1" si="20"/>
        <v>0</v>
      </c>
      <c r="T71" s="55">
        <f t="shared" ca="1" si="20"/>
        <v>0</v>
      </c>
      <c r="U71" s="55">
        <f t="shared" ca="1" si="20"/>
        <v>0</v>
      </c>
      <c r="V71" s="55">
        <f t="shared" ca="1" si="20"/>
        <v>0</v>
      </c>
      <c r="W71" s="55">
        <f t="shared" ca="1" si="20"/>
        <v>0</v>
      </c>
      <c r="X71" s="55">
        <f t="shared" ca="1" si="20"/>
        <v>0</v>
      </c>
      <c r="Y71" s="55">
        <f t="shared" ca="1" si="20"/>
        <v>0</v>
      </c>
      <c r="Z71" s="55">
        <f t="shared" ca="1" si="20"/>
        <v>0</v>
      </c>
      <c r="AA71" s="55">
        <f t="shared" ca="1" si="20"/>
        <v>0</v>
      </c>
      <c r="AB71" s="55">
        <f t="shared" ca="1" si="20"/>
        <v>0</v>
      </c>
      <c r="AC71" s="55">
        <f t="shared" ca="1" si="20"/>
        <v>0</v>
      </c>
      <c r="AD71" s="55">
        <f t="shared" ca="1" si="20"/>
        <v>0</v>
      </c>
      <c r="AE71" s="55">
        <f t="shared" ca="1" si="20"/>
        <v>0</v>
      </c>
      <c r="AF71" s="55">
        <f t="shared" ca="1" si="20"/>
        <v>0</v>
      </c>
      <c r="AG71" s="55">
        <f t="shared" ca="1" si="20"/>
        <v>0</v>
      </c>
      <c r="AH71" s="55">
        <f t="shared" ca="1" si="20"/>
        <v>0</v>
      </c>
      <c r="AI71" s="55">
        <f t="shared" ca="1" si="20"/>
        <v>0</v>
      </c>
      <c r="AJ71" s="55">
        <f t="shared" ca="1" si="20"/>
        <v>0</v>
      </c>
      <c r="AK71" s="55">
        <f t="shared" ca="1" si="20"/>
        <v>0</v>
      </c>
      <c r="AL71" s="55">
        <f t="shared" ca="1" si="20"/>
        <v>0</v>
      </c>
      <c r="AM71" s="55">
        <f t="shared" ca="1" si="20"/>
        <v>0</v>
      </c>
      <c r="AN71" s="55">
        <f t="shared" ca="1" si="20"/>
        <v>0</v>
      </c>
      <c r="AO71" s="55">
        <f t="shared" ca="1" si="20"/>
        <v>0</v>
      </c>
      <c r="AP71" s="55">
        <f t="shared" ca="1" si="20"/>
        <v>0</v>
      </c>
      <c r="AQ71" s="55">
        <f t="shared" ca="1" si="20"/>
        <v>0</v>
      </c>
      <c r="AR71" s="55">
        <f t="shared" ca="1" si="20"/>
        <v>0</v>
      </c>
      <c r="AS71" s="55">
        <f t="shared" ca="1" si="20"/>
        <v>0</v>
      </c>
      <c r="AT71" s="55">
        <f t="shared" ca="1" si="20"/>
        <v>0</v>
      </c>
      <c r="AU71" s="55">
        <f t="shared" ca="1" si="20"/>
        <v>0</v>
      </c>
      <c r="AV71" s="55">
        <f t="shared" ca="1" si="20"/>
        <v>0</v>
      </c>
      <c r="AW71" s="55">
        <f t="shared" ca="1" si="20"/>
        <v>0</v>
      </c>
      <c r="AX71" s="55">
        <f t="shared" ca="1" si="20"/>
        <v>0</v>
      </c>
    </row>
    <row r="72" spans="1:50" s="485" customFormat="1" ht="15" customHeight="1" x14ac:dyDescent="0.25">
      <c r="A72" s="479"/>
      <c r="B72" s="524"/>
      <c r="C72" s="480"/>
      <c r="D72" s="481"/>
      <c r="E72" s="483" t="str">
        <f xml:space="preserve"> Translate!E$578</f>
        <v>Oil revenues net</v>
      </c>
      <c r="F72" s="483"/>
      <c r="G72" s="483" t="str">
        <f xml:space="preserve"> G$48</f>
        <v>US$ mn 2021</v>
      </c>
      <c r="H72" s="483"/>
      <c r="I72" s="483">
        <f ca="1" xml:space="preserve"> SUM(K72:AX72)</f>
        <v>44103.023863224538</v>
      </c>
      <c r="J72" s="483"/>
      <c r="K72" s="483">
        <f t="shared" ref="K72:AX72" ca="1" si="21" xml:space="preserve"> K70 - K71</f>
        <v>0</v>
      </c>
      <c r="L72" s="483">
        <f t="shared" ca="1" si="21"/>
        <v>0</v>
      </c>
      <c r="M72" s="483">
        <f t="shared" ca="1" si="21"/>
        <v>0</v>
      </c>
      <c r="N72" s="483">
        <f t="shared" ca="1" si="21"/>
        <v>0</v>
      </c>
      <c r="O72" s="483">
        <f t="shared" ca="1" si="21"/>
        <v>191.65835816431044</v>
      </c>
      <c r="P72" s="483">
        <f t="shared" ca="1" si="21"/>
        <v>1505.625</v>
      </c>
      <c r="Q72" s="483">
        <f t="shared" ca="1" si="21"/>
        <v>3011.25</v>
      </c>
      <c r="R72" s="483">
        <f t="shared" ca="1" si="21"/>
        <v>3011.25</v>
      </c>
      <c r="S72" s="483">
        <f t="shared" ca="1" si="21"/>
        <v>3011.25</v>
      </c>
      <c r="T72" s="483">
        <f t="shared" ca="1" si="21"/>
        <v>3011.25</v>
      </c>
      <c r="U72" s="483">
        <f t="shared" ca="1" si="21"/>
        <v>3011.25</v>
      </c>
      <c r="V72" s="483">
        <f t="shared" ca="1" si="21"/>
        <v>3011.25</v>
      </c>
      <c r="W72" s="483">
        <f t="shared" ca="1" si="21"/>
        <v>3011.25</v>
      </c>
      <c r="X72" s="483">
        <f t="shared" ca="1" si="21"/>
        <v>3011.25</v>
      </c>
      <c r="Y72" s="483">
        <f t="shared" ca="1" si="21"/>
        <v>3011.25</v>
      </c>
      <c r="Z72" s="483">
        <f t="shared" ca="1" si="21"/>
        <v>3011.25</v>
      </c>
      <c r="AA72" s="483">
        <f t="shared" ca="1" si="21"/>
        <v>2439.1125000000006</v>
      </c>
      <c r="AB72" s="483">
        <f t="shared" ca="1" si="21"/>
        <v>1975.6811250000005</v>
      </c>
      <c r="AC72" s="483">
        <f t="shared" ca="1" si="21"/>
        <v>1600.3017112500004</v>
      </c>
      <c r="AD72" s="483">
        <f t="shared" ca="1" si="21"/>
        <v>1296.2443861125007</v>
      </c>
      <c r="AE72" s="483">
        <f t="shared" ca="1" si="21"/>
        <v>1049.9579527511255</v>
      </c>
      <c r="AF72" s="483">
        <f t="shared" ca="1" si="21"/>
        <v>850.46594172841174</v>
      </c>
      <c r="AG72" s="483">
        <f t="shared" ca="1" si="21"/>
        <v>688.87741280001364</v>
      </c>
      <c r="AH72" s="483">
        <f t="shared" ca="1" si="21"/>
        <v>557.99070436801105</v>
      </c>
      <c r="AI72" s="483">
        <f t="shared" ca="1" si="21"/>
        <v>451.972470538089</v>
      </c>
      <c r="AJ72" s="483">
        <f t="shared" ca="1" si="21"/>
        <v>366.09770113585205</v>
      </c>
      <c r="AK72" s="483">
        <f t="shared" ca="1" si="21"/>
        <v>296.53913792004022</v>
      </c>
      <c r="AL72" s="483">
        <f t="shared" ca="1" si="21"/>
        <v>240.19670171523254</v>
      </c>
      <c r="AM72" s="483">
        <f t="shared" ca="1" si="21"/>
        <v>194.55932838933836</v>
      </c>
      <c r="AN72" s="483">
        <f t="shared" ca="1" si="21"/>
        <v>157.59305599536407</v>
      </c>
      <c r="AO72" s="483">
        <f t="shared" ca="1" si="21"/>
        <v>127.65037535624494</v>
      </c>
      <c r="AP72" s="483">
        <f t="shared" ca="1" si="21"/>
        <v>0</v>
      </c>
      <c r="AQ72" s="483">
        <f t="shared" ca="1" si="21"/>
        <v>0</v>
      </c>
      <c r="AR72" s="483">
        <f t="shared" ca="1" si="21"/>
        <v>0</v>
      </c>
      <c r="AS72" s="483">
        <f t="shared" ca="1" si="21"/>
        <v>0</v>
      </c>
      <c r="AT72" s="483">
        <f t="shared" ca="1" si="21"/>
        <v>0</v>
      </c>
      <c r="AU72" s="483">
        <f t="shared" ca="1" si="21"/>
        <v>0</v>
      </c>
      <c r="AV72" s="483">
        <f t="shared" ca="1" si="21"/>
        <v>0</v>
      </c>
      <c r="AW72" s="483">
        <f t="shared" ca="1" si="21"/>
        <v>0</v>
      </c>
      <c r="AX72" s="483">
        <f t="shared" ca="1" si="21"/>
        <v>0</v>
      </c>
    </row>
    <row r="73" spans="1:50" ht="15" customHeight="1" x14ac:dyDescent="0.25">
      <c r="A73" s="86"/>
      <c r="B73" s="175"/>
      <c r="C73" s="88"/>
      <c r="D73" s="162"/>
      <c r="E73" s="56"/>
      <c r="F73" s="56"/>
      <c r="G73" s="56"/>
      <c r="H73" s="56"/>
      <c r="I73" s="56"/>
      <c r="J73" s="56"/>
      <c r="K73" s="56"/>
      <c r="L73" s="56"/>
      <c r="M73" s="56"/>
      <c r="N73" s="56"/>
      <c r="O73" s="56"/>
      <c r="P73" s="56"/>
      <c r="Q73" s="56"/>
      <c r="R73" s="56"/>
      <c r="S73" s="56"/>
      <c r="T73" s="56"/>
      <c r="U73" s="56"/>
      <c r="V73" s="56"/>
      <c r="W73" s="56"/>
      <c r="X73" s="56"/>
      <c r="Y73" s="56"/>
      <c r="Z73" s="56"/>
      <c r="AA73" s="56"/>
      <c r="AB73" s="56"/>
      <c r="AC73" s="56"/>
      <c r="AD73" s="56"/>
      <c r="AE73" s="56"/>
      <c r="AF73" s="56"/>
      <c r="AG73" s="56"/>
      <c r="AH73" s="56"/>
      <c r="AI73" s="56"/>
      <c r="AJ73" s="56"/>
      <c r="AK73" s="56"/>
      <c r="AL73" s="56"/>
      <c r="AM73" s="56"/>
      <c r="AN73" s="56"/>
      <c r="AO73" s="56"/>
      <c r="AP73" s="56"/>
      <c r="AQ73" s="56"/>
      <c r="AR73" s="56"/>
      <c r="AS73" s="56"/>
      <c r="AT73" s="56"/>
      <c r="AU73" s="56"/>
      <c r="AV73" s="56"/>
      <c r="AW73" s="56"/>
      <c r="AX73" s="56"/>
    </row>
    <row r="74" spans="1:50" ht="15" customHeight="1" x14ac:dyDescent="0.25">
      <c r="A74" s="86"/>
      <c r="B74" s="205" t="str">
        <f xml:space="preserve"> Translate!E$579</f>
        <v>Project costs</v>
      </c>
      <c r="C74" s="88"/>
      <c r="D74" s="162"/>
      <c r="E74" s="13"/>
      <c r="F74" s="56"/>
      <c r="G74" s="13"/>
      <c r="H74" s="13"/>
      <c r="I74" s="89"/>
      <c r="J74" s="52"/>
      <c r="K74" s="89"/>
      <c r="L74" s="89"/>
      <c r="M74" s="89"/>
      <c r="N74" s="89"/>
      <c r="O74" s="89"/>
      <c r="P74" s="89"/>
      <c r="Q74" s="89"/>
      <c r="R74" s="89"/>
      <c r="S74" s="89"/>
      <c r="T74" s="89"/>
      <c r="U74" s="89"/>
      <c r="V74" s="89"/>
      <c r="W74" s="89"/>
      <c r="X74" s="89"/>
      <c r="Y74" s="89"/>
      <c r="Z74" s="89"/>
      <c r="AA74" s="89"/>
      <c r="AB74" s="89"/>
      <c r="AC74" s="89"/>
      <c r="AD74" s="89"/>
      <c r="AE74" s="89"/>
      <c r="AF74" s="89"/>
      <c r="AG74" s="89"/>
      <c r="AH74" s="89"/>
      <c r="AI74" s="89"/>
      <c r="AJ74" s="89"/>
      <c r="AK74" s="89"/>
      <c r="AL74" s="89"/>
      <c r="AM74" s="89"/>
      <c r="AN74" s="89"/>
      <c r="AO74" s="89"/>
      <c r="AP74" s="89"/>
      <c r="AQ74" s="89"/>
      <c r="AR74" s="89"/>
      <c r="AS74" s="89"/>
      <c r="AT74" s="89"/>
      <c r="AU74" s="89"/>
      <c r="AV74" s="89"/>
      <c r="AW74" s="89"/>
      <c r="AX74" s="89"/>
    </row>
    <row r="75" spans="1:50" ht="15" customHeight="1" x14ac:dyDescent="0.25">
      <c r="A75" s="86"/>
      <c r="B75" s="175"/>
      <c r="C75" s="88"/>
      <c r="D75" s="162"/>
      <c r="E75" s="55" t="str">
        <f t="shared" ref="E75:AX75" si="22" xml:space="preserve"> E$49</f>
        <v>Exploration costs</v>
      </c>
      <c r="F75" s="55">
        <f t="shared" si="22"/>
        <v>0</v>
      </c>
      <c r="G75" s="55" t="str">
        <f t="shared" si="22"/>
        <v>US$ mn 2021</v>
      </c>
      <c r="H75" s="55">
        <f t="shared" si="22"/>
        <v>0</v>
      </c>
      <c r="I75" s="55">
        <f t="shared" ca="1" si="22"/>
        <v>420</v>
      </c>
      <c r="J75" s="55">
        <f t="shared" si="22"/>
        <v>0</v>
      </c>
      <c r="K75" s="55">
        <f t="shared" ca="1" si="22"/>
        <v>420</v>
      </c>
      <c r="L75" s="55">
        <f t="shared" ca="1" si="22"/>
        <v>0</v>
      </c>
      <c r="M75" s="55">
        <f t="shared" ca="1" si="22"/>
        <v>0</v>
      </c>
      <c r="N75" s="55">
        <f t="shared" ca="1" si="22"/>
        <v>0</v>
      </c>
      <c r="O75" s="55">
        <f t="shared" ca="1" si="22"/>
        <v>0</v>
      </c>
      <c r="P75" s="55">
        <f t="shared" ca="1" si="22"/>
        <v>0</v>
      </c>
      <c r="Q75" s="55">
        <f t="shared" ca="1" si="22"/>
        <v>0</v>
      </c>
      <c r="R75" s="55">
        <f t="shared" ca="1" si="22"/>
        <v>0</v>
      </c>
      <c r="S75" s="55">
        <f t="shared" ca="1" si="22"/>
        <v>0</v>
      </c>
      <c r="T75" s="55">
        <f t="shared" ca="1" si="22"/>
        <v>0</v>
      </c>
      <c r="U75" s="55">
        <f t="shared" ca="1" si="22"/>
        <v>0</v>
      </c>
      <c r="V75" s="55">
        <f t="shared" ca="1" si="22"/>
        <v>0</v>
      </c>
      <c r="W75" s="55">
        <f t="shared" ca="1" si="22"/>
        <v>0</v>
      </c>
      <c r="X75" s="55">
        <f t="shared" ca="1" si="22"/>
        <v>0</v>
      </c>
      <c r="Y75" s="55">
        <f t="shared" ca="1" si="22"/>
        <v>0</v>
      </c>
      <c r="Z75" s="55">
        <f t="shared" ca="1" si="22"/>
        <v>0</v>
      </c>
      <c r="AA75" s="55">
        <f t="shared" ca="1" si="22"/>
        <v>0</v>
      </c>
      <c r="AB75" s="55">
        <f t="shared" ca="1" si="22"/>
        <v>0</v>
      </c>
      <c r="AC75" s="55">
        <f t="shared" ca="1" si="22"/>
        <v>0</v>
      </c>
      <c r="AD75" s="55">
        <f t="shared" ca="1" si="22"/>
        <v>0</v>
      </c>
      <c r="AE75" s="55">
        <f t="shared" ca="1" si="22"/>
        <v>0</v>
      </c>
      <c r="AF75" s="55">
        <f t="shared" ca="1" si="22"/>
        <v>0</v>
      </c>
      <c r="AG75" s="55">
        <f t="shared" ca="1" si="22"/>
        <v>0</v>
      </c>
      <c r="AH75" s="55">
        <f t="shared" ca="1" si="22"/>
        <v>0</v>
      </c>
      <c r="AI75" s="55">
        <f t="shared" ca="1" si="22"/>
        <v>0</v>
      </c>
      <c r="AJ75" s="55">
        <f t="shared" ca="1" si="22"/>
        <v>0</v>
      </c>
      <c r="AK75" s="55">
        <f t="shared" ca="1" si="22"/>
        <v>0</v>
      </c>
      <c r="AL75" s="55">
        <f t="shared" ca="1" si="22"/>
        <v>0</v>
      </c>
      <c r="AM75" s="55">
        <f t="shared" ca="1" si="22"/>
        <v>0</v>
      </c>
      <c r="AN75" s="55">
        <f t="shared" ca="1" si="22"/>
        <v>0</v>
      </c>
      <c r="AO75" s="55">
        <f t="shared" ca="1" si="22"/>
        <v>0</v>
      </c>
      <c r="AP75" s="55">
        <f t="shared" ca="1" si="22"/>
        <v>0</v>
      </c>
      <c r="AQ75" s="55">
        <f t="shared" ca="1" si="22"/>
        <v>0</v>
      </c>
      <c r="AR75" s="55">
        <f t="shared" ca="1" si="22"/>
        <v>0</v>
      </c>
      <c r="AS75" s="55">
        <f t="shared" ca="1" si="22"/>
        <v>0</v>
      </c>
      <c r="AT75" s="55">
        <f t="shared" ca="1" si="22"/>
        <v>0</v>
      </c>
      <c r="AU75" s="55">
        <f t="shared" ca="1" si="22"/>
        <v>0</v>
      </c>
      <c r="AV75" s="55">
        <f t="shared" ca="1" si="22"/>
        <v>0</v>
      </c>
      <c r="AW75" s="55">
        <f t="shared" ca="1" si="22"/>
        <v>0</v>
      </c>
      <c r="AX75" s="55">
        <f t="shared" ca="1" si="22"/>
        <v>0</v>
      </c>
    </row>
    <row r="76" spans="1:50" ht="15" customHeight="1" x14ac:dyDescent="0.25">
      <c r="A76" s="86"/>
      <c r="B76" s="175"/>
      <c r="C76" s="88"/>
      <c r="D76" s="162"/>
      <c r="E76" s="55" t="str">
        <f t="shared" ref="E76:AX76" si="23" xml:space="preserve"> E$50</f>
        <v>Development costs</v>
      </c>
      <c r="F76" s="55">
        <f t="shared" si="23"/>
        <v>0</v>
      </c>
      <c r="G76" s="55" t="str">
        <f t="shared" si="23"/>
        <v>US$ mn 2021</v>
      </c>
      <c r="H76" s="55">
        <f t="shared" si="23"/>
        <v>0</v>
      </c>
      <c r="I76" s="55">
        <f t="shared" ca="1" si="23"/>
        <v>9050</v>
      </c>
      <c r="J76" s="55">
        <f t="shared" si="23"/>
        <v>0</v>
      </c>
      <c r="K76" s="55">
        <f t="shared" ca="1" si="23"/>
        <v>0</v>
      </c>
      <c r="L76" s="55">
        <f t="shared" ca="1" si="23"/>
        <v>50</v>
      </c>
      <c r="M76" s="55">
        <f t="shared" ca="1" si="23"/>
        <v>300</v>
      </c>
      <c r="N76" s="55">
        <f t="shared" ca="1" si="23"/>
        <v>1200</v>
      </c>
      <c r="O76" s="55">
        <f t="shared" ca="1" si="23"/>
        <v>1200</v>
      </c>
      <c r="P76" s="55">
        <f t="shared" ca="1" si="23"/>
        <v>2100</v>
      </c>
      <c r="Q76" s="55">
        <f t="shared" ca="1" si="23"/>
        <v>1100</v>
      </c>
      <c r="R76" s="55">
        <f t="shared" ca="1" si="23"/>
        <v>450</v>
      </c>
      <c r="S76" s="55">
        <f t="shared" ca="1" si="23"/>
        <v>250</v>
      </c>
      <c r="T76" s="55">
        <f t="shared" ca="1" si="23"/>
        <v>250</v>
      </c>
      <c r="U76" s="55">
        <f t="shared" ca="1" si="23"/>
        <v>250</v>
      </c>
      <c r="V76" s="55">
        <f t="shared" ca="1" si="23"/>
        <v>250</v>
      </c>
      <c r="W76" s="55">
        <f t="shared" ca="1" si="23"/>
        <v>250</v>
      </c>
      <c r="X76" s="55">
        <f t="shared" ca="1" si="23"/>
        <v>250</v>
      </c>
      <c r="Y76" s="55">
        <f t="shared" ca="1" si="23"/>
        <v>250</v>
      </c>
      <c r="Z76" s="55">
        <f t="shared" ca="1" si="23"/>
        <v>250</v>
      </c>
      <c r="AA76" s="55">
        <f t="shared" ca="1" si="23"/>
        <v>250</v>
      </c>
      <c r="AB76" s="55">
        <f t="shared" ca="1" si="23"/>
        <v>0</v>
      </c>
      <c r="AC76" s="55">
        <f t="shared" ca="1" si="23"/>
        <v>0</v>
      </c>
      <c r="AD76" s="55">
        <f t="shared" ca="1" si="23"/>
        <v>200</v>
      </c>
      <c r="AE76" s="55">
        <f t="shared" ca="1" si="23"/>
        <v>200</v>
      </c>
      <c r="AF76" s="55">
        <f t="shared" ca="1" si="23"/>
        <v>0</v>
      </c>
      <c r="AG76" s="55">
        <f t="shared" ca="1" si="23"/>
        <v>0</v>
      </c>
      <c r="AH76" s="55">
        <f t="shared" ca="1" si="23"/>
        <v>0</v>
      </c>
      <c r="AI76" s="55">
        <f t="shared" ca="1" si="23"/>
        <v>0</v>
      </c>
      <c r="AJ76" s="55">
        <f t="shared" ca="1" si="23"/>
        <v>0</v>
      </c>
      <c r="AK76" s="55">
        <f t="shared" ca="1" si="23"/>
        <v>0</v>
      </c>
      <c r="AL76" s="55">
        <f t="shared" ca="1" si="23"/>
        <v>0</v>
      </c>
      <c r="AM76" s="55">
        <f t="shared" ca="1" si="23"/>
        <v>0</v>
      </c>
      <c r="AN76" s="55">
        <f t="shared" ca="1" si="23"/>
        <v>0</v>
      </c>
      <c r="AO76" s="55">
        <f t="shared" ca="1" si="23"/>
        <v>0</v>
      </c>
      <c r="AP76" s="55">
        <f t="shared" ca="1" si="23"/>
        <v>0</v>
      </c>
      <c r="AQ76" s="55">
        <f t="shared" ca="1" si="23"/>
        <v>0</v>
      </c>
      <c r="AR76" s="55">
        <f t="shared" ca="1" si="23"/>
        <v>0</v>
      </c>
      <c r="AS76" s="55">
        <f t="shared" ca="1" si="23"/>
        <v>0</v>
      </c>
      <c r="AT76" s="55">
        <f t="shared" ca="1" si="23"/>
        <v>0</v>
      </c>
      <c r="AU76" s="55">
        <f t="shared" ca="1" si="23"/>
        <v>0</v>
      </c>
      <c r="AV76" s="55">
        <f t="shared" ca="1" si="23"/>
        <v>0</v>
      </c>
      <c r="AW76" s="55">
        <f t="shared" ca="1" si="23"/>
        <v>0</v>
      </c>
      <c r="AX76" s="55">
        <f t="shared" ca="1" si="23"/>
        <v>0</v>
      </c>
    </row>
    <row r="77" spans="1:50" ht="15" customHeight="1" x14ac:dyDescent="0.25">
      <c r="A77" s="86"/>
      <c r="B77" s="175"/>
      <c r="C77" s="88"/>
      <c r="D77" s="162"/>
      <c r="E77" s="55" t="str">
        <f t="shared" ref="E77:AX77" si="24" xml:space="preserve"> E$51</f>
        <v>Replacement capital costs</v>
      </c>
      <c r="F77" s="55">
        <f t="shared" si="24"/>
        <v>0</v>
      </c>
      <c r="G77" s="55" t="str">
        <f t="shared" si="24"/>
        <v>US$ mn 2021</v>
      </c>
      <c r="H77" s="55">
        <f t="shared" si="24"/>
        <v>0</v>
      </c>
      <c r="I77" s="55">
        <f t="shared" ca="1" si="24"/>
        <v>0</v>
      </c>
      <c r="J77" s="55">
        <f t="shared" si="24"/>
        <v>0</v>
      </c>
      <c r="K77" s="55">
        <f t="shared" ca="1" si="24"/>
        <v>0</v>
      </c>
      <c r="L77" s="55">
        <f t="shared" ca="1" si="24"/>
        <v>0</v>
      </c>
      <c r="M77" s="55">
        <f t="shared" ca="1" si="24"/>
        <v>0</v>
      </c>
      <c r="N77" s="55">
        <f t="shared" ca="1" si="24"/>
        <v>0</v>
      </c>
      <c r="O77" s="55">
        <f t="shared" ca="1" si="24"/>
        <v>0</v>
      </c>
      <c r="P77" s="55">
        <f t="shared" ca="1" si="24"/>
        <v>0</v>
      </c>
      <c r="Q77" s="55">
        <f t="shared" ca="1" si="24"/>
        <v>0</v>
      </c>
      <c r="R77" s="55">
        <f t="shared" ca="1" si="24"/>
        <v>0</v>
      </c>
      <c r="S77" s="55">
        <f t="shared" ca="1" si="24"/>
        <v>0</v>
      </c>
      <c r="T77" s="55">
        <f t="shared" ca="1" si="24"/>
        <v>0</v>
      </c>
      <c r="U77" s="55">
        <f t="shared" ca="1" si="24"/>
        <v>0</v>
      </c>
      <c r="V77" s="55">
        <f t="shared" ca="1" si="24"/>
        <v>0</v>
      </c>
      <c r="W77" s="55">
        <f t="shared" ca="1" si="24"/>
        <v>0</v>
      </c>
      <c r="X77" s="55">
        <f t="shared" ca="1" si="24"/>
        <v>0</v>
      </c>
      <c r="Y77" s="55">
        <f t="shared" ca="1" si="24"/>
        <v>0</v>
      </c>
      <c r="Z77" s="55">
        <f t="shared" ca="1" si="24"/>
        <v>0</v>
      </c>
      <c r="AA77" s="55">
        <f t="shared" ca="1" si="24"/>
        <v>0</v>
      </c>
      <c r="AB77" s="55">
        <f t="shared" ca="1" si="24"/>
        <v>0</v>
      </c>
      <c r="AC77" s="55">
        <f t="shared" ca="1" si="24"/>
        <v>0</v>
      </c>
      <c r="AD77" s="55">
        <f t="shared" ca="1" si="24"/>
        <v>0</v>
      </c>
      <c r="AE77" s="55">
        <f t="shared" ca="1" si="24"/>
        <v>0</v>
      </c>
      <c r="AF77" s="55">
        <f t="shared" ca="1" si="24"/>
        <v>0</v>
      </c>
      <c r="AG77" s="55">
        <f t="shared" ca="1" si="24"/>
        <v>0</v>
      </c>
      <c r="AH77" s="55">
        <f t="shared" ca="1" si="24"/>
        <v>0</v>
      </c>
      <c r="AI77" s="55">
        <f t="shared" ca="1" si="24"/>
        <v>0</v>
      </c>
      <c r="AJ77" s="55">
        <f t="shared" ca="1" si="24"/>
        <v>0</v>
      </c>
      <c r="AK77" s="55">
        <f t="shared" ca="1" si="24"/>
        <v>0</v>
      </c>
      <c r="AL77" s="55">
        <f t="shared" ca="1" si="24"/>
        <v>0</v>
      </c>
      <c r="AM77" s="55">
        <f t="shared" ca="1" si="24"/>
        <v>0</v>
      </c>
      <c r="AN77" s="55">
        <f t="shared" ca="1" si="24"/>
        <v>0</v>
      </c>
      <c r="AO77" s="55">
        <f t="shared" ca="1" si="24"/>
        <v>0</v>
      </c>
      <c r="AP77" s="55">
        <f t="shared" ca="1" si="24"/>
        <v>0</v>
      </c>
      <c r="AQ77" s="55">
        <f t="shared" ca="1" si="24"/>
        <v>0</v>
      </c>
      <c r="AR77" s="55">
        <f t="shared" ca="1" si="24"/>
        <v>0</v>
      </c>
      <c r="AS77" s="55">
        <f t="shared" ca="1" si="24"/>
        <v>0</v>
      </c>
      <c r="AT77" s="55">
        <f t="shared" ca="1" si="24"/>
        <v>0</v>
      </c>
      <c r="AU77" s="55">
        <f t="shared" ca="1" si="24"/>
        <v>0</v>
      </c>
      <c r="AV77" s="55">
        <f t="shared" ca="1" si="24"/>
        <v>0</v>
      </c>
      <c r="AW77" s="55">
        <f t="shared" ca="1" si="24"/>
        <v>0</v>
      </c>
      <c r="AX77" s="55">
        <f t="shared" ca="1" si="24"/>
        <v>0</v>
      </c>
    </row>
    <row r="78" spans="1:50" ht="15" customHeight="1" x14ac:dyDescent="0.25">
      <c r="A78" s="86"/>
      <c r="B78" s="175"/>
      <c r="C78" s="88"/>
      <c r="D78" s="162"/>
      <c r="E78" s="55" t="str">
        <f t="shared" ref="E78:AX78" si="25" xml:space="preserve"> E$52</f>
        <v>Operating costs</v>
      </c>
      <c r="F78" s="55">
        <f t="shared" si="25"/>
        <v>0</v>
      </c>
      <c r="G78" s="55" t="str">
        <f t="shared" si="25"/>
        <v>US$ mn 2021</v>
      </c>
      <c r="H78" s="55">
        <f t="shared" si="25"/>
        <v>0</v>
      </c>
      <c r="I78" s="55">
        <f t="shared" ca="1" si="25"/>
        <v>4601</v>
      </c>
      <c r="J78" s="55">
        <f t="shared" si="25"/>
        <v>0</v>
      </c>
      <c r="K78" s="55">
        <f t="shared" ca="1" si="25"/>
        <v>0</v>
      </c>
      <c r="L78" s="55">
        <f t="shared" ca="1" si="25"/>
        <v>0</v>
      </c>
      <c r="M78" s="55">
        <f t="shared" ca="1" si="25"/>
        <v>0</v>
      </c>
      <c r="N78" s="55">
        <f t="shared" ca="1" si="25"/>
        <v>0</v>
      </c>
      <c r="O78" s="55">
        <f t="shared" ca="1" si="25"/>
        <v>50</v>
      </c>
      <c r="P78" s="55">
        <f t="shared" ca="1" si="25"/>
        <v>180</v>
      </c>
      <c r="Q78" s="55">
        <f t="shared" ca="1" si="25"/>
        <v>260</v>
      </c>
      <c r="R78" s="55">
        <f t="shared" ca="1" si="25"/>
        <v>260</v>
      </c>
      <c r="S78" s="55">
        <f t="shared" ca="1" si="25"/>
        <v>260</v>
      </c>
      <c r="T78" s="55">
        <f t="shared" ca="1" si="25"/>
        <v>260</v>
      </c>
      <c r="U78" s="55">
        <f t="shared" ca="1" si="25"/>
        <v>260</v>
      </c>
      <c r="V78" s="55">
        <f t="shared" ca="1" si="25"/>
        <v>260</v>
      </c>
      <c r="W78" s="55">
        <f t="shared" ca="1" si="25"/>
        <v>260</v>
      </c>
      <c r="X78" s="55">
        <f t="shared" ca="1" si="25"/>
        <v>260</v>
      </c>
      <c r="Y78" s="55">
        <f t="shared" ca="1" si="25"/>
        <v>260</v>
      </c>
      <c r="Z78" s="55">
        <f t="shared" ca="1" si="25"/>
        <v>260</v>
      </c>
      <c r="AA78" s="55">
        <f t="shared" ca="1" si="25"/>
        <v>260</v>
      </c>
      <c r="AB78" s="55">
        <f t="shared" ca="1" si="25"/>
        <v>260</v>
      </c>
      <c r="AC78" s="55">
        <f t="shared" ca="1" si="25"/>
        <v>150</v>
      </c>
      <c r="AD78" s="55">
        <f t="shared" ca="1" si="25"/>
        <v>140</v>
      </c>
      <c r="AE78" s="55">
        <f t="shared" ca="1" si="25"/>
        <v>120</v>
      </c>
      <c r="AF78" s="55">
        <f t="shared" ca="1" si="25"/>
        <v>111</v>
      </c>
      <c r="AG78" s="55">
        <f t="shared" ca="1" si="25"/>
        <v>100</v>
      </c>
      <c r="AH78" s="55">
        <f t="shared" ca="1" si="25"/>
        <v>95</v>
      </c>
      <c r="AI78" s="55">
        <f t="shared" ca="1" si="25"/>
        <v>90</v>
      </c>
      <c r="AJ78" s="55">
        <f t="shared" ca="1" si="25"/>
        <v>85</v>
      </c>
      <c r="AK78" s="55">
        <f t="shared" ca="1" si="25"/>
        <v>80</v>
      </c>
      <c r="AL78" s="55">
        <f t="shared" ca="1" si="25"/>
        <v>75</v>
      </c>
      <c r="AM78" s="55">
        <f t="shared" ca="1" si="25"/>
        <v>70</v>
      </c>
      <c r="AN78" s="55">
        <f t="shared" ca="1" si="25"/>
        <v>70</v>
      </c>
      <c r="AO78" s="55">
        <f t="shared" ca="1" si="25"/>
        <v>65</v>
      </c>
      <c r="AP78" s="55">
        <f t="shared" ca="1" si="25"/>
        <v>0</v>
      </c>
      <c r="AQ78" s="55">
        <f t="shared" ca="1" si="25"/>
        <v>0</v>
      </c>
      <c r="AR78" s="55">
        <f t="shared" ca="1" si="25"/>
        <v>0</v>
      </c>
      <c r="AS78" s="55">
        <f t="shared" ca="1" si="25"/>
        <v>0</v>
      </c>
      <c r="AT78" s="55">
        <f t="shared" ca="1" si="25"/>
        <v>0</v>
      </c>
      <c r="AU78" s="55">
        <f t="shared" ca="1" si="25"/>
        <v>0</v>
      </c>
      <c r="AV78" s="55">
        <f t="shared" ca="1" si="25"/>
        <v>0</v>
      </c>
      <c r="AW78" s="55">
        <f t="shared" ca="1" si="25"/>
        <v>0</v>
      </c>
      <c r="AX78" s="55">
        <f t="shared" ca="1" si="25"/>
        <v>0</v>
      </c>
    </row>
    <row r="79" spans="1:50" ht="15" customHeight="1" x14ac:dyDescent="0.25">
      <c r="A79" s="86"/>
      <c r="B79" s="175"/>
      <c r="C79" s="88"/>
      <c r="D79" s="162"/>
      <c r="E79" s="55" t="str">
        <f t="shared" ref="E79:AX79" si="26" xml:space="preserve"> E$53</f>
        <v>Decommissioning costs</v>
      </c>
      <c r="F79" s="55">
        <f t="shared" si="26"/>
        <v>0</v>
      </c>
      <c r="G79" s="55" t="str">
        <f t="shared" si="26"/>
        <v>US$ mn 2021</v>
      </c>
      <c r="H79" s="55">
        <f t="shared" si="26"/>
        <v>0</v>
      </c>
      <c r="I79" s="55">
        <f t="shared" ca="1" si="26"/>
        <v>750</v>
      </c>
      <c r="J79" s="55">
        <f t="shared" si="26"/>
        <v>0</v>
      </c>
      <c r="K79" s="55">
        <f t="shared" ca="1" si="26"/>
        <v>0</v>
      </c>
      <c r="L79" s="55">
        <f t="shared" ca="1" si="26"/>
        <v>0</v>
      </c>
      <c r="M79" s="55">
        <f t="shared" ca="1" si="26"/>
        <v>0</v>
      </c>
      <c r="N79" s="55">
        <f t="shared" ca="1" si="26"/>
        <v>0</v>
      </c>
      <c r="O79" s="55">
        <f t="shared" ca="1" si="26"/>
        <v>0</v>
      </c>
      <c r="P79" s="55">
        <f t="shared" ca="1" si="26"/>
        <v>0</v>
      </c>
      <c r="Q79" s="55">
        <f t="shared" ca="1" si="26"/>
        <v>0</v>
      </c>
      <c r="R79" s="55">
        <f t="shared" ca="1" si="26"/>
        <v>0</v>
      </c>
      <c r="S79" s="55">
        <f t="shared" ca="1" si="26"/>
        <v>0</v>
      </c>
      <c r="T79" s="55">
        <f t="shared" ca="1" si="26"/>
        <v>0</v>
      </c>
      <c r="U79" s="55">
        <f t="shared" ca="1" si="26"/>
        <v>0</v>
      </c>
      <c r="V79" s="55">
        <f t="shared" ca="1" si="26"/>
        <v>0</v>
      </c>
      <c r="W79" s="55">
        <f t="shared" ca="1" si="26"/>
        <v>0</v>
      </c>
      <c r="X79" s="55">
        <f t="shared" ca="1" si="26"/>
        <v>0</v>
      </c>
      <c r="Y79" s="55">
        <f t="shared" ca="1" si="26"/>
        <v>0</v>
      </c>
      <c r="Z79" s="55">
        <f t="shared" ca="1" si="26"/>
        <v>0</v>
      </c>
      <c r="AA79" s="55">
        <f t="shared" ca="1" si="26"/>
        <v>0</v>
      </c>
      <c r="AB79" s="55">
        <f t="shared" ca="1" si="26"/>
        <v>0</v>
      </c>
      <c r="AC79" s="55">
        <f t="shared" ca="1" si="26"/>
        <v>0</v>
      </c>
      <c r="AD79" s="55">
        <f t="shared" ca="1" si="26"/>
        <v>0</v>
      </c>
      <c r="AE79" s="55">
        <f t="shared" ca="1" si="26"/>
        <v>0</v>
      </c>
      <c r="AF79" s="55">
        <f t="shared" ca="1" si="26"/>
        <v>0</v>
      </c>
      <c r="AG79" s="55">
        <f t="shared" ca="1" si="26"/>
        <v>0</v>
      </c>
      <c r="AH79" s="55">
        <f t="shared" ca="1" si="26"/>
        <v>0</v>
      </c>
      <c r="AI79" s="55">
        <f t="shared" ca="1" si="26"/>
        <v>0</v>
      </c>
      <c r="AJ79" s="55">
        <f t="shared" ca="1" si="26"/>
        <v>0</v>
      </c>
      <c r="AK79" s="55">
        <f t="shared" ca="1" si="26"/>
        <v>0</v>
      </c>
      <c r="AL79" s="55">
        <f t="shared" ca="1" si="26"/>
        <v>250</v>
      </c>
      <c r="AM79" s="55">
        <f t="shared" ca="1" si="26"/>
        <v>0</v>
      </c>
      <c r="AN79" s="55">
        <f t="shared" ca="1" si="26"/>
        <v>0</v>
      </c>
      <c r="AO79" s="55">
        <f t="shared" ca="1" si="26"/>
        <v>0</v>
      </c>
      <c r="AP79" s="55">
        <f t="shared" ca="1" si="26"/>
        <v>250</v>
      </c>
      <c r="AQ79" s="55">
        <f t="shared" ca="1" si="26"/>
        <v>250</v>
      </c>
      <c r="AR79" s="55">
        <f t="shared" ca="1" si="26"/>
        <v>0</v>
      </c>
      <c r="AS79" s="55">
        <f t="shared" ca="1" si="26"/>
        <v>0</v>
      </c>
      <c r="AT79" s="55">
        <f t="shared" ca="1" si="26"/>
        <v>0</v>
      </c>
      <c r="AU79" s="55">
        <f t="shared" ca="1" si="26"/>
        <v>0</v>
      </c>
      <c r="AV79" s="55">
        <f t="shared" ca="1" si="26"/>
        <v>0</v>
      </c>
      <c r="AW79" s="55">
        <f t="shared" ca="1" si="26"/>
        <v>0</v>
      </c>
      <c r="AX79" s="55">
        <f t="shared" ca="1" si="26"/>
        <v>0</v>
      </c>
    </row>
    <row r="80" spans="1:50" s="900" customFormat="1" ht="15" customHeight="1" x14ac:dyDescent="0.25">
      <c r="A80" s="896"/>
      <c r="B80" s="897"/>
      <c r="C80" s="898"/>
      <c r="D80" s="899"/>
      <c r="E80" s="896" t="str">
        <f xml:space="preserve"> Translate!E$579</f>
        <v>Project costs</v>
      </c>
      <c r="F80" s="896"/>
      <c r="G80" s="896" t="str">
        <f xml:space="preserve"> Inputs!F$52</f>
        <v>US$ mn 2021</v>
      </c>
      <c r="H80" s="896"/>
      <c r="I80" s="896">
        <f ca="1" xml:space="preserve"> SUM(K80:AX80)</f>
        <v>14821</v>
      </c>
      <c r="J80" s="896"/>
      <c r="K80" s="896">
        <f t="shared" ref="K80:AX80" ca="1" si="27">SUM(K75:K79)</f>
        <v>420</v>
      </c>
      <c r="L80" s="896">
        <f t="shared" ca="1" si="27"/>
        <v>50</v>
      </c>
      <c r="M80" s="896">
        <f t="shared" ca="1" si="27"/>
        <v>300</v>
      </c>
      <c r="N80" s="896">
        <f t="shared" ca="1" si="27"/>
        <v>1200</v>
      </c>
      <c r="O80" s="896">
        <f t="shared" ca="1" si="27"/>
        <v>1250</v>
      </c>
      <c r="P80" s="896">
        <f t="shared" ca="1" si="27"/>
        <v>2280</v>
      </c>
      <c r="Q80" s="896">
        <f t="shared" ca="1" si="27"/>
        <v>1360</v>
      </c>
      <c r="R80" s="896">
        <f t="shared" ca="1" si="27"/>
        <v>710</v>
      </c>
      <c r="S80" s="896">
        <f t="shared" ca="1" si="27"/>
        <v>510</v>
      </c>
      <c r="T80" s="896">
        <f t="shared" ca="1" si="27"/>
        <v>510</v>
      </c>
      <c r="U80" s="896">
        <f t="shared" ca="1" si="27"/>
        <v>510</v>
      </c>
      <c r="V80" s="896">
        <f t="shared" ca="1" si="27"/>
        <v>510</v>
      </c>
      <c r="W80" s="896">
        <f t="shared" ca="1" si="27"/>
        <v>510</v>
      </c>
      <c r="X80" s="896">
        <f t="shared" ca="1" si="27"/>
        <v>510</v>
      </c>
      <c r="Y80" s="896">
        <f t="shared" ca="1" si="27"/>
        <v>510</v>
      </c>
      <c r="Z80" s="896">
        <f t="shared" ca="1" si="27"/>
        <v>510</v>
      </c>
      <c r="AA80" s="896">
        <f t="shared" ca="1" si="27"/>
        <v>510</v>
      </c>
      <c r="AB80" s="896">
        <f t="shared" ca="1" si="27"/>
        <v>260</v>
      </c>
      <c r="AC80" s="896">
        <f t="shared" ca="1" si="27"/>
        <v>150</v>
      </c>
      <c r="AD80" s="896">
        <f t="shared" ca="1" si="27"/>
        <v>340</v>
      </c>
      <c r="AE80" s="896">
        <f t="shared" ca="1" si="27"/>
        <v>320</v>
      </c>
      <c r="AF80" s="896">
        <f t="shared" ca="1" si="27"/>
        <v>111</v>
      </c>
      <c r="AG80" s="896">
        <f t="shared" ca="1" si="27"/>
        <v>100</v>
      </c>
      <c r="AH80" s="896">
        <f t="shared" ca="1" si="27"/>
        <v>95</v>
      </c>
      <c r="AI80" s="896">
        <f t="shared" ca="1" si="27"/>
        <v>90</v>
      </c>
      <c r="AJ80" s="896">
        <f t="shared" ca="1" si="27"/>
        <v>85</v>
      </c>
      <c r="AK80" s="896">
        <f t="shared" ca="1" si="27"/>
        <v>80</v>
      </c>
      <c r="AL80" s="896">
        <f t="shared" ca="1" si="27"/>
        <v>325</v>
      </c>
      <c r="AM80" s="896">
        <f t="shared" ca="1" si="27"/>
        <v>70</v>
      </c>
      <c r="AN80" s="896">
        <f t="shared" ca="1" si="27"/>
        <v>70</v>
      </c>
      <c r="AO80" s="896">
        <f t="shared" ca="1" si="27"/>
        <v>65</v>
      </c>
      <c r="AP80" s="896">
        <f t="shared" ca="1" si="27"/>
        <v>250</v>
      </c>
      <c r="AQ80" s="896">
        <f t="shared" ca="1" si="27"/>
        <v>250</v>
      </c>
      <c r="AR80" s="896">
        <f t="shared" ca="1" si="27"/>
        <v>0</v>
      </c>
      <c r="AS80" s="896">
        <f t="shared" ca="1" si="27"/>
        <v>0</v>
      </c>
      <c r="AT80" s="896">
        <f t="shared" ca="1" si="27"/>
        <v>0</v>
      </c>
      <c r="AU80" s="896">
        <f t="shared" ca="1" si="27"/>
        <v>0</v>
      </c>
      <c r="AV80" s="896">
        <f t="shared" ca="1" si="27"/>
        <v>0</v>
      </c>
      <c r="AW80" s="896">
        <f t="shared" ca="1" si="27"/>
        <v>0</v>
      </c>
      <c r="AX80" s="896">
        <f t="shared" ca="1" si="27"/>
        <v>0</v>
      </c>
    </row>
    <row r="81" spans="1:50" ht="15" customHeight="1" x14ac:dyDescent="0.25">
      <c r="A81" s="86"/>
      <c r="B81" s="175"/>
      <c r="C81" s="88"/>
      <c r="D81" s="162"/>
      <c r="E81" s="13"/>
      <c r="F81" s="56"/>
      <c r="G81" s="13"/>
      <c r="H81" s="13"/>
      <c r="I81" s="89"/>
      <c r="J81" s="52"/>
      <c r="K81" s="89"/>
      <c r="L81" s="89"/>
      <c r="M81" s="89"/>
      <c r="N81" s="89"/>
      <c r="O81" s="89"/>
      <c r="P81" s="89"/>
      <c r="Q81" s="89"/>
      <c r="R81" s="89"/>
      <c r="S81" s="89"/>
      <c r="T81" s="89"/>
      <c r="U81" s="89"/>
      <c r="V81" s="89"/>
      <c r="W81" s="89"/>
      <c r="X81" s="89"/>
      <c r="Y81" s="89"/>
      <c r="Z81" s="89"/>
      <c r="AA81" s="89"/>
      <c r="AB81" s="89"/>
      <c r="AC81" s="89"/>
      <c r="AD81" s="89"/>
      <c r="AE81" s="89"/>
      <c r="AF81" s="89"/>
      <c r="AG81" s="89"/>
      <c r="AH81" s="89"/>
      <c r="AI81" s="89"/>
      <c r="AJ81" s="89"/>
      <c r="AK81" s="89"/>
      <c r="AL81" s="89"/>
      <c r="AM81" s="89"/>
      <c r="AN81" s="89"/>
      <c r="AO81" s="89"/>
      <c r="AP81" s="89"/>
      <c r="AQ81" s="89"/>
      <c r="AR81" s="89"/>
      <c r="AS81" s="89"/>
      <c r="AT81" s="89"/>
      <c r="AU81" s="89"/>
      <c r="AV81" s="89"/>
      <c r="AW81" s="89"/>
      <c r="AX81" s="89"/>
    </row>
    <row r="82" spans="1:50" ht="15" customHeight="1" x14ac:dyDescent="0.25">
      <c r="A82" s="86"/>
      <c r="B82" s="205" t="str">
        <f>Translate!$E$580</f>
        <v>Project cashflows, real before ELT</v>
      </c>
      <c r="C82" s="88"/>
      <c r="D82" s="162"/>
      <c r="E82" s="13"/>
      <c r="F82" s="56"/>
      <c r="G82" s="13"/>
      <c r="H82" s="13"/>
      <c r="I82" s="89"/>
      <c r="J82" s="52"/>
      <c r="K82" s="89"/>
      <c r="L82" s="89"/>
      <c r="M82" s="89"/>
      <c r="N82" s="89"/>
      <c r="O82" s="89"/>
      <c r="P82" s="89"/>
      <c r="Q82" s="89"/>
      <c r="R82" s="89"/>
      <c r="S82" s="89"/>
      <c r="T82" s="89"/>
      <c r="U82" s="89"/>
      <c r="V82" s="89"/>
      <c r="W82" s="89"/>
      <c r="X82" s="89"/>
      <c r="Y82" s="89"/>
      <c r="Z82" s="89"/>
      <c r="AA82" s="89"/>
      <c r="AB82" s="89"/>
      <c r="AC82" s="89"/>
      <c r="AD82" s="89"/>
      <c r="AE82" s="89"/>
      <c r="AF82" s="89"/>
      <c r="AG82" s="89"/>
      <c r="AH82" s="89"/>
      <c r="AI82" s="89"/>
      <c r="AJ82" s="89"/>
      <c r="AK82" s="89"/>
      <c r="AL82" s="89"/>
      <c r="AM82" s="89"/>
      <c r="AN82" s="89"/>
      <c r="AO82" s="89"/>
      <c r="AP82" s="89"/>
      <c r="AQ82" s="89"/>
      <c r="AR82" s="89"/>
      <c r="AS82" s="89"/>
      <c r="AT82" s="89"/>
      <c r="AU82" s="89"/>
      <c r="AV82" s="89"/>
      <c r="AW82" s="89"/>
      <c r="AX82" s="89"/>
    </row>
    <row r="83" spans="1:50" ht="15" customHeight="1" x14ac:dyDescent="0.25">
      <c r="A83" s="86"/>
      <c r="B83" s="205"/>
      <c r="C83" s="88"/>
      <c r="D83" s="162" t="str">
        <f>Translate!E529</f>
        <v>add</v>
      </c>
      <c r="E83" s="55" t="str">
        <f t="shared" ref="E83:AX83" si="28" xml:space="preserve"> E$72</f>
        <v>Oil revenues net</v>
      </c>
      <c r="F83" s="55">
        <f t="shared" si="28"/>
        <v>0</v>
      </c>
      <c r="G83" s="55" t="str">
        <f t="shared" si="28"/>
        <v>US$ mn 2021</v>
      </c>
      <c r="H83" s="55">
        <f t="shared" si="28"/>
        <v>0</v>
      </c>
      <c r="I83" s="55">
        <f t="shared" ca="1" si="28"/>
        <v>44103.023863224538</v>
      </c>
      <c r="J83" s="55">
        <f t="shared" si="28"/>
        <v>0</v>
      </c>
      <c r="K83" s="55">
        <f t="shared" ca="1" si="28"/>
        <v>0</v>
      </c>
      <c r="L83" s="55">
        <f t="shared" ca="1" si="28"/>
        <v>0</v>
      </c>
      <c r="M83" s="55">
        <f t="shared" ca="1" si="28"/>
        <v>0</v>
      </c>
      <c r="N83" s="55">
        <f t="shared" ca="1" si="28"/>
        <v>0</v>
      </c>
      <c r="O83" s="55">
        <f t="shared" ca="1" si="28"/>
        <v>191.65835816431044</v>
      </c>
      <c r="P83" s="55">
        <f t="shared" ca="1" si="28"/>
        <v>1505.625</v>
      </c>
      <c r="Q83" s="55">
        <f t="shared" ca="1" si="28"/>
        <v>3011.25</v>
      </c>
      <c r="R83" s="55">
        <f t="shared" ca="1" si="28"/>
        <v>3011.25</v>
      </c>
      <c r="S83" s="55">
        <f t="shared" ca="1" si="28"/>
        <v>3011.25</v>
      </c>
      <c r="T83" s="55">
        <f t="shared" ca="1" si="28"/>
        <v>3011.25</v>
      </c>
      <c r="U83" s="55">
        <f t="shared" ca="1" si="28"/>
        <v>3011.25</v>
      </c>
      <c r="V83" s="55">
        <f t="shared" ca="1" si="28"/>
        <v>3011.25</v>
      </c>
      <c r="W83" s="55">
        <f t="shared" ca="1" si="28"/>
        <v>3011.25</v>
      </c>
      <c r="X83" s="55">
        <f t="shared" ca="1" si="28"/>
        <v>3011.25</v>
      </c>
      <c r="Y83" s="55">
        <f t="shared" ca="1" si="28"/>
        <v>3011.25</v>
      </c>
      <c r="Z83" s="55">
        <f t="shared" ca="1" si="28"/>
        <v>3011.25</v>
      </c>
      <c r="AA83" s="55">
        <f t="shared" ca="1" si="28"/>
        <v>2439.1125000000006</v>
      </c>
      <c r="AB83" s="55">
        <f t="shared" ca="1" si="28"/>
        <v>1975.6811250000005</v>
      </c>
      <c r="AC83" s="55">
        <f t="shared" ca="1" si="28"/>
        <v>1600.3017112500004</v>
      </c>
      <c r="AD83" s="55">
        <f t="shared" ca="1" si="28"/>
        <v>1296.2443861125007</v>
      </c>
      <c r="AE83" s="55">
        <f t="shared" ca="1" si="28"/>
        <v>1049.9579527511255</v>
      </c>
      <c r="AF83" s="55">
        <f t="shared" ca="1" si="28"/>
        <v>850.46594172841174</v>
      </c>
      <c r="AG83" s="55">
        <f t="shared" ca="1" si="28"/>
        <v>688.87741280001364</v>
      </c>
      <c r="AH83" s="55">
        <f t="shared" ca="1" si="28"/>
        <v>557.99070436801105</v>
      </c>
      <c r="AI83" s="55">
        <f t="shared" ca="1" si="28"/>
        <v>451.972470538089</v>
      </c>
      <c r="AJ83" s="55">
        <f t="shared" ca="1" si="28"/>
        <v>366.09770113585205</v>
      </c>
      <c r="AK83" s="55">
        <f t="shared" ca="1" si="28"/>
        <v>296.53913792004022</v>
      </c>
      <c r="AL83" s="55">
        <f t="shared" ca="1" si="28"/>
        <v>240.19670171523254</v>
      </c>
      <c r="AM83" s="55">
        <f t="shared" ca="1" si="28"/>
        <v>194.55932838933836</v>
      </c>
      <c r="AN83" s="55">
        <f t="shared" ca="1" si="28"/>
        <v>157.59305599536407</v>
      </c>
      <c r="AO83" s="55">
        <f t="shared" ca="1" si="28"/>
        <v>127.65037535624494</v>
      </c>
      <c r="AP83" s="55">
        <f t="shared" ca="1" si="28"/>
        <v>0</v>
      </c>
      <c r="AQ83" s="55">
        <f t="shared" ca="1" si="28"/>
        <v>0</v>
      </c>
      <c r="AR83" s="55">
        <f t="shared" ca="1" si="28"/>
        <v>0</v>
      </c>
      <c r="AS83" s="55">
        <f t="shared" ca="1" si="28"/>
        <v>0</v>
      </c>
      <c r="AT83" s="55">
        <f t="shared" ca="1" si="28"/>
        <v>0</v>
      </c>
      <c r="AU83" s="55">
        <f t="shared" ca="1" si="28"/>
        <v>0</v>
      </c>
      <c r="AV83" s="55">
        <f t="shared" ca="1" si="28"/>
        <v>0</v>
      </c>
      <c r="AW83" s="55">
        <f t="shared" ca="1" si="28"/>
        <v>0</v>
      </c>
      <c r="AX83" s="55">
        <f t="shared" ca="1" si="28"/>
        <v>0</v>
      </c>
    </row>
    <row r="84" spans="1:50" ht="15" customHeight="1" x14ac:dyDescent="0.25">
      <c r="A84" s="86"/>
      <c r="B84" s="205"/>
      <c r="C84" s="88"/>
      <c r="D84" s="162" t="str">
        <f>Translate!E530</f>
        <v>less</v>
      </c>
      <c r="E84" s="55" t="str">
        <f t="shared" ref="E84:AX84" si="29" xml:space="preserve"> E$80</f>
        <v>Project costs</v>
      </c>
      <c r="F84" s="55">
        <f t="shared" si="29"/>
        <v>0</v>
      </c>
      <c r="G84" s="55" t="str">
        <f t="shared" si="29"/>
        <v>US$ mn 2021</v>
      </c>
      <c r="H84" s="55">
        <f t="shared" si="29"/>
        <v>0</v>
      </c>
      <c r="I84" s="55">
        <f t="shared" ca="1" si="29"/>
        <v>14821</v>
      </c>
      <c r="J84" s="55">
        <f t="shared" si="29"/>
        <v>0</v>
      </c>
      <c r="K84" s="55">
        <f t="shared" ca="1" si="29"/>
        <v>420</v>
      </c>
      <c r="L84" s="55">
        <f t="shared" ca="1" si="29"/>
        <v>50</v>
      </c>
      <c r="M84" s="55">
        <f t="shared" ca="1" si="29"/>
        <v>300</v>
      </c>
      <c r="N84" s="55">
        <f t="shared" ca="1" si="29"/>
        <v>1200</v>
      </c>
      <c r="O84" s="55">
        <f t="shared" ca="1" si="29"/>
        <v>1250</v>
      </c>
      <c r="P84" s="55">
        <f t="shared" ca="1" si="29"/>
        <v>2280</v>
      </c>
      <c r="Q84" s="55">
        <f t="shared" ca="1" si="29"/>
        <v>1360</v>
      </c>
      <c r="R84" s="55">
        <f t="shared" ca="1" si="29"/>
        <v>710</v>
      </c>
      <c r="S84" s="55">
        <f t="shared" ca="1" si="29"/>
        <v>510</v>
      </c>
      <c r="T84" s="55">
        <f t="shared" ca="1" si="29"/>
        <v>510</v>
      </c>
      <c r="U84" s="55">
        <f t="shared" ca="1" si="29"/>
        <v>510</v>
      </c>
      <c r="V84" s="55">
        <f t="shared" ca="1" si="29"/>
        <v>510</v>
      </c>
      <c r="W84" s="55">
        <f t="shared" ca="1" si="29"/>
        <v>510</v>
      </c>
      <c r="X84" s="55">
        <f t="shared" ca="1" si="29"/>
        <v>510</v>
      </c>
      <c r="Y84" s="55">
        <f t="shared" ca="1" si="29"/>
        <v>510</v>
      </c>
      <c r="Z84" s="55">
        <f t="shared" ca="1" si="29"/>
        <v>510</v>
      </c>
      <c r="AA84" s="55">
        <f t="shared" ca="1" si="29"/>
        <v>510</v>
      </c>
      <c r="AB84" s="55">
        <f t="shared" ca="1" si="29"/>
        <v>260</v>
      </c>
      <c r="AC84" s="55">
        <f t="shared" ca="1" si="29"/>
        <v>150</v>
      </c>
      <c r="AD84" s="55">
        <f t="shared" ca="1" si="29"/>
        <v>340</v>
      </c>
      <c r="AE84" s="55">
        <f t="shared" ca="1" si="29"/>
        <v>320</v>
      </c>
      <c r="AF84" s="55">
        <f t="shared" ca="1" si="29"/>
        <v>111</v>
      </c>
      <c r="AG84" s="55">
        <f t="shared" ca="1" si="29"/>
        <v>100</v>
      </c>
      <c r="AH84" s="55">
        <f t="shared" ca="1" si="29"/>
        <v>95</v>
      </c>
      <c r="AI84" s="55">
        <f t="shared" ca="1" si="29"/>
        <v>90</v>
      </c>
      <c r="AJ84" s="55">
        <f t="shared" ca="1" si="29"/>
        <v>85</v>
      </c>
      <c r="AK84" s="55">
        <f t="shared" ca="1" si="29"/>
        <v>80</v>
      </c>
      <c r="AL84" s="55">
        <f t="shared" ca="1" si="29"/>
        <v>325</v>
      </c>
      <c r="AM84" s="55">
        <f t="shared" ca="1" si="29"/>
        <v>70</v>
      </c>
      <c r="AN84" s="55">
        <f t="shared" ca="1" si="29"/>
        <v>70</v>
      </c>
      <c r="AO84" s="55">
        <f t="shared" ca="1" si="29"/>
        <v>65</v>
      </c>
      <c r="AP84" s="55">
        <f t="shared" ca="1" si="29"/>
        <v>250</v>
      </c>
      <c r="AQ84" s="55">
        <f t="shared" ca="1" si="29"/>
        <v>250</v>
      </c>
      <c r="AR84" s="55">
        <f t="shared" ca="1" si="29"/>
        <v>0</v>
      </c>
      <c r="AS84" s="55">
        <f t="shared" ca="1" si="29"/>
        <v>0</v>
      </c>
      <c r="AT84" s="55">
        <f t="shared" ca="1" si="29"/>
        <v>0</v>
      </c>
      <c r="AU84" s="55">
        <f t="shared" ca="1" si="29"/>
        <v>0</v>
      </c>
      <c r="AV84" s="55">
        <f t="shared" ca="1" si="29"/>
        <v>0</v>
      </c>
      <c r="AW84" s="55">
        <f t="shared" ca="1" si="29"/>
        <v>0</v>
      </c>
      <c r="AX84" s="55">
        <f t="shared" ca="1" si="29"/>
        <v>0</v>
      </c>
    </row>
    <row r="85" spans="1:50" s="485" customFormat="1" ht="15" customHeight="1" x14ac:dyDescent="0.25">
      <c r="A85" s="479"/>
      <c r="B85" s="524"/>
      <c r="C85" s="480"/>
      <c r="D85" s="481"/>
      <c r="E85" s="483" t="str">
        <f xml:space="preserve"> Translate!E$580</f>
        <v>Project cashflows, real before ELT</v>
      </c>
      <c r="F85" s="483"/>
      <c r="G85" s="483" t="str">
        <f xml:space="preserve"> Inputs!F$52</f>
        <v>US$ mn 2021</v>
      </c>
      <c r="H85" s="483"/>
      <c r="I85" s="483">
        <f ca="1" xml:space="preserve"> SUM(K85:AX85)</f>
        <v>29282.023863224538</v>
      </c>
      <c r="J85" s="483"/>
      <c r="K85" s="483">
        <f t="shared" ref="K85:AX85" ca="1" si="30" xml:space="preserve"> K83 - K84</f>
        <v>-420</v>
      </c>
      <c r="L85" s="483">
        <f t="shared" ca="1" si="30"/>
        <v>-50</v>
      </c>
      <c r="M85" s="483">
        <f t="shared" ca="1" si="30"/>
        <v>-300</v>
      </c>
      <c r="N85" s="483">
        <f t="shared" ca="1" si="30"/>
        <v>-1200</v>
      </c>
      <c r="O85" s="483">
        <f t="shared" ca="1" si="30"/>
        <v>-1058.3416418356896</v>
      </c>
      <c r="P85" s="483">
        <f t="shared" ca="1" si="30"/>
        <v>-774.375</v>
      </c>
      <c r="Q85" s="483">
        <f t="shared" ca="1" si="30"/>
        <v>1651.25</v>
      </c>
      <c r="R85" s="483">
        <f t="shared" ca="1" si="30"/>
        <v>2301.25</v>
      </c>
      <c r="S85" s="483">
        <f t="shared" ca="1" si="30"/>
        <v>2501.25</v>
      </c>
      <c r="T85" s="483">
        <f t="shared" ca="1" si="30"/>
        <v>2501.25</v>
      </c>
      <c r="U85" s="483">
        <f t="shared" ca="1" si="30"/>
        <v>2501.25</v>
      </c>
      <c r="V85" s="483">
        <f t="shared" ca="1" si="30"/>
        <v>2501.25</v>
      </c>
      <c r="W85" s="483">
        <f t="shared" ca="1" si="30"/>
        <v>2501.25</v>
      </c>
      <c r="X85" s="483">
        <f t="shared" ca="1" si="30"/>
        <v>2501.25</v>
      </c>
      <c r="Y85" s="483">
        <f t="shared" ca="1" si="30"/>
        <v>2501.25</v>
      </c>
      <c r="Z85" s="483">
        <f t="shared" ca="1" si="30"/>
        <v>2501.25</v>
      </c>
      <c r="AA85" s="483">
        <f t="shared" ca="1" si="30"/>
        <v>1929.1125000000006</v>
      </c>
      <c r="AB85" s="483">
        <f t="shared" ca="1" si="30"/>
        <v>1715.6811250000005</v>
      </c>
      <c r="AC85" s="483">
        <f t="shared" ca="1" si="30"/>
        <v>1450.3017112500004</v>
      </c>
      <c r="AD85" s="483">
        <f t="shared" ca="1" si="30"/>
        <v>956.24438611250071</v>
      </c>
      <c r="AE85" s="483">
        <f t="shared" ca="1" si="30"/>
        <v>729.9579527511255</v>
      </c>
      <c r="AF85" s="483">
        <f t="shared" ca="1" si="30"/>
        <v>739.46594172841174</v>
      </c>
      <c r="AG85" s="483">
        <f t="shared" ca="1" si="30"/>
        <v>588.87741280001364</v>
      </c>
      <c r="AH85" s="483">
        <f t="shared" ca="1" si="30"/>
        <v>462.99070436801105</v>
      </c>
      <c r="AI85" s="483">
        <f t="shared" ca="1" si="30"/>
        <v>361.972470538089</v>
      </c>
      <c r="AJ85" s="483">
        <f t="shared" ca="1" si="30"/>
        <v>281.09770113585205</v>
      </c>
      <c r="AK85" s="483">
        <f t="shared" ca="1" si="30"/>
        <v>216.53913792004022</v>
      </c>
      <c r="AL85" s="483">
        <f t="shared" ca="1" si="30"/>
        <v>-84.803298284767465</v>
      </c>
      <c r="AM85" s="483">
        <f t="shared" ca="1" si="30"/>
        <v>124.55932838933836</v>
      </c>
      <c r="AN85" s="483">
        <f t="shared" ca="1" si="30"/>
        <v>87.593055995364068</v>
      </c>
      <c r="AO85" s="483">
        <f t="shared" ca="1" si="30"/>
        <v>62.650375356244936</v>
      </c>
      <c r="AP85" s="483">
        <f t="shared" ca="1" si="30"/>
        <v>-250</v>
      </c>
      <c r="AQ85" s="483">
        <f t="shared" ca="1" si="30"/>
        <v>-250</v>
      </c>
      <c r="AR85" s="483">
        <f t="shared" ca="1" si="30"/>
        <v>0</v>
      </c>
      <c r="AS85" s="483">
        <f t="shared" ca="1" si="30"/>
        <v>0</v>
      </c>
      <c r="AT85" s="483">
        <f t="shared" ca="1" si="30"/>
        <v>0</v>
      </c>
      <c r="AU85" s="483">
        <f t="shared" ca="1" si="30"/>
        <v>0</v>
      </c>
      <c r="AV85" s="483">
        <f t="shared" ca="1" si="30"/>
        <v>0</v>
      </c>
      <c r="AW85" s="483">
        <f t="shared" ca="1" si="30"/>
        <v>0</v>
      </c>
      <c r="AX85" s="483">
        <f t="shared" ca="1" si="30"/>
        <v>0</v>
      </c>
    </row>
    <row r="86" spans="1:50" ht="15" customHeight="1" x14ac:dyDescent="0.25">
      <c r="A86" s="106"/>
      <c r="B86" s="168"/>
      <c r="C86" s="88"/>
      <c r="D86" s="162"/>
      <c r="E86" s="13"/>
      <c r="F86" s="56"/>
      <c r="G86" s="13"/>
      <c r="H86" s="13"/>
      <c r="I86" s="89"/>
      <c r="J86" s="52"/>
      <c r="K86" s="89"/>
      <c r="L86" s="89"/>
      <c r="M86" s="89"/>
      <c r="N86" s="89"/>
      <c r="O86" s="89"/>
      <c r="P86" s="89"/>
      <c r="Q86" s="89"/>
      <c r="R86" s="89"/>
      <c r="S86" s="89"/>
      <c r="T86" s="89"/>
      <c r="U86" s="89"/>
      <c r="V86" s="89"/>
      <c r="W86" s="89"/>
      <c r="X86" s="89"/>
      <c r="Y86" s="89"/>
      <c r="Z86" s="89"/>
      <c r="AA86" s="89"/>
      <c r="AB86" s="89"/>
      <c r="AC86" s="89"/>
      <c r="AD86" s="89"/>
      <c r="AE86" s="89"/>
      <c r="AF86" s="89"/>
      <c r="AG86" s="89"/>
      <c r="AH86" s="89"/>
      <c r="AI86" s="89"/>
      <c r="AJ86" s="89"/>
      <c r="AK86" s="89"/>
      <c r="AL86" s="89"/>
      <c r="AM86" s="89"/>
      <c r="AN86" s="89"/>
      <c r="AO86" s="89"/>
      <c r="AP86" s="89"/>
      <c r="AQ86" s="89"/>
      <c r="AR86" s="89"/>
      <c r="AS86" s="89"/>
      <c r="AT86" s="89"/>
      <c r="AU86" s="89"/>
      <c r="AV86" s="89"/>
      <c r="AW86" s="89"/>
      <c r="AX86" s="89"/>
    </row>
    <row r="87" spans="1:50" ht="15" customHeight="1" x14ac:dyDescent="0.25">
      <c r="A87" s="106"/>
      <c r="B87" s="168"/>
      <c r="C87" s="88"/>
      <c r="D87" s="162"/>
      <c r="E87" s="13"/>
      <c r="F87" s="56"/>
      <c r="G87" s="13"/>
      <c r="H87" s="13"/>
      <c r="I87" s="89"/>
      <c r="J87" s="52"/>
      <c r="K87" s="89"/>
      <c r="L87" s="89"/>
      <c r="M87" s="89"/>
      <c r="N87" s="89"/>
      <c r="O87" s="89"/>
      <c r="P87" s="89"/>
      <c r="Q87" s="89"/>
      <c r="R87" s="89"/>
      <c r="S87" s="89"/>
      <c r="T87" s="89"/>
      <c r="U87" s="89"/>
      <c r="V87" s="89"/>
      <c r="W87" s="89"/>
      <c r="X87" s="89"/>
      <c r="Y87" s="89"/>
      <c r="Z87" s="89"/>
      <c r="AA87" s="89"/>
      <c r="AB87" s="89"/>
      <c r="AC87" s="89"/>
      <c r="AD87" s="89"/>
      <c r="AE87" s="89"/>
      <c r="AF87" s="89"/>
      <c r="AG87" s="89"/>
      <c r="AH87" s="89"/>
      <c r="AI87" s="89"/>
      <c r="AJ87" s="89"/>
      <c r="AK87" s="89"/>
      <c r="AL87" s="89"/>
      <c r="AM87" s="89"/>
      <c r="AN87" s="89"/>
      <c r="AO87" s="89"/>
      <c r="AP87" s="89"/>
      <c r="AQ87" s="89"/>
      <c r="AR87" s="89"/>
      <c r="AS87" s="89"/>
      <c r="AT87" s="89"/>
      <c r="AU87" s="89"/>
      <c r="AV87" s="89"/>
      <c r="AW87" s="89"/>
      <c r="AX87" s="89"/>
    </row>
    <row r="88" spans="1:50" ht="15" customHeight="1" x14ac:dyDescent="0.25">
      <c r="A88" s="202" t="str">
        <f xml:space="preserve"> Translate!E$581</f>
        <v>Economic Limit Test (ELT)</v>
      </c>
      <c r="B88" s="181"/>
      <c r="C88" s="182"/>
      <c r="D88" s="183"/>
      <c r="E88" s="181"/>
      <c r="F88" s="181"/>
      <c r="G88" s="181"/>
      <c r="H88" s="181"/>
      <c r="I88" s="181"/>
      <c r="J88" s="181"/>
      <c r="K88" s="181"/>
      <c r="L88" s="181"/>
      <c r="M88" s="181"/>
      <c r="N88" s="181"/>
      <c r="O88" s="181"/>
      <c r="P88" s="181"/>
      <c r="Q88" s="181"/>
      <c r="R88" s="181"/>
      <c r="S88" s="181"/>
      <c r="T88" s="181"/>
      <c r="U88" s="181"/>
      <c r="V88" s="181"/>
      <c r="W88" s="181"/>
      <c r="X88" s="181"/>
      <c r="Y88" s="181"/>
      <c r="Z88" s="181"/>
      <c r="AA88" s="181"/>
      <c r="AB88" s="181"/>
      <c r="AC88" s="181"/>
      <c r="AD88" s="181"/>
      <c r="AE88" s="181"/>
      <c r="AF88" s="181"/>
      <c r="AG88" s="181"/>
      <c r="AH88" s="181"/>
      <c r="AI88" s="181"/>
      <c r="AJ88" s="181"/>
      <c r="AK88" s="181"/>
      <c r="AL88" s="181"/>
      <c r="AM88" s="181"/>
      <c r="AN88" s="181"/>
      <c r="AO88" s="181"/>
      <c r="AP88" s="181"/>
      <c r="AQ88" s="181"/>
      <c r="AR88" s="181"/>
      <c r="AS88" s="181"/>
      <c r="AT88" s="181"/>
      <c r="AU88" s="181"/>
      <c r="AV88" s="181"/>
      <c r="AW88" s="181"/>
      <c r="AX88" s="181"/>
    </row>
    <row r="89" spans="1:50" ht="15" customHeight="1" x14ac:dyDescent="0.25">
      <c r="A89" s="184"/>
      <c r="B89" s="184"/>
      <c r="C89" s="185"/>
      <c r="D89" s="186"/>
      <c r="E89" s="184"/>
      <c r="F89" s="184"/>
      <c r="G89" s="184"/>
      <c r="H89" s="184"/>
      <c r="I89" s="184"/>
      <c r="J89" s="184"/>
      <c r="K89" s="184"/>
      <c r="L89" s="184"/>
      <c r="M89" s="184"/>
      <c r="N89" s="184"/>
      <c r="O89" s="184"/>
      <c r="P89" s="184"/>
      <c r="Q89" s="184"/>
      <c r="R89" s="184"/>
      <c r="S89" s="184"/>
      <c r="T89" s="184"/>
      <c r="U89" s="184"/>
      <c r="V89" s="184"/>
      <c r="W89" s="184"/>
      <c r="X89" s="184"/>
      <c r="Y89" s="184"/>
      <c r="Z89" s="184"/>
      <c r="AA89" s="184"/>
      <c r="AB89" s="184"/>
      <c r="AC89" s="184"/>
      <c r="AD89" s="184"/>
      <c r="AE89" s="184"/>
      <c r="AF89" s="184"/>
      <c r="AG89" s="184"/>
      <c r="AH89" s="184"/>
      <c r="AI89" s="184"/>
      <c r="AJ89" s="184"/>
      <c r="AK89" s="184"/>
      <c r="AL89" s="184"/>
      <c r="AM89" s="184"/>
      <c r="AN89" s="184"/>
      <c r="AO89" s="184"/>
      <c r="AP89" s="184"/>
      <c r="AQ89" s="184"/>
      <c r="AR89" s="184"/>
      <c r="AS89" s="184"/>
      <c r="AT89" s="184"/>
      <c r="AU89" s="184"/>
      <c r="AV89" s="184"/>
      <c r="AW89" s="184"/>
      <c r="AX89" s="184"/>
    </row>
    <row r="90" spans="1:50" ht="15" customHeight="1" x14ac:dyDescent="0.25">
      <c r="B90" s="205" t="str">
        <f xml:space="preserve"> Translate!E$582</f>
        <v>Peak production year: assumed Economic Limit will not be triggered before this period</v>
      </c>
    </row>
    <row r="91" spans="1:50" s="741" customFormat="1" ht="15" customHeight="1" x14ac:dyDescent="0.25">
      <c r="E91" s="741" t="str">
        <f>E$57</f>
        <v>Peak production year</v>
      </c>
      <c r="F91" s="741">
        <f ca="1">F$57</f>
        <v>2027</v>
      </c>
      <c r="G91" s="741" t="str">
        <f>G$57</f>
        <v>Year</v>
      </c>
    </row>
    <row r="93" spans="1:50" ht="15" customHeight="1" x14ac:dyDescent="0.25">
      <c r="B93" s="205" t="str">
        <f xml:space="preserve"> Translate!E$583</f>
        <v>Maximum cumulative cashflows used to determine when Econ Limit reached</v>
      </c>
    </row>
    <row r="94" spans="1:50" ht="15" customHeight="1" x14ac:dyDescent="0.25">
      <c r="E94" s="3" t="str">
        <f t="shared" ref="E94:AX94" si="31" xml:space="preserve"> E$85</f>
        <v>Project cashflows, real before ELT</v>
      </c>
      <c r="F94" s="3">
        <f t="shared" si="31"/>
        <v>0</v>
      </c>
      <c r="G94" s="3" t="str">
        <f t="shared" si="31"/>
        <v>US$ mn 2021</v>
      </c>
      <c r="H94" s="3">
        <f t="shared" si="31"/>
        <v>0</v>
      </c>
      <c r="I94" s="3">
        <f t="shared" ca="1" si="31"/>
        <v>29282.023863224538</v>
      </c>
      <c r="J94" s="3">
        <f t="shared" si="31"/>
        <v>0</v>
      </c>
      <c r="K94" s="3">
        <f t="shared" ca="1" si="31"/>
        <v>-420</v>
      </c>
      <c r="L94" s="3">
        <f t="shared" ca="1" si="31"/>
        <v>-50</v>
      </c>
      <c r="M94" s="3">
        <f t="shared" ca="1" si="31"/>
        <v>-300</v>
      </c>
      <c r="N94" s="3">
        <f t="shared" ca="1" si="31"/>
        <v>-1200</v>
      </c>
      <c r="O94" s="3">
        <f t="shared" ca="1" si="31"/>
        <v>-1058.3416418356896</v>
      </c>
      <c r="P94" s="3">
        <f t="shared" ca="1" si="31"/>
        <v>-774.375</v>
      </c>
      <c r="Q94" s="3">
        <f t="shared" ca="1" si="31"/>
        <v>1651.25</v>
      </c>
      <c r="R94" s="3">
        <f t="shared" ca="1" si="31"/>
        <v>2301.25</v>
      </c>
      <c r="S94" s="3">
        <f t="shared" ca="1" si="31"/>
        <v>2501.25</v>
      </c>
      <c r="T94" s="3">
        <f t="shared" ca="1" si="31"/>
        <v>2501.25</v>
      </c>
      <c r="U94" s="3">
        <f t="shared" ca="1" si="31"/>
        <v>2501.25</v>
      </c>
      <c r="V94" s="3">
        <f t="shared" ca="1" si="31"/>
        <v>2501.25</v>
      </c>
      <c r="W94" s="3">
        <f t="shared" ca="1" si="31"/>
        <v>2501.25</v>
      </c>
      <c r="X94" s="3">
        <f t="shared" ca="1" si="31"/>
        <v>2501.25</v>
      </c>
      <c r="Y94" s="3">
        <f t="shared" ca="1" si="31"/>
        <v>2501.25</v>
      </c>
      <c r="Z94" s="3">
        <f t="shared" ca="1" si="31"/>
        <v>2501.25</v>
      </c>
      <c r="AA94" s="3">
        <f t="shared" ca="1" si="31"/>
        <v>1929.1125000000006</v>
      </c>
      <c r="AB94" s="3">
        <f t="shared" ca="1" si="31"/>
        <v>1715.6811250000005</v>
      </c>
      <c r="AC94" s="3">
        <f t="shared" ca="1" si="31"/>
        <v>1450.3017112500004</v>
      </c>
      <c r="AD94" s="3">
        <f t="shared" ca="1" si="31"/>
        <v>956.24438611250071</v>
      </c>
      <c r="AE94" s="3">
        <f t="shared" ca="1" si="31"/>
        <v>729.9579527511255</v>
      </c>
      <c r="AF94" s="3">
        <f t="shared" ca="1" si="31"/>
        <v>739.46594172841174</v>
      </c>
      <c r="AG94" s="3">
        <f t="shared" ca="1" si="31"/>
        <v>588.87741280001364</v>
      </c>
      <c r="AH94" s="3">
        <f t="shared" ca="1" si="31"/>
        <v>462.99070436801105</v>
      </c>
      <c r="AI94" s="3">
        <f t="shared" ca="1" si="31"/>
        <v>361.972470538089</v>
      </c>
      <c r="AJ94" s="3">
        <f t="shared" ca="1" si="31"/>
        <v>281.09770113585205</v>
      </c>
      <c r="AK94" s="3">
        <f t="shared" ca="1" si="31"/>
        <v>216.53913792004022</v>
      </c>
      <c r="AL94" s="3">
        <f t="shared" ca="1" si="31"/>
        <v>-84.803298284767465</v>
      </c>
      <c r="AM94" s="3">
        <f t="shared" ca="1" si="31"/>
        <v>124.55932838933836</v>
      </c>
      <c r="AN94" s="3">
        <f t="shared" ca="1" si="31"/>
        <v>87.593055995364068</v>
      </c>
      <c r="AO94" s="3">
        <f t="shared" ca="1" si="31"/>
        <v>62.650375356244936</v>
      </c>
      <c r="AP94" s="3">
        <f t="shared" ca="1" si="31"/>
        <v>-250</v>
      </c>
      <c r="AQ94" s="3">
        <f t="shared" ca="1" si="31"/>
        <v>-250</v>
      </c>
      <c r="AR94" s="3">
        <f t="shared" ca="1" si="31"/>
        <v>0</v>
      </c>
      <c r="AS94" s="3">
        <f t="shared" ca="1" si="31"/>
        <v>0</v>
      </c>
      <c r="AT94" s="3">
        <f t="shared" ca="1" si="31"/>
        <v>0</v>
      </c>
      <c r="AU94" s="3">
        <f t="shared" ca="1" si="31"/>
        <v>0</v>
      </c>
      <c r="AV94" s="3">
        <f t="shared" ca="1" si="31"/>
        <v>0</v>
      </c>
      <c r="AW94" s="3">
        <f t="shared" ca="1" si="31"/>
        <v>0</v>
      </c>
      <c r="AX94" s="3">
        <f t="shared" ca="1" si="31"/>
        <v>0</v>
      </c>
    </row>
    <row r="95" spans="1:50" ht="15" customHeight="1" x14ac:dyDescent="0.25">
      <c r="A95" s="86"/>
      <c r="B95" s="175"/>
      <c r="C95" s="88"/>
      <c r="D95" s="162"/>
      <c r="E95" s="55" t="str">
        <f t="shared" ref="E95:AX95" si="32" xml:space="preserve"> E$53</f>
        <v>Decommissioning costs</v>
      </c>
      <c r="F95" s="55">
        <f t="shared" si="32"/>
        <v>0</v>
      </c>
      <c r="G95" s="55" t="str">
        <f t="shared" si="32"/>
        <v>US$ mn 2021</v>
      </c>
      <c r="H95" s="55">
        <f t="shared" si="32"/>
        <v>0</v>
      </c>
      <c r="I95" s="55">
        <f t="shared" ca="1" si="32"/>
        <v>750</v>
      </c>
      <c r="J95" s="55">
        <f t="shared" si="32"/>
        <v>0</v>
      </c>
      <c r="K95" s="55">
        <f t="shared" ca="1" si="32"/>
        <v>0</v>
      </c>
      <c r="L95" s="55">
        <f t="shared" ca="1" si="32"/>
        <v>0</v>
      </c>
      <c r="M95" s="55">
        <f t="shared" ca="1" si="32"/>
        <v>0</v>
      </c>
      <c r="N95" s="55">
        <f t="shared" ca="1" si="32"/>
        <v>0</v>
      </c>
      <c r="O95" s="55">
        <f t="shared" ca="1" si="32"/>
        <v>0</v>
      </c>
      <c r="P95" s="55">
        <f t="shared" ca="1" si="32"/>
        <v>0</v>
      </c>
      <c r="Q95" s="55">
        <f t="shared" ca="1" si="32"/>
        <v>0</v>
      </c>
      <c r="R95" s="55">
        <f t="shared" ca="1" si="32"/>
        <v>0</v>
      </c>
      <c r="S95" s="55">
        <f t="shared" ca="1" si="32"/>
        <v>0</v>
      </c>
      <c r="T95" s="55">
        <f t="shared" ca="1" si="32"/>
        <v>0</v>
      </c>
      <c r="U95" s="55">
        <f t="shared" ca="1" si="32"/>
        <v>0</v>
      </c>
      <c r="V95" s="55">
        <f t="shared" ca="1" si="32"/>
        <v>0</v>
      </c>
      <c r="W95" s="55">
        <f t="shared" ca="1" si="32"/>
        <v>0</v>
      </c>
      <c r="X95" s="55">
        <f t="shared" ca="1" si="32"/>
        <v>0</v>
      </c>
      <c r="Y95" s="55">
        <f t="shared" ca="1" si="32"/>
        <v>0</v>
      </c>
      <c r="Z95" s="55">
        <f t="shared" ca="1" si="32"/>
        <v>0</v>
      </c>
      <c r="AA95" s="55">
        <f t="shared" ca="1" si="32"/>
        <v>0</v>
      </c>
      <c r="AB95" s="55">
        <f t="shared" ca="1" si="32"/>
        <v>0</v>
      </c>
      <c r="AC95" s="55">
        <f t="shared" ca="1" si="32"/>
        <v>0</v>
      </c>
      <c r="AD95" s="55">
        <f t="shared" ca="1" si="32"/>
        <v>0</v>
      </c>
      <c r="AE95" s="55">
        <f t="shared" ca="1" si="32"/>
        <v>0</v>
      </c>
      <c r="AF95" s="55">
        <f t="shared" ca="1" si="32"/>
        <v>0</v>
      </c>
      <c r="AG95" s="55">
        <f t="shared" ca="1" si="32"/>
        <v>0</v>
      </c>
      <c r="AH95" s="55">
        <f t="shared" ca="1" si="32"/>
        <v>0</v>
      </c>
      <c r="AI95" s="55">
        <f t="shared" ca="1" si="32"/>
        <v>0</v>
      </c>
      <c r="AJ95" s="55">
        <f t="shared" ca="1" si="32"/>
        <v>0</v>
      </c>
      <c r="AK95" s="55">
        <f t="shared" ca="1" si="32"/>
        <v>0</v>
      </c>
      <c r="AL95" s="55">
        <f t="shared" ca="1" si="32"/>
        <v>250</v>
      </c>
      <c r="AM95" s="55">
        <f t="shared" ca="1" si="32"/>
        <v>0</v>
      </c>
      <c r="AN95" s="55">
        <f t="shared" ca="1" si="32"/>
        <v>0</v>
      </c>
      <c r="AO95" s="55">
        <f t="shared" ca="1" si="32"/>
        <v>0</v>
      </c>
      <c r="AP95" s="55">
        <f t="shared" ca="1" si="32"/>
        <v>250</v>
      </c>
      <c r="AQ95" s="55">
        <f t="shared" ca="1" si="32"/>
        <v>250</v>
      </c>
      <c r="AR95" s="55">
        <f t="shared" ca="1" si="32"/>
        <v>0</v>
      </c>
      <c r="AS95" s="55">
        <f t="shared" ca="1" si="32"/>
        <v>0</v>
      </c>
      <c r="AT95" s="55">
        <f t="shared" ca="1" si="32"/>
        <v>0</v>
      </c>
      <c r="AU95" s="55">
        <f t="shared" ca="1" si="32"/>
        <v>0</v>
      </c>
      <c r="AV95" s="55">
        <f t="shared" ca="1" si="32"/>
        <v>0</v>
      </c>
      <c r="AW95" s="55">
        <f t="shared" ca="1" si="32"/>
        <v>0</v>
      </c>
      <c r="AX95" s="55">
        <f t="shared" ca="1" si="32"/>
        <v>0</v>
      </c>
    </row>
    <row r="96" spans="1:50" ht="15" customHeight="1" x14ac:dyDescent="0.25">
      <c r="E96" s="3" t="str">
        <f xml:space="preserve"> E94 &amp; " (" &amp; Translate!E772 &amp; ")"</f>
        <v>Project cashflows, real before ELT (before decommisioning)</v>
      </c>
      <c r="G96" s="3" t="str">
        <f>G95</f>
        <v>US$ mn 2021</v>
      </c>
      <c r="I96" s="3">
        <f ca="1" xml:space="preserve"> SUM(K96:BH96)</f>
        <v>30032.023863224538</v>
      </c>
      <c r="K96" s="3">
        <f t="shared" ref="K96:AX96" ca="1" si="33" xml:space="preserve"> K94 + K95</f>
        <v>-420</v>
      </c>
      <c r="L96" s="3">
        <f t="shared" ca="1" si="33"/>
        <v>-50</v>
      </c>
      <c r="M96" s="3">
        <f t="shared" ca="1" si="33"/>
        <v>-300</v>
      </c>
      <c r="N96" s="3">
        <f t="shared" ca="1" si="33"/>
        <v>-1200</v>
      </c>
      <c r="O96" s="3">
        <f t="shared" ca="1" si="33"/>
        <v>-1058.3416418356896</v>
      </c>
      <c r="P96" s="3">
        <f t="shared" ca="1" si="33"/>
        <v>-774.375</v>
      </c>
      <c r="Q96" s="3">
        <f t="shared" ca="1" si="33"/>
        <v>1651.25</v>
      </c>
      <c r="R96" s="3">
        <f t="shared" ca="1" si="33"/>
        <v>2301.25</v>
      </c>
      <c r="S96" s="3">
        <f t="shared" ca="1" si="33"/>
        <v>2501.25</v>
      </c>
      <c r="T96" s="3">
        <f t="shared" ca="1" si="33"/>
        <v>2501.25</v>
      </c>
      <c r="U96" s="3">
        <f t="shared" ca="1" si="33"/>
        <v>2501.25</v>
      </c>
      <c r="V96" s="3">
        <f t="shared" ca="1" si="33"/>
        <v>2501.25</v>
      </c>
      <c r="W96" s="3">
        <f t="shared" ca="1" si="33"/>
        <v>2501.25</v>
      </c>
      <c r="X96" s="3">
        <f t="shared" ca="1" si="33"/>
        <v>2501.25</v>
      </c>
      <c r="Y96" s="3">
        <f t="shared" ca="1" si="33"/>
        <v>2501.25</v>
      </c>
      <c r="Z96" s="3">
        <f t="shared" ca="1" si="33"/>
        <v>2501.25</v>
      </c>
      <c r="AA96" s="3">
        <f t="shared" ca="1" si="33"/>
        <v>1929.1125000000006</v>
      </c>
      <c r="AB96" s="3">
        <f t="shared" ca="1" si="33"/>
        <v>1715.6811250000005</v>
      </c>
      <c r="AC96" s="3">
        <f t="shared" ca="1" si="33"/>
        <v>1450.3017112500004</v>
      </c>
      <c r="AD96" s="3">
        <f t="shared" ca="1" si="33"/>
        <v>956.24438611250071</v>
      </c>
      <c r="AE96" s="3">
        <f t="shared" ca="1" si="33"/>
        <v>729.9579527511255</v>
      </c>
      <c r="AF96" s="3">
        <f t="shared" ca="1" si="33"/>
        <v>739.46594172841174</v>
      </c>
      <c r="AG96" s="3">
        <f t="shared" ca="1" si="33"/>
        <v>588.87741280001364</v>
      </c>
      <c r="AH96" s="3">
        <f t="shared" ca="1" si="33"/>
        <v>462.99070436801105</v>
      </c>
      <c r="AI96" s="3">
        <f t="shared" ca="1" si="33"/>
        <v>361.972470538089</v>
      </c>
      <c r="AJ96" s="3">
        <f t="shared" ca="1" si="33"/>
        <v>281.09770113585205</v>
      </c>
      <c r="AK96" s="3">
        <f t="shared" ca="1" si="33"/>
        <v>216.53913792004022</v>
      </c>
      <c r="AL96" s="3">
        <f t="shared" ca="1" si="33"/>
        <v>165.19670171523254</v>
      </c>
      <c r="AM96" s="3">
        <f t="shared" ca="1" si="33"/>
        <v>124.55932838933836</v>
      </c>
      <c r="AN96" s="3">
        <f t="shared" ca="1" si="33"/>
        <v>87.593055995364068</v>
      </c>
      <c r="AO96" s="3">
        <f t="shared" ca="1" si="33"/>
        <v>62.650375356244936</v>
      </c>
      <c r="AP96" s="3">
        <f t="shared" ca="1" si="33"/>
        <v>0</v>
      </c>
      <c r="AQ96" s="3">
        <f t="shared" ca="1" si="33"/>
        <v>0</v>
      </c>
      <c r="AR96" s="3">
        <f t="shared" ca="1" si="33"/>
        <v>0</v>
      </c>
      <c r="AS96" s="3">
        <f t="shared" ca="1" si="33"/>
        <v>0</v>
      </c>
      <c r="AT96" s="3">
        <f t="shared" ca="1" si="33"/>
        <v>0</v>
      </c>
      <c r="AU96" s="3">
        <f t="shared" ca="1" si="33"/>
        <v>0</v>
      </c>
      <c r="AV96" s="3">
        <f t="shared" ca="1" si="33"/>
        <v>0</v>
      </c>
      <c r="AW96" s="3">
        <f t="shared" ca="1" si="33"/>
        <v>0</v>
      </c>
      <c r="AX96" s="3">
        <f t="shared" ca="1" si="33"/>
        <v>0</v>
      </c>
    </row>
    <row r="97" spans="1:50" ht="15" customHeight="1" x14ac:dyDescent="0.25">
      <c r="E97" s="3" t="str">
        <f xml:space="preserve"> E96 &amp; ": " &amp; Translate!E$811</f>
        <v>Project cashflows, real before ELT (before decommisioning): cumulative</v>
      </c>
      <c r="G97" s="3" t="str">
        <f xml:space="preserve"> G96</f>
        <v>US$ mn 2021</v>
      </c>
      <c r="J97" s="542"/>
      <c r="K97" s="3">
        <f t="shared" ref="K97:AX97" ca="1" si="34" xml:space="preserve"> J97 + K96</f>
        <v>-420</v>
      </c>
      <c r="L97" s="3">
        <f t="shared" ca="1" si="34"/>
        <v>-470</v>
      </c>
      <c r="M97" s="3">
        <f t="shared" ca="1" si="34"/>
        <v>-770</v>
      </c>
      <c r="N97" s="3">
        <f t="shared" ca="1" si="34"/>
        <v>-1970</v>
      </c>
      <c r="O97" s="3">
        <f t="shared" ca="1" si="34"/>
        <v>-3028.3416418356896</v>
      </c>
      <c r="P97" s="3">
        <f t="shared" ca="1" si="34"/>
        <v>-3802.7166418356896</v>
      </c>
      <c r="Q97" s="3">
        <f t="shared" ca="1" si="34"/>
        <v>-2151.4666418356896</v>
      </c>
      <c r="R97" s="3">
        <f t="shared" ca="1" si="34"/>
        <v>149.78335816431036</v>
      </c>
      <c r="S97" s="3">
        <f t="shared" ca="1" si="34"/>
        <v>2651.0333581643104</v>
      </c>
      <c r="T97" s="3">
        <f t="shared" ca="1" si="34"/>
        <v>5152.2833581643099</v>
      </c>
      <c r="U97" s="3">
        <f t="shared" ca="1" si="34"/>
        <v>7653.5333581643099</v>
      </c>
      <c r="V97" s="3">
        <f t="shared" ca="1" si="34"/>
        <v>10154.78335816431</v>
      </c>
      <c r="W97" s="3">
        <f t="shared" ca="1" si="34"/>
        <v>12656.03335816431</v>
      </c>
      <c r="X97" s="3">
        <f t="shared" ca="1" si="34"/>
        <v>15157.28335816431</v>
      </c>
      <c r="Y97" s="3">
        <f t="shared" ca="1" si="34"/>
        <v>17658.53335816431</v>
      </c>
      <c r="Z97" s="3">
        <f t="shared" ca="1" si="34"/>
        <v>20159.78335816431</v>
      </c>
      <c r="AA97" s="3">
        <f t="shared" ca="1" si="34"/>
        <v>22088.895858164309</v>
      </c>
      <c r="AB97" s="3">
        <f t="shared" ca="1" si="34"/>
        <v>23804.576983164308</v>
      </c>
      <c r="AC97" s="3">
        <f t="shared" ca="1" si="34"/>
        <v>25254.87869441431</v>
      </c>
      <c r="AD97" s="3">
        <f t="shared" ca="1" si="34"/>
        <v>26211.12308052681</v>
      </c>
      <c r="AE97" s="3">
        <f t="shared" ca="1" si="34"/>
        <v>26941.081033277937</v>
      </c>
      <c r="AF97" s="3">
        <f t="shared" ca="1" si="34"/>
        <v>27680.546975006349</v>
      </c>
      <c r="AG97" s="3">
        <f t="shared" ca="1" si="34"/>
        <v>28269.424387806364</v>
      </c>
      <c r="AH97" s="3">
        <f t="shared" ca="1" si="34"/>
        <v>28732.415092174375</v>
      </c>
      <c r="AI97" s="3">
        <f t="shared" ca="1" si="34"/>
        <v>29094.387562712465</v>
      </c>
      <c r="AJ97" s="3">
        <f t="shared" ca="1" si="34"/>
        <v>29375.485263848317</v>
      </c>
      <c r="AK97" s="3">
        <f t="shared" ca="1" si="34"/>
        <v>29592.024401768358</v>
      </c>
      <c r="AL97" s="3">
        <f t="shared" ca="1" si="34"/>
        <v>29757.221103483589</v>
      </c>
      <c r="AM97" s="3">
        <f t="shared" ca="1" si="34"/>
        <v>29881.780431872929</v>
      </c>
      <c r="AN97" s="3">
        <f t="shared" ca="1" si="34"/>
        <v>29969.373487868292</v>
      </c>
      <c r="AO97" s="3">
        <f t="shared" ca="1" si="34"/>
        <v>30032.023863224538</v>
      </c>
      <c r="AP97" s="3">
        <f t="shared" ca="1" si="34"/>
        <v>30032.023863224538</v>
      </c>
      <c r="AQ97" s="3">
        <f t="shared" ca="1" si="34"/>
        <v>30032.023863224538</v>
      </c>
      <c r="AR97" s="3">
        <f t="shared" ca="1" si="34"/>
        <v>30032.023863224538</v>
      </c>
      <c r="AS97" s="3">
        <f t="shared" ca="1" si="34"/>
        <v>30032.023863224538</v>
      </c>
      <c r="AT97" s="3">
        <f t="shared" ca="1" si="34"/>
        <v>30032.023863224538</v>
      </c>
      <c r="AU97" s="3">
        <f t="shared" ca="1" si="34"/>
        <v>30032.023863224538</v>
      </c>
      <c r="AV97" s="3">
        <f t="shared" ca="1" si="34"/>
        <v>30032.023863224538</v>
      </c>
      <c r="AW97" s="3">
        <f t="shared" ca="1" si="34"/>
        <v>30032.023863224538</v>
      </c>
      <c r="AX97" s="3">
        <f t="shared" ca="1" si="34"/>
        <v>30032.023863224538</v>
      </c>
    </row>
    <row r="98" spans="1:50" s="257" customFormat="1" ht="15" customHeight="1" x14ac:dyDescent="0.25">
      <c r="A98" s="85"/>
      <c r="B98" s="879"/>
      <c r="C98" s="84"/>
      <c r="D98" s="880"/>
      <c r="E98" s="13" t="str">
        <f xml:space="preserve"> Translate!E$584</f>
        <v>Peak cumulative cashflows</v>
      </c>
      <c r="F98" s="85">
        <f ca="1" xml:space="preserve"> MAX(K97:AX97)</f>
        <v>30032.023863224538</v>
      </c>
      <c r="G98" s="13" t="str">
        <f>G95</f>
        <v>US$ mn 2021</v>
      </c>
      <c r="H98" s="13"/>
      <c r="I98" s="12"/>
      <c r="J98" s="85"/>
      <c r="K98" s="238"/>
      <c r="L98" s="238"/>
      <c r="M98" s="238"/>
      <c r="N98" s="238"/>
      <c r="O98" s="238"/>
      <c r="P98" s="238"/>
      <c r="Q98" s="238"/>
      <c r="R98" s="238"/>
      <c r="S98" s="238"/>
      <c r="T98" s="238"/>
      <c r="U98" s="238"/>
      <c r="V98" s="238"/>
      <c r="W98" s="238"/>
      <c r="X98" s="238"/>
      <c r="Y98" s="238"/>
      <c r="Z98" s="238"/>
      <c r="AA98" s="238"/>
      <c r="AB98" s="238"/>
      <c r="AC98" s="238"/>
      <c r="AD98" s="238"/>
      <c r="AE98" s="238"/>
      <c r="AF98" s="238"/>
      <c r="AG98" s="238"/>
      <c r="AH98" s="238"/>
      <c r="AI98" s="238"/>
      <c r="AJ98" s="238"/>
      <c r="AK98" s="238"/>
      <c r="AL98" s="238"/>
      <c r="AM98" s="238"/>
      <c r="AN98" s="238"/>
      <c r="AO98" s="238"/>
      <c r="AP98" s="238"/>
      <c r="AQ98" s="238"/>
      <c r="AR98" s="238"/>
      <c r="AS98" s="238"/>
      <c r="AT98" s="238"/>
      <c r="AU98" s="238"/>
      <c r="AV98" s="238"/>
      <c r="AW98" s="238"/>
      <c r="AX98" s="238"/>
    </row>
    <row r="99" spans="1:50" s="741" customFormat="1" ht="15" customHeight="1" x14ac:dyDescent="0.25">
      <c r="A99" s="738"/>
      <c r="B99" s="883"/>
      <c r="C99" s="862"/>
      <c r="D99" s="883"/>
      <c r="E99" s="775" t="str">
        <f t="shared" ref="E99:AX99" si="35" xml:space="preserve"> E$34</f>
        <v>Model calendar years</v>
      </c>
      <c r="F99" s="775">
        <f t="shared" si="35"/>
        <v>0</v>
      </c>
      <c r="G99" s="775" t="str">
        <f t="shared" si="35"/>
        <v>Year</v>
      </c>
      <c r="H99" s="775">
        <f t="shared" si="35"/>
        <v>0</v>
      </c>
      <c r="I99" s="775">
        <f t="shared" si="35"/>
        <v>0</v>
      </c>
      <c r="J99" s="775">
        <f t="shared" si="35"/>
        <v>0</v>
      </c>
      <c r="K99" s="775">
        <f t="shared" si="35"/>
        <v>2021</v>
      </c>
      <c r="L99" s="775">
        <f t="shared" si="35"/>
        <v>2022</v>
      </c>
      <c r="M99" s="775">
        <f t="shared" si="35"/>
        <v>2023</v>
      </c>
      <c r="N99" s="775">
        <f t="shared" si="35"/>
        <v>2024</v>
      </c>
      <c r="O99" s="775">
        <f t="shared" si="35"/>
        <v>2025</v>
      </c>
      <c r="P99" s="775">
        <f t="shared" si="35"/>
        <v>2026</v>
      </c>
      <c r="Q99" s="775">
        <f t="shared" si="35"/>
        <v>2027</v>
      </c>
      <c r="R99" s="775">
        <f t="shared" si="35"/>
        <v>2028</v>
      </c>
      <c r="S99" s="775">
        <f t="shared" si="35"/>
        <v>2029</v>
      </c>
      <c r="T99" s="775">
        <f t="shared" si="35"/>
        <v>2030</v>
      </c>
      <c r="U99" s="775">
        <f t="shared" si="35"/>
        <v>2031</v>
      </c>
      <c r="V99" s="775">
        <f t="shared" si="35"/>
        <v>2032</v>
      </c>
      <c r="W99" s="775">
        <f t="shared" si="35"/>
        <v>2033</v>
      </c>
      <c r="X99" s="775">
        <f t="shared" si="35"/>
        <v>2034</v>
      </c>
      <c r="Y99" s="775">
        <f t="shared" si="35"/>
        <v>2035</v>
      </c>
      <c r="Z99" s="775">
        <f t="shared" si="35"/>
        <v>2036</v>
      </c>
      <c r="AA99" s="775">
        <f t="shared" si="35"/>
        <v>2037</v>
      </c>
      <c r="AB99" s="775">
        <f t="shared" si="35"/>
        <v>2038</v>
      </c>
      <c r="AC99" s="775">
        <f t="shared" si="35"/>
        <v>2039</v>
      </c>
      <c r="AD99" s="775">
        <f t="shared" si="35"/>
        <v>2040</v>
      </c>
      <c r="AE99" s="775">
        <f t="shared" si="35"/>
        <v>2041</v>
      </c>
      <c r="AF99" s="775">
        <f t="shared" si="35"/>
        <v>2042</v>
      </c>
      <c r="AG99" s="775">
        <f t="shared" si="35"/>
        <v>2043</v>
      </c>
      <c r="AH99" s="775">
        <f t="shared" si="35"/>
        <v>2044</v>
      </c>
      <c r="AI99" s="775">
        <f t="shared" si="35"/>
        <v>2045</v>
      </c>
      <c r="AJ99" s="775">
        <f t="shared" si="35"/>
        <v>2046</v>
      </c>
      <c r="AK99" s="775">
        <f t="shared" si="35"/>
        <v>2047</v>
      </c>
      <c r="AL99" s="775">
        <f t="shared" si="35"/>
        <v>2048</v>
      </c>
      <c r="AM99" s="775">
        <f t="shared" si="35"/>
        <v>2049</v>
      </c>
      <c r="AN99" s="775">
        <f t="shared" si="35"/>
        <v>2050</v>
      </c>
      <c r="AO99" s="775">
        <f t="shared" si="35"/>
        <v>2051</v>
      </c>
      <c r="AP99" s="775">
        <f t="shared" si="35"/>
        <v>2052</v>
      </c>
      <c r="AQ99" s="775">
        <f t="shared" si="35"/>
        <v>2053</v>
      </c>
      <c r="AR99" s="775">
        <f t="shared" si="35"/>
        <v>2054</v>
      </c>
      <c r="AS99" s="775">
        <f t="shared" si="35"/>
        <v>2055</v>
      </c>
      <c r="AT99" s="775">
        <f t="shared" si="35"/>
        <v>2056</v>
      </c>
      <c r="AU99" s="775">
        <f t="shared" si="35"/>
        <v>2057</v>
      </c>
      <c r="AV99" s="775">
        <f t="shared" si="35"/>
        <v>2058</v>
      </c>
      <c r="AW99" s="775">
        <f t="shared" si="35"/>
        <v>2059</v>
      </c>
      <c r="AX99" s="775">
        <f t="shared" si="35"/>
        <v>2060</v>
      </c>
    </row>
    <row r="100" spans="1:50" s="741" customFormat="1" ht="15" customHeight="1" x14ac:dyDescent="0.25">
      <c r="A100" s="874"/>
      <c r="C100" s="740"/>
      <c r="D100" s="775"/>
      <c r="E100" s="775" t="str">
        <f xml:space="preserve"> Translate!E$585</f>
        <v>Economic limit reached</v>
      </c>
      <c r="F100" s="775"/>
      <c r="G100" s="775" t="str">
        <f>Translate!E405</f>
        <v>Flag</v>
      </c>
      <c r="H100" s="775"/>
      <c r="I100" s="775"/>
      <c r="J100" s="775"/>
      <c r="K100" s="775">
        <f t="shared" ref="K100:AX100" ca="1" si="36" xml:space="preserve"> ($F98 = K97) * 1</f>
        <v>0</v>
      </c>
      <c r="L100" s="775">
        <f t="shared" ca="1" si="36"/>
        <v>0</v>
      </c>
      <c r="M100" s="775">
        <f t="shared" ca="1" si="36"/>
        <v>0</v>
      </c>
      <c r="N100" s="775">
        <f t="shared" ca="1" si="36"/>
        <v>0</v>
      </c>
      <c r="O100" s="775">
        <f t="shared" ca="1" si="36"/>
        <v>0</v>
      </c>
      <c r="P100" s="775">
        <f t="shared" ca="1" si="36"/>
        <v>0</v>
      </c>
      <c r="Q100" s="775">
        <f t="shared" ca="1" si="36"/>
        <v>0</v>
      </c>
      <c r="R100" s="775">
        <f t="shared" ca="1" si="36"/>
        <v>0</v>
      </c>
      <c r="S100" s="775">
        <f t="shared" ca="1" si="36"/>
        <v>0</v>
      </c>
      <c r="T100" s="775">
        <f t="shared" ca="1" si="36"/>
        <v>0</v>
      </c>
      <c r="U100" s="775">
        <f t="shared" ca="1" si="36"/>
        <v>0</v>
      </c>
      <c r="V100" s="775">
        <f t="shared" ca="1" si="36"/>
        <v>0</v>
      </c>
      <c r="W100" s="775">
        <f t="shared" ca="1" si="36"/>
        <v>0</v>
      </c>
      <c r="X100" s="775">
        <f t="shared" ca="1" si="36"/>
        <v>0</v>
      </c>
      <c r="Y100" s="775">
        <f t="shared" ca="1" si="36"/>
        <v>0</v>
      </c>
      <c r="Z100" s="775">
        <f t="shared" ca="1" si="36"/>
        <v>0</v>
      </c>
      <c r="AA100" s="775">
        <f t="shared" ca="1" si="36"/>
        <v>0</v>
      </c>
      <c r="AB100" s="775">
        <f t="shared" ca="1" si="36"/>
        <v>0</v>
      </c>
      <c r="AC100" s="775">
        <f t="shared" ca="1" si="36"/>
        <v>0</v>
      </c>
      <c r="AD100" s="775">
        <f t="shared" ca="1" si="36"/>
        <v>0</v>
      </c>
      <c r="AE100" s="775">
        <f t="shared" ca="1" si="36"/>
        <v>0</v>
      </c>
      <c r="AF100" s="775">
        <f t="shared" ca="1" si="36"/>
        <v>0</v>
      </c>
      <c r="AG100" s="775">
        <f t="shared" ca="1" si="36"/>
        <v>0</v>
      </c>
      <c r="AH100" s="775">
        <f t="shared" ca="1" si="36"/>
        <v>0</v>
      </c>
      <c r="AI100" s="775">
        <f t="shared" ca="1" si="36"/>
        <v>0</v>
      </c>
      <c r="AJ100" s="775">
        <f t="shared" ca="1" si="36"/>
        <v>0</v>
      </c>
      <c r="AK100" s="775">
        <f t="shared" ca="1" si="36"/>
        <v>0</v>
      </c>
      <c r="AL100" s="775">
        <f t="shared" ca="1" si="36"/>
        <v>0</v>
      </c>
      <c r="AM100" s="775">
        <f t="shared" ca="1" si="36"/>
        <v>0</v>
      </c>
      <c r="AN100" s="775">
        <f t="shared" ca="1" si="36"/>
        <v>0</v>
      </c>
      <c r="AO100" s="775">
        <f t="shared" ca="1" si="36"/>
        <v>1</v>
      </c>
      <c r="AP100" s="775">
        <f t="shared" ca="1" si="36"/>
        <v>1</v>
      </c>
      <c r="AQ100" s="775">
        <f t="shared" ca="1" si="36"/>
        <v>1</v>
      </c>
      <c r="AR100" s="775">
        <f t="shared" ca="1" si="36"/>
        <v>1</v>
      </c>
      <c r="AS100" s="775">
        <f t="shared" ca="1" si="36"/>
        <v>1</v>
      </c>
      <c r="AT100" s="775">
        <f t="shared" ca="1" si="36"/>
        <v>1</v>
      </c>
      <c r="AU100" s="775">
        <f t="shared" ca="1" si="36"/>
        <v>1</v>
      </c>
      <c r="AV100" s="775">
        <f t="shared" ca="1" si="36"/>
        <v>1</v>
      </c>
      <c r="AW100" s="775">
        <f t="shared" ca="1" si="36"/>
        <v>1</v>
      </c>
      <c r="AX100" s="775">
        <f t="shared" ca="1" si="36"/>
        <v>1</v>
      </c>
    </row>
    <row r="102" spans="1:50" s="741" customFormat="1" ht="15" customHeight="1" x14ac:dyDescent="0.25">
      <c r="A102" s="874"/>
      <c r="C102" s="740"/>
      <c r="D102" s="775"/>
      <c r="E102" s="775" t="str">
        <f xml:space="preserve"> Translate!E$586</f>
        <v>Economic limit year based on cashflows</v>
      </c>
      <c r="F102" s="775">
        <f ca="1" xml:space="preserve"> INDEX(K99:AX99, MATCH(1, K100:AX100, 0))</f>
        <v>2051</v>
      </c>
      <c r="G102" s="775" t="str">
        <f>Translate!E$608</f>
        <v>Year</v>
      </c>
      <c r="H102" s="775"/>
      <c r="I102" s="775"/>
      <c r="J102" s="775"/>
      <c r="K102" s="775"/>
      <c r="L102" s="775"/>
      <c r="M102" s="775"/>
      <c r="N102" s="775"/>
      <c r="O102" s="775"/>
      <c r="P102" s="775"/>
      <c r="Q102" s="775"/>
      <c r="R102" s="775"/>
      <c r="S102" s="775"/>
      <c r="T102" s="775"/>
      <c r="U102" s="775"/>
      <c r="V102" s="775"/>
      <c r="W102" s="775"/>
      <c r="X102" s="775"/>
      <c r="Y102" s="775"/>
      <c r="Z102" s="775"/>
      <c r="AA102" s="775"/>
      <c r="AB102" s="775"/>
      <c r="AC102" s="775"/>
      <c r="AD102" s="775"/>
      <c r="AE102" s="775"/>
      <c r="AF102" s="775"/>
      <c r="AG102" s="775"/>
      <c r="AH102" s="775"/>
      <c r="AI102" s="775"/>
      <c r="AJ102" s="775"/>
      <c r="AK102" s="775"/>
      <c r="AL102" s="775"/>
      <c r="AM102" s="775"/>
      <c r="AN102" s="775"/>
      <c r="AO102" s="775"/>
      <c r="AP102" s="775"/>
      <c r="AQ102" s="775"/>
      <c r="AR102" s="775"/>
      <c r="AS102" s="775"/>
      <c r="AT102" s="775"/>
      <c r="AU102" s="775"/>
      <c r="AV102" s="775"/>
      <c r="AW102" s="775"/>
      <c r="AX102" s="775"/>
    </row>
    <row r="103" spans="1:50" s="741" customFormat="1" ht="15" customHeight="1" x14ac:dyDescent="0.25">
      <c r="A103" s="874"/>
      <c r="C103" s="740"/>
      <c r="D103" s="775"/>
      <c r="E103" s="881" t="str">
        <f xml:space="preserve"> Translate!E$587</f>
        <v>Project economic limit</v>
      </c>
      <c r="F103" s="881">
        <f ca="1" xml:space="preserve"> MAX(F102, F91)</f>
        <v>2051</v>
      </c>
      <c r="G103" s="881" t="str">
        <f>Translate!E$608</f>
        <v>Year</v>
      </c>
      <c r="H103" s="775"/>
      <c r="I103" s="775"/>
      <c r="J103" s="775"/>
      <c r="K103" s="775"/>
      <c r="L103" s="775"/>
      <c r="M103" s="775"/>
      <c r="N103" s="775"/>
      <c r="O103" s="775"/>
      <c r="P103" s="775"/>
      <c r="Q103" s="775"/>
      <c r="R103" s="775"/>
      <c r="S103" s="775"/>
      <c r="T103" s="775"/>
      <c r="U103" s="775"/>
      <c r="V103" s="775"/>
      <c r="W103" s="775"/>
      <c r="X103" s="775"/>
      <c r="Y103" s="775"/>
      <c r="Z103" s="775"/>
      <c r="AA103" s="775"/>
      <c r="AB103" s="775"/>
      <c r="AC103" s="775"/>
      <c r="AD103" s="775"/>
      <c r="AE103" s="775"/>
      <c r="AF103" s="775"/>
      <c r="AG103" s="775"/>
      <c r="AH103" s="775"/>
      <c r="AI103" s="775"/>
      <c r="AJ103" s="775"/>
      <c r="AK103" s="775"/>
      <c r="AL103" s="775"/>
      <c r="AM103" s="775"/>
      <c r="AN103" s="775"/>
      <c r="AO103" s="775"/>
      <c r="AP103" s="775"/>
      <c r="AQ103" s="775"/>
      <c r="AR103" s="775"/>
      <c r="AS103" s="775"/>
      <c r="AT103" s="775"/>
      <c r="AU103" s="775"/>
      <c r="AV103" s="775"/>
      <c r="AW103" s="775"/>
      <c r="AX103" s="775"/>
    </row>
    <row r="105" spans="1:50" ht="15" customHeight="1" x14ac:dyDescent="0.25">
      <c r="E105" s="40" t="str">
        <f xml:space="preserve"> Inputs!E$40</f>
        <v>ELT applies</v>
      </c>
      <c r="F105" s="283" t="str">
        <f xml:space="preserve"> Inputs!F$40</f>
        <v>yes</v>
      </c>
      <c r="G105" s="40" t="str">
        <f xml:space="preserve"> Inputs!G$40</f>
        <v>Option</v>
      </c>
    </row>
    <row r="106" spans="1:50" ht="15" customHeight="1" x14ac:dyDescent="0.25">
      <c r="E106" s="40" t="str">
        <f xml:space="preserve"> Inputs!E$87</f>
        <v>Label: yes</v>
      </c>
      <c r="F106" s="283" t="str">
        <f xml:space="preserve"> Inputs!F$87</f>
        <v>yes</v>
      </c>
      <c r="G106" s="40" t="str">
        <f xml:space="preserve"> Inputs!G$87</f>
        <v>Label</v>
      </c>
    </row>
    <row r="107" spans="1:50" s="741" customFormat="1" ht="15" customHeight="1" x14ac:dyDescent="0.25">
      <c r="A107" s="874"/>
      <c r="C107" s="740"/>
      <c r="D107" s="775"/>
      <c r="E107" s="775" t="str">
        <f xml:space="preserve"> Translate!E$587</f>
        <v>Project economic limit</v>
      </c>
      <c r="F107" s="775"/>
      <c r="G107" s="775" t="str">
        <f>Translate!E405</f>
        <v>Flag</v>
      </c>
      <c r="H107" s="775"/>
      <c r="I107" s="775">
        <f ca="1" xml:space="preserve"> SUM(K107:BH107)</f>
        <v>31</v>
      </c>
      <c r="J107" s="775"/>
      <c r="K107" s="775">
        <f t="shared" ref="K107:AX107" ca="1" si="37">IF( $F105 = $F106, (K99 &lt;= $F103) * 1, 1)</f>
        <v>1</v>
      </c>
      <c r="L107" s="775">
        <f t="shared" ca="1" si="37"/>
        <v>1</v>
      </c>
      <c r="M107" s="775">
        <f t="shared" ca="1" si="37"/>
        <v>1</v>
      </c>
      <c r="N107" s="775">
        <f t="shared" ca="1" si="37"/>
        <v>1</v>
      </c>
      <c r="O107" s="775">
        <f t="shared" ca="1" si="37"/>
        <v>1</v>
      </c>
      <c r="P107" s="775">
        <f t="shared" ca="1" si="37"/>
        <v>1</v>
      </c>
      <c r="Q107" s="775">
        <f t="shared" ca="1" si="37"/>
        <v>1</v>
      </c>
      <c r="R107" s="775">
        <f t="shared" ca="1" si="37"/>
        <v>1</v>
      </c>
      <c r="S107" s="775">
        <f t="shared" ca="1" si="37"/>
        <v>1</v>
      </c>
      <c r="T107" s="775">
        <f t="shared" ca="1" si="37"/>
        <v>1</v>
      </c>
      <c r="U107" s="775">
        <f t="shared" ca="1" si="37"/>
        <v>1</v>
      </c>
      <c r="V107" s="775">
        <f t="shared" ca="1" si="37"/>
        <v>1</v>
      </c>
      <c r="W107" s="775">
        <f t="shared" ca="1" si="37"/>
        <v>1</v>
      </c>
      <c r="X107" s="775">
        <f t="shared" ca="1" si="37"/>
        <v>1</v>
      </c>
      <c r="Y107" s="775">
        <f t="shared" ca="1" si="37"/>
        <v>1</v>
      </c>
      <c r="Z107" s="775">
        <f t="shared" ca="1" si="37"/>
        <v>1</v>
      </c>
      <c r="AA107" s="775">
        <f t="shared" ca="1" si="37"/>
        <v>1</v>
      </c>
      <c r="AB107" s="775">
        <f t="shared" ca="1" si="37"/>
        <v>1</v>
      </c>
      <c r="AC107" s="775">
        <f t="shared" ca="1" si="37"/>
        <v>1</v>
      </c>
      <c r="AD107" s="775">
        <f t="shared" ca="1" si="37"/>
        <v>1</v>
      </c>
      <c r="AE107" s="775">
        <f t="shared" ca="1" si="37"/>
        <v>1</v>
      </c>
      <c r="AF107" s="775">
        <f t="shared" ca="1" si="37"/>
        <v>1</v>
      </c>
      <c r="AG107" s="775">
        <f t="shared" ca="1" si="37"/>
        <v>1</v>
      </c>
      <c r="AH107" s="775">
        <f t="shared" ca="1" si="37"/>
        <v>1</v>
      </c>
      <c r="AI107" s="775">
        <f t="shared" ca="1" si="37"/>
        <v>1</v>
      </c>
      <c r="AJ107" s="775">
        <f t="shared" ca="1" si="37"/>
        <v>1</v>
      </c>
      <c r="AK107" s="775">
        <f t="shared" ca="1" si="37"/>
        <v>1</v>
      </c>
      <c r="AL107" s="775">
        <f t="shared" ca="1" si="37"/>
        <v>1</v>
      </c>
      <c r="AM107" s="775">
        <f t="shared" ca="1" si="37"/>
        <v>1</v>
      </c>
      <c r="AN107" s="775">
        <f t="shared" ca="1" si="37"/>
        <v>1</v>
      </c>
      <c r="AO107" s="775">
        <f t="shared" ca="1" si="37"/>
        <v>1</v>
      </c>
      <c r="AP107" s="775">
        <f t="shared" ca="1" si="37"/>
        <v>0</v>
      </c>
      <c r="AQ107" s="775">
        <f t="shared" ca="1" si="37"/>
        <v>0</v>
      </c>
      <c r="AR107" s="775">
        <f t="shared" ca="1" si="37"/>
        <v>0</v>
      </c>
      <c r="AS107" s="775">
        <f t="shared" ca="1" si="37"/>
        <v>0</v>
      </c>
      <c r="AT107" s="775">
        <f t="shared" ca="1" si="37"/>
        <v>0</v>
      </c>
      <c r="AU107" s="775">
        <f t="shared" ca="1" si="37"/>
        <v>0</v>
      </c>
      <c r="AV107" s="775">
        <f t="shared" ca="1" si="37"/>
        <v>0</v>
      </c>
      <c r="AW107" s="775">
        <f t="shared" ca="1" si="37"/>
        <v>0</v>
      </c>
      <c r="AX107" s="775">
        <f t="shared" ca="1" si="37"/>
        <v>0</v>
      </c>
    </row>
    <row r="109" spans="1:50" ht="15" customHeight="1" x14ac:dyDescent="0.25">
      <c r="B109" s="205" t="str">
        <f xml:space="preserve"> Translate!E$588</f>
        <v>Reschedule decommissioning costs</v>
      </c>
    </row>
    <row r="110" spans="1:50" s="741" customFormat="1" ht="15" customHeight="1" x14ac:dyDescent="0.25">
      <c r="A110" s="738"/>
      <c r="B110" s="883"/>
      <c r="C110" s="862"/>
      <c r="D110" s="883"/>
      <c r="E110" s="775" t="str">
        <f t="shared" ref="E110:AX110" si="38" xml:space="preserve"> E$34</f>
        <v>Model calendar years</v>
      </c>
      <c r="F110" s="775">
        <f t="shared" si="38"/>
        <v>0</v>
      </c>
      <c r="G110" s="775" t="str">
        <f t="shared" si="38"/>
        <v>Year</v>
      </c>
      <c r="H110" s="775">
        <f t="shared" si="38"/>
        <v>0</v>
      </c>
      <c r="I110" s="775">
        <f t="shared" si="38"/>
        <v>0</v>
      </c>
      <c r="J110" s="775">
        <f t="shared" si="38"/>
        <v>0</v>
      </c>
      <c r="K110" s="775">
        <f t="shared" si="38"/>
        <v>2021</v>
      </c>
      <c r="L110" s="775">
        <f t="shared" si="38"/>
        <v>2022</v>
      </c>
      <c r="M110" s="775">
        <f t="shared" si="38"/>
        <v>2023</v>
      </c>
      <c r="N110" s="775">
        <f t="shared" si="38"/>
        <v>2024</v>
      </c>
      <c r="O110" s="775">
        <f t="shared" si="38"/>
        <v>2025</v>
      </c>
      <c r="P110" s="775">
        <f t="shared" si="38"/>
        <v>2026</v>
      </c>
      <c r="Q110" s="775">
        <f t="shared" si="38"/>
        <v>2027</v>
      </c>
      <c r="R110" s="775">
        <f t="shared" si="38"/>
        <v>2028</v>
      </c>
      <c r="S110" s="775">
        <f t="shared" si="38"/>
        <v>2029</v>
      </c>
      <c r="T110" s="775">
        <f t="shared" si="38"/>
        <v>2030</v>
      </c>
      <c r="U110" s="775">
        <f t="shared" si="38"/>
        <v>2031</v>
      </c>
      <c r="V110" s="775">
        <f t="shared" si="38"/>
        <v>2032</v>
      </c>
      <c r="W110" s="775">
        <f t="shared" si="38"/>
        <v>2033</v>
      </c>
      <c r="X110" s="775">
        <f t="shared" si="38"/>
        <v>2034</v>
      </c>
      <c r="Y110" s="775">
        <f t="shared" si="38"/>
        <v>2035</v>
      </c>
      <c r="Z110" s="775">
        <f t="shared" si="38"/>
        <v>2036</v>
      </c>
      <c r="AA110" s="775">
        <f t="shared" si="38"/>
        <v>2037</v>
      </c>
      <c r="AB110" s="775">
        <f t="shared" si="38"/>
        <v>2038</v>
      </c>
      <c r="AC110" s="775">
        <f t="shared" si="38"/>
        <v>2039</v>
      </c>
      <c r="AD110" s="775">
        <f t="shared" si="38"/>
        <v>2040</v>
      </c>
      <c r="AE110" s="775">
        <f t="shared" si="38"/>
        <v>2041</v>
      </c>
      <c r="AF110" s="775">
        <f t="shared" si="38"/>
        <v>2042</v>
      </c>
      <c r="AG110" s="775">
        <f t="shared" si="38"/>
        <v>2043</v>
      </c>
      <c r="AH110" s="775">
        <f t="shared" si="38"/>
        <v>2044</v>
      </c>
      <c r="AI110" s="775">
        <f t="shared" si="38"/>
        <v>2045</v>
      </c>
      <c r="AJ110" s="775">
        <f t="shared" si="38"/>
        <v>2046</v>
      </c>
      <c r="AK110" s="775">
        <f t="shared" si="38"/>
        <v>2047</v>
      </c>
      <c r="AL110" s="775">
        <f t="shared" si="38"/>
        <v>2048</v>
      </c>
      <c r="AM110" s="775">
        <f t="shared" si="38"/>
        <v>2049</v>
      </c>
      <c r="AN110" s="775">
        <f t="shared" si="38"/>
        <v>2050</v>
      </c>
      <c r="AO110" s="775">
        <f t="shared" si="38"/>
        <v>2051</v>
      </c>
      <c r="AP110" s="775">
        <f t="shared" si="38"/>
        <v>2052</v>
      </c>
      <c r="AQ110" s="775">
        <f t="shared" si="38"/>
        <v>2053</v>
      </c>
      <c r="AR110" s="775">
        <f t="shared" si="38"/>
        <v>2054</v>
      </c>
      <c r="AS110" s="775">
        <f t="shared" si="38"/>
        <v>2055</v>
      </c>
      <c r="AT110" s="775">
        <f t="shared" si="38"/>
        <v>2056</v>
      </c>
      <c r="AU110" s="775">
        <f t="shared" si="38"/>
        <v>2057</v>
      </c>
      <c r="AV110" s="775">
        <f t="shared" si="38"/>
        <v>2058</v>
      </c>
      <c r="AW110" s="775">
        <f t="shared" si="38"/>
        <v>2059</v>
      </c>
      <c r="AX110" s="775">
        <f t="shared" si="38"/>
        <v>2060</v>
      </c>
    </row>
    <row r="111" spans="1:50" ht="15" customHeight="1" x14ac:dyDescent="0.25">
      <c r="A111" s="86"/>
      <c r="B111" s="175"/>
      <c r="C111" s="88"/>
      <c r="D111" s="162"/>
      <c r="E111" s="55" t="str">
        <f t="shared" ref="E111:AX111" si="39" xml:space="preserve"> E$53</f>
        <v>Decommissioning costs</v>
      </c>
      <c r="F111" s="55">
        <f t="shared" si="39"/>
        <v>0</v>
      </c>
      <c r="G111" s="55" t="str">
        <f t="shared" si="39"/>
        <v>US$ mn 2021</v>
      </c>
      <c r="H111" s="55">
        <f t="shared" si="39"/>
        <v>0</v>
      </c>
      <c r="I111" s="55">
        <f t="shared" ca="1" si="39"/>
        <v>750</v>
      </c>
      <c r="J111" s="55">
        <f t="shared" si="39"/>
        <v>0</v>
      </c>
      <c r="K111" s="55">
        <f t="shared" ca="1" si="39"/>
        <v>0</v>
      </c>
      <c r="L111" s="55">
        <f t="shared" ca="1" si="39"/>
        <v>0</v>
      </c>
      <c r="M111" s="55">
        <f t="shared" ca="1" si="39"/>
        <v>0</v>
      </c>
      <c r="N111" s="55">
        <f t="shared" ca="1" si="39"/>
        <v>0</v>
      </c>
      <c r="O111" s="55">
        <f t="shared" ca="1" si="39"/>
        <v>0</v>
      </c>
      <c r="P111" s="55">
        <f t="shared" ca="1" si="39"/>
        <v>0</v>
      </c>
      <c r="Q111" s="55">
        <f t="shared" ca="1" si="39"/>
        <v>0</v>
      </c>
      <c r="R111" s="55">
        <f t="shared" ca="1" si="39"/>
        <v>0</v>
      </c>
      <c r="S111" s="55">
        <f t="shared" ca="1" si="39"/>
        <v>0</v>
      </c>
      <c r="T111" s="55">
        <f t="shared" ca="1" si="39"/>
        <v>0</v>
      </c>
      <c r="U111" s="55">
        <f t="shared" ca="1" si="39"/>
        <v>0</v>
      </c>
      <c r="V111" s="55">
        <f t="shared" ca="1" si="39"/>
        <v>0</v>
      </c>
      <c r="W111" s="55">
        <f t="shared" ca="1" si="39"/>
        <v>0</v>
      </c>
      <c r="X111" s="55">
        <f t="shared" ca="1" si="39"/>
        <v>0</v>
      </c>
      <c r="Y111" s="55">
        <f t="shared" ca="1" si="39"/>
        <v>0</v>
      </c>
      <c r="Z111" s="55">
        <f t="shared" ca="1" si="39"/>
        <v>0</v>
      </c>
      <c r="AA111" s="55">
        <f t="shared" ca="1" si="39"/>
        <v>0</v>
      </c>
      <c r="AB111" s="55">
        <f t="shared" ca="1" si="39"/>
        <v>0</v>
      </c>
      <c r="AC111" s="55">
        <f t="shared" ca="1" si="39"/>
        <v>0</v>
      </c>
      <c r="AD111" s="55">
        <f t="shared" ca="1" si="39"/>
        <v>0</v>
      </c>
      <c r="AE111" s="55">
        <f t="shared" ca="1" si="39"/>
        <v>0</v>
      </c>
      <c r="AF111" s="55">
        <f t="shared" ca="1" si="39"/>
        <v>0</v>
      </c>
      <c r="AG111" s="55">
        <f t="shared" ca="1" si="39"/>
        <v>0</v>
      </c>
      <c r="AH111" s="55">
        <f t="shared" ca="1" si="39"/>
        <v>0</v>
      </c>
      <c r="AI111" s="55">
        <f t="shared" ca="1" si="39"/>
        <v>0</v>
      </c>
      <c r="AJ111" s="55">
        <f t="shared" ca="1" si="39"/>
        <v>0</v>
      </c>
      <c r="AK111" s="55">
        <f t="shared" ca="1" si="39"/>
        <v>0</v>
      </c>
      <c r="AL111" s="55">
        <f t="shared" ca="1" si="39"/>
        <v>250</v>
      </c>
      <c r="AM111" s="55">
        <f t="shared" ca="1" si="39"/>
        <v>0</v>
      </c>
      <c r="AN111" s="55">
        <f t="shared" ca="1" si="39"/>
        <v>0</v>
      </c>
      <c r="AO111" s="55">
        <f t="shared" ca="1" si="39"/>
        <v>0</v>
      </c>
      <c r="AP111" s="55">
        <f t="shared" ca="1" si="39"/>
        <v>250</v>
      </c>
      <c r="AQ111" s="55">
        <f t="shared" ca="1" si="39"/>
        <v>250</v>
      </c>
      <c r="AR111" s="55">
        <f t="shared" ca="1" si="39"/>
        <v>0</v>
      </c>
      <c r="AS111" s="55">
        <f t="shared" ca="1" si="39"/>
        <v>0</v>
      </c>
      <c r="AT111" s="55">
        <f t="shared" ca="1" si="39"/>
        <v>0</v>
      </c>
      <c r="AU111" s="55">
        <f t="shared" ca="1" si="39"/>
        <v>0</v>
      </c>
      <c r="AV111" s="55">
        <f t="shared" ca="1" si="39"/>
        <v>0</v>
      </c>
      <c r="AW111" s="55">
        <f t="shared" ca="1" si="39"/>
        <v>0</v>
      </c>
      <c r="AX111" s="55">
        <f t="shared" ca="1" si="39"/>
        <v>0</v>
      </c>
    </row>
    <row r="112" spans="1:50" ht="15" customHeight="1" x14ac:dyDescent="0.25">
      <c r="A112" s="86"/>
      <c r="B112" s="175"/>
      <c r="C112" s="88"/>
      <c r="D112" s="162"/>
      <c r="E112" s="55" t="str">
        <f xml:space="preserve"> E111 &amp; " " &amp; Translate!E589</f>
        <v>Decommissioning costs incurred before ELT reached</v>
      </c>
      <c r="F112" s="55"/>
      <c r="G112" s="55" t="str">
        <f xml:space="preserve"> G$96</f>
        <v>US$ mn 2021</v>
      </c>
      <c r="H112" s="55"/>
      <c r="I112" s="55">
        <f ca="1" xml:space="preserve"> SUM(K112:AX112)</f>
        <v>250</v>
      </c>
      <c r="J112" s="55"/>
      <c r="K112" s="55">
        <f t="shared" ref="K112:AX112" ca="1" si="40" xml:space="preserve"> K111 * K107</f>
        <v>0</v>
      </c>
      <c r="L112" s="55">
        <f t="shared" ca="1" si="40"/>
        <v>0</v>
      </c>
      <c r="M112" s="55">
        <f t="shared" ca="1" si="40"/>
        <v>0</v>
      </c>
      <c r="N112" s="55">
        <f t="shared" ca="1" si="40"/>
        <v>0</v>
      </c>
      <c r="O112" s="55">
        <f t="shared" ca="1" si="40"/>
        <v>0</v>
      </c>
      <c r="P112" s="55">
        <f t="shared" ca="1" si="40"/>
        <v>0</v>
      </c>
      <c r="Q112" s="55">
        <f t="shared" ca="1" si="40"/>
        <v>0</v>
      </c>
      <c r="R112" s="55">
        <f t="shared" ca="1" si="40"/>
        <v>0</v>
      </c>
      <c r="S112" s="55">
        <f t="shared" ca="1" si="40"/>
        <v>0</v>
      </c>
      <c r="T112" s="55">
        <f t="shared" ca="1" si="40"/>
        <v>0</v>
      </c>
      <c r="U112" s="55">
        <f t="shared" ca="1" si="40"/>
        <v>0</v>
      </c>
      <c r="V112" s="55">
        <f t="shared" ca="1" si="40"/>
        <v>0</v>
      </c>
      <c r="W112" s="55">
        <f t="shared" ca="1" si="40"/>
        <v>0</v>
      </c>
      <c r="X112" s="55">
        <f t="shared" ca="1" si="40"/>
        <v>0</v>
      </c>
      <c r="Y112" s="55">
        <f t="shared" ca="1" si="40"/>
        <v>0</v>
      </c>
      <c r="Z112" s="55">
        <f t="shared" ca="1" si="40"/>
        <v>0</v>
      </c>
      <c r="AA112" s="55">
        <f t="shared" ca="1" si="40"/>
        <v>0</v>
      </c>
      <c r="AB112" s="55">
        <f t="shared" ca="1" si="40"/>
        <v>0</v>
      </c>
      <c r="AC112" s="55">
        <f t="shared" ca="1" si="40"/>
        <v>0</v>
      </c>
      <c r="AD112" s="55">
        <f t="shared" ca="1" si="40"/>
        <v>0</v>
      </c>
      <c r="AE112" s="55">
        <f t="shared" ca="1" si="40"/>
        <v>0</v>
      </c>
      <c r="AF112" s="55">
        <f t="shared" ca="1" si="40"/>
        <v>0</v>
      </c>
      <c r="AG112" s="55">
        <f t="shared" ca="1" si="40"/>
        <v>0</v>
      </c>
      <c r="AH112" s="55">
        <f t="shared" ca="1" si="40"/>
        <v>0</v>
      </c>
      <c r="AI112" s="55">
        <f t="shared" ca="1" si="40"/>
        <v>0</v>
      </c>
      <c r="AJ112" s="55">
        <f t="shared" ca="1" si="40"/>
        <v>0</v>
      </c>
      <c r="AK112" s="55">
        <f t="shared" ca="1" si="40"/>
        <v>0</v>
      </c>
      <c r="AL112" s="55">
        <f t="shared" ca="1" si="40"/>
        <v>250</v>
      </c>
      <c r="AM112" s="55">
        <f t="shared" ca="1" si="40"/>
        <v>0</v>
      </c>
      <c r="AN112" s="55">
        <f t="shared" ca="1" si="40"/>
        <v>0</v>
      </c>
      <c r="AO112" s="55">
        <f t="shared" ca="1" si="40"/>
        <v>0</v>
      </c>
      <c r="AP112" s="55">
        <f t="shared" ca="1" si="40"/>
        <v>0</v>
      </c>
      <c r="AQ112" s="55">
        <f t="shared" ca="1" si="40"/>
        <v>0</v>
      </c>
      <c r="AR112" s="55">
        <f t="shared" ca="1" si="40"/>
        <v>0</v>
      </c>
      <c r="AS112" s="55">
        <f t="shared" ca="1" si="40"/>
        <v>0</v>
      </c>
      <c r="AT112" s="55">
        <f t="shared" ca="1" si="40"/>
        <v>0</v>
      </c>
      <c r="AU112" s="55">
        <f t="shared" ca="1" si="40"/>
        <v>0</v>
      </c>
      <c r="AV112" s="55">
        <f t="shared" ca="1" si="40"/>
        <v>0</v>
      </c>
      <c r="AW112" s="55">
        <f t="shared" ca="1" si="40"/>
        <v>0</v>
      </c>
      <c r="AX112" s="55">
        <f t="shared" ca="1" si="40"/>
        <v>0</v>
      </c>
    </row>
    <row r="113" spans="1:50" ht="15" customHeight="1" x14ac:dyDescent="0.25">
      <c r="A113" s="86"/>
      <c r="B113" s="175"/>
      <c r="C113" s="88"/>
      <c r="D113" s="162"/>
      <c r="E113" s="55" t="str">
        <f xml:space="preserve"> Translate!E$590</f>
        <v>Decommissioning costs incurred after ELT year</v>
      </c>
      <c r="F113" s="55"/>
      <c r="G113" s="55" t="str">
        <f xml:space="preserve"> G$96</f>
        <v>US$ mn 2021</v>
      </c>
      <c r="H113" s="55"/>
      <c r="I113" s="55">
        <f ca="1" xml:space="preserve"> SUM(K113:AX113)</f>
        <v>500</v>
      </c>
      <c r="J113" s="55"/>
      <c r="K113" s="55">
        <f t="shared" ref="K113:AX113" ca="1" si="41" xml:space="preserve"> K111 * ( K107 = 0)</f>
        <v>0</v>
      </c>
      <c r="L113" s="55">
        <f t="shared" ca="1" si="41"/>
        <v>0</v>
      </c>
      <c r="M113" s="55">
        <f t="shared" ca="1" si="41"/>
        <v>0</v>
      </c>
      <c r="N113" s="55">
        <f t="shared" ca="1" si="41"/>
        <v>0</v>
      </c>
      <c r="O113" s="55">
        <f t="shared" ca="1" si="41"/>
        <v>0</v>
      </c>
      <c r="P113" s="55">
        <f t="shared" ca="1" si="41"/>
        <v>0</v>
      </c>
      <c r="Q113" s="55">
        <f t="shared" ca="1" si="41"/>
        <v>0</v>
      </c>
      <c r="R113" s="55">
        <f t="shared" ca="1" si="41"/>
        <v>0</v>
      </c>
      <c r="S113" s="55">
        <f t="shared" ca="1" si="41"/>
        <v>0</v>
      </c>
      <c r="T113" s="55">
        <f t="shared" ca="1" si="41"/>
        <v>0</v>
      </c>
      <c r="U113" s="55">
        <f t="shared" ca="1" si="41"/>
        <v>0</v>
      </c>
      <c r="V113" s="55">
        <f t="shared" ca="1" si="41"/>
        <v>0</v>
      </c>
      <c r="W113" s="55">
        <f t="shared" ca="1" si="41"/>
        <v>0</v>
      </c>
      <c r="X113" s="55">
        <f t="shared" ca="1" si="41"/>
        <v>0</v>
      </c>
      <c r="Y113" s="55">
        <f t="shared" ca="1" si="41"/>
        <v>0</v>
      </c>
      <c r="Z113" s="55">
        <f t="shared" ca="1" si="41"/>
        <v>0</v>
      </c>
      <c r="AA113" s="55">
        <f t="shared" ca="1" si="41"/>
        <v>0</v>
      </c>
      <c r="AB113" s="55">
        <f t="shared" ca="1" si="41"/>
        <v>0</v>
      </c>
      <c r="AC113" s="55">
        <f t="shared" ca="1" si="41"/>
        <v>0</v>
      </c>
      <c r="AD113" s="55">
        <f t="shared" ca="1" si="41"/>
        <v>0</v>
      </c>
      <c r="AE113" s="55">
        <f t="shared" ca="1" si="41"/>
        <v>0</v>
      </c>
      <c r="AF113" s="55">
        <f t="shared" ca="1" si="41"/>
        <v>0</v>
      </c>
      <c r="AG113" s="55">
        <f t="shared" ca="1" si="41"/>
        <v>0</v>
      </c>
      <c r="AH113" s="55">
        <f t="shared" ca="1" si="41"/>
        <v>0</v>
      </c>
      <c r="AI113" s="55">
        <f t="shared" ca="1" si="41"/>
        <v>0</v>
      </c>
      <c r="AJ113" s="55">
        <f t="shared" ca="1" si="41"/>
        <v>0</v>
      </c>
      <c r="AK113" s="55">
        <f t="shared" ca="1" si="41"/>
        <v>0</v>
      </c>
      <c r="AL113" s="55">
        <f t="shared" ca="1" si="41"/>
        <v>0</v>
      </c>
      <c r="AM113" s="55">
        <f t="shared" ca="1" si="41"/>
        <v>0</v>
      </c>
      <c r="AN113" s="55">
        <f t="shared" ca="1" si="41"/>
        <v>0</v>
      </c>
      <c r="AO113" s="55">
        <f t="shared" ca="1" si="41"/>
        <v>0</v>
      </c>
      <c r="AP113" s="55">
        <f t="shared" ca="1" si="41"/>
        <v>250</v>
      </c>
      <c r="AQ113" s="55">
        <f t="shared" ca="1" si="41"/>
        <v>250</v>
      </c>
      <c r="AR113" s="55">
        <f t="shared" ca="1" si="41"/>
        <v>0</v>
      </c>
      <c r="AS113" s="55">
        <f t="shared" ca="1" si="41"/>
        <v>0</v>
      </c>
      <c r="AT113" s="55">
        <f t="shared" ca="1" si="41"/>
        <v>0</v>
      </c>
      <c r="AU113" s="55">
        <f t="shared" ca="1" si="41"/>
        <v>0</v>
      </c>
      <c r="AV113" s="55">
        <f t="shared" ca="1" si="41"/>
        <v>0</v>
      </c>
      <c r="AW113" s="55">
        <f t="shared" ca="1" si="41"/>
        <v>0</v>
      </c>
      <c r="AX113" s="55">
        <f t="shared" ca="1" si="41"/>
        <v>0</v>
      </c>
    </row>
    <row r="115" spans="1:50" s="741" customFormat="1" ht="15" customHeight="1" x14ac:dyDescent="0.25">
      <c r="A115" s="738"/>
      <c r="B115" s="883"/>
      <c r="C115" s="862"/>
      <c r="D115" s="883"/>
      <c r="E115" s="775" t="str">
        <f t="shared" ref="E115:AX115" si="42" xml:space="preserve"> E$34</f>
        <v>Model calendar years</v>
      </c>
      <c r="F115" s="775">
        <f t="shared" si="42"/>
        <v>0</v>
      </c>
      <c r="G115" s="775" t="str">
        <f t="shared" si="42"/>
        <v>Year</v>
      </c>
      <c r="H115" s="775">
        <f t="shared" si="42"/>
        <v>0</v>
      </c>
      <c r="I115" s="775">
        <f t="shared" si="42"/>
        <v>0</v>
      </c>
      <c r="J115" s="775">
        <f t="shared" si="42"/>
        <v>0</v>
      </c>
      <c r="K115" s="775">
        <f t="shared" si="42"/>
        <v>2021</v>
      </c>
      <c r="L115" s="775">
        <f t="shared" si="42"/>
        <v>2022</v>
      </c>
      <c r="M115" s="775">
        <f t="shared" si="42"/>
        <v>2023</v>
      </c>
      <c r="N115" s="775">
        <f t="shared" si="42"/>
        <v>2024</v>
      </c>
      <c r="O115" s="775">
        <f t="shared" si="42"/>
        <v>2025</v>
      </c>
      <c r="P115" s="775">
        <f t="shared" si="42"/>
        <v>2026</v>
      </c>
      <c r="Q115" s="775">
        <f t="shared" si="42"/>
        <v>2027</v>
      </c>
      <c r="R115" s="775">
        <f t="shared" si="42"/>
        <v>2028</v>
      </c>
      <c r="S115" s="775">
        <f t="shared" si="42"/>
        <v>2029</v>
      </c>
      <c r="T115" s="775">
        <f t="shared" si="42"/>
        <v>2030</v>
      </c>
      <c r="U115" s="775">
        <f t="shared" si="42"/>
        <v>2031</v>
      </c>
      <c r="V115" s="775">
        <f t="shared" si="42"/>
        <v>2032</v>
      </c>
      <c r="W115" s="775">
        <f t="shared" si="42"/>
        <v>2033</v>
      </c>
      <c r="X115" s="775">
        <f t="shared" si="42"/>
        <v>2034</v>
      </c>
      <c r="Y115" s="775">
        <f t="shared" si="42"/>
        <v>2035</v>
      </c>
      <c r="Z115" s="775">
        <f t="shared" si="42"/>
        <v>2036</v>
      </c>
      <c r="AA115" s="775">
        <f t="shared" si="42"/>
        <v>2037</v>
      </c>
      <c r="AB115" s="775">
        <f t="shared" si="42"/>
        <v>2038</v>
      </c>
      <c r="AC115" s="775">
        <f t="shared" si="42"/>
        <v>2039</v>
      </c>
      <c r="AD115" s="775">
        <f t="shared" si="42"/>
        <v>2040</v>
      </c>
      <c r="AE115" s="775">
        <f t="shared" si="42"/>
        <v>2041</v>
      </c>
      <c r="AF115" s="775">
        <f t="shared" si="42"/>
        <v>2042</v>
      </c>
      <c r="AG115" s="775">
        <f t="shared" si="42"/>
        <v>2043</v>
      </c>
      <c r="AH115" s="775">
        <f t="shared" si="42"/>
        <v>2044</v>
      </c>
      <c r="AI115" s="775">
        <f t="shared" si="42"/>
        <v>2045</v>
      </c>
      <c r="AJ115" s="775">
        <f t="shared" si="42"/>
        <v>2046</v>
      </c>
      <c r="AK115" s="775">
        <f t="shared" si="42"/>
        <v>2047</v>
      </c>
      <c r="AL115" s="775">
        <f t="shared" si="42"/>
        <v>2048</v>
      </c>
      <c r="AM115" s="775">
        <f t="shared" si="42"/>
        <v>2049</v>
      </c>
      <c r="AN115" s="775">
        <f t="shared" si="42"/>
        <v>2050</v>
      </c>
      <c r="AO115" s="775">
        <f t="shared" si="42"/>
        <v>2051</v>
      </c>
      <c r="AP115" s="775">
        <f t="shared" si="42"/>
        <v>2052</v>
      </c>
      <c r="AQ115" s="775">
        <f t="shared" si="42"/>
        <v>2053</v>
      </c>
      <c r="AR115" s="775">
        <f t="shared" si="42"/>
        <v>2054</v>
      </c>
      <c r="AS115" s="775">
        <f t="shared" si="42"/>
        <v>2055</v>
      </c>
      <c r="AT115" s="775">
        <f t="shared" si="42"/>
        <v>2056</v>
      </c>
      <c r="AU115" s="775">
        <f t="shared" si="42"/>
        <v>2057</v>
      </c>
      <c r="AV115" s="775">
        <f t="shared" si="42"/>
        <v>2058</v>
      </c>
      <c r="AW115" s="775">
        <f t="shared" si="42"/>
        <v>2059</v>
      </c>
      <c r="AX115" s="775">
        <f t="shared" si="42"/>
        <v>2060</v>
      </c>
    </row>
    <row r="116" spans="1:50" s="741" customFormat="1" ht="15" customHeight="1" x14ac:dyDescent="0.25">
      <c r="A116" s="874"/>
      <c r="C116" s="740"/>
      <c r="D116" s="775"/>
      <c r="E116" s="775" t="str">
        <f xml:space="preserve"> Translate!E$591</f>
        <v>Post-production Decommissioning original start year</v>
      </c>
      <c r="F116" s="775">
        <f ca="1" xml:space="preserve"> SUM(K116:AX116)</f>
        <v>2052</v>
      </c>
      <c r="G116" s="775" t="str">
        <f>Translate!E$608</f>
        <v>Year</v>
      </c>
      <c r="H116" s="775"/>
      <c r="I116" s="775"/>
      <c r="J116" s="775"/>
      <c r="K116" s="775">
        <f ca="1" xml:space="preserve"> AND(J113 = 0, K113 &gt; 0 ) * K115 * (SUM($J116:J116) = 0 )</f>
        <v>0</v>
      </c>
      <c r="L116" s="775">
        <f ca="1" xml:space="preserve"> AND(K113 = 0, L113 &gt; 0 ) * L115 * (SUM($J116:K116) = 0 )</f>
        <v>0</v>
      </c>
      <c r="M116" s="775">
        <f ca="1" xml:space="preserve"> AND(L113 = 0, M113 &gt; 0 ) * M115 * (SUM($J116:L116) = 0 )</f>
        <v>0</v>
      </c>
      <c r="N116" s="775">
        <f ca="1" xml:space="preserve"> AND(M113 = 0, N113 &gt; 0 ) * N115 * (SUM($J116:M116) = 0 )</f>
        <v>0</v>
      </c>
      <c r="O116" s="775">
        <f ca="1" xml:space="preserve"> AND(N113 = 0, O113 &gt; 0 ) * O115 * (SUM($J116:N116) = 0 )</f>
        <v>0</v>
      </c>
      <c r="P116" s="775">
        <f ca="1" xml:space="preserve"> AND(O113 = 0, P113 &gt; 0 ) * P115 * (SUM($J116:O116) = 0 )</f>
        <v>0</v>
      </c>
      <c r="Q116" s="775">
        <f ca="1" xml:space="preserve"> AND(P113 = 0, Q113 &gt; 0 ) * Q115 * (SUM($J116:P116) = 0 )</f>
        <v>0</v>
      </c>
      <c r="R116" s="775">
        <f ca="1" xml:space="preserve"> AND(Q113 = 0, R113 &gt; 0 ) * R115 * (SUM($J116:Q116) = 0 )</f>
        <v>0</v>
      </c>
      <c r="S116" s="775">
        <f ca="1" xml:space="preserve"> AND(R113 = 0, S113 &gt; 0 ) * S115 * (SUM($J116:R116) = 0 )</f>
        <v>0</v>
      </c>
      <c r="T116" s="775">
        <f ca="1" xml:space="preserve"> AND(S113 = 0, T113 &gt; 0 ) * T115 * (SUM($J116:S116) = 0 )</f>
        <v>0</v>
      </c>
      <c r="U116" s="775">
        <f ca="1" xml:space="preserve"> AND(T113 = 0, U113 &gt; 0 ) * U115 * (SUM($J116:T116) = 0 )</f>
        <v>0</v>
      </c>
      <c r="V116" s="775">
        <f ca="1" xml:space="preserve"> AND(U113 = 0, V113 &gt; 0 ) * V115 * (SUM($J116:U116) = 0 )</f>
        <v>0</v>
      </c>
      <c r="W116" s="775">
        <f ca="1" xml:space="preserve"> AND(V113 = 0, W113 &gt; 0 ) * W115 * (SUM($J116:V116) = 0 )</f>
        <v>0</v>
      </c>
      <c r="X116" s="775">
        <f ca="1" xml:space="preserve"> AND(W113 = 0, X113 &gt; 0 ) * X115 * (SUM($J116:W116) = 0 )</f>
        <v>0</v>
      </c>
      <c r="Y116" s="775">
        <f ca="1" xml:space="preserve"> AND(X113 = 0, Y113 &gt; 0 ) * Y115 * (SUM($J116:X116) = 0 )</f>
        <v>0</v>
      </c>
      <c r="Z116" s="775">
        <f ca="1" xml:space="preserve"> AND(Y113 = 0, Z113 &gt; 0 ) * Z115 * (SUM($J116:Y116) = 0 )</f>
        <v>0</v>
      </c>
      <c r="AA116" s="775">
        <f ca="1" xml:space="preserve"> AND(Z113 = 0, AA113 &gt; 0 ) * AA115 * (SUM($J116:Z116) = 0 )</f>
        <v>0</v>
      </c>
      <c r="AB116" s="775">
        <f ca="1" xml:space="preserve"> AND(AA113 = 0, AB113 &gt; 0 ) * AB115 * (SUM($J116:AA116) = 0 )</f>
        <v>0</v>
      </c>
      <c r="AC116" s="775">
        <f ca="1" xml:space="preserve"> AND(AB113 = 0, AC113 &gt; 0 ) * AC115 * (SUM($J116:AB116) = 0 )</f>
        <v>0</v>
      </c>
      <c r="AD116" s="775">
        <f ca="1" xml:space="preserve"> AND(AC113 = 0, AD113 &gt; 0 ) * AD115 * (SUM($J116:AC116) = 0 )</f>
        <v>0</v>
      </c>
      <c r="AE116" s="775">
        <f ca="1" xml:space="preserve"> AND(AD113 = 0, AE113 &gt; 0 ) * AE115 * (SUM($J116:AD116) = 0 )</f>
        <v>0</v>
      </c>
      <c r="AF116" s="775">
        <f ca="1" xml:space="preserve"> AND(AE113 = 0, AF113 &gt; 0 ) * AF115 * (SUM($J116:AE116) = 0 )</f>
        <v>0</v>
      </c>
      <c r="AG116" s="775">
        <f ca="1" xml:space="preserve"> AND(AF113 = 0, AG113 &gt; 0 ) * AG115 * (SUM($J116:AF116) = 0 )</f>
        <v>0</v>
      </c>
      <c r="AH116" s="775">
        <f ca="1" xml:space="preserve"> AND(AG113 = 0, AH113 &gt; 0 ) * AH115 * (SUM($J116:AG116) = 0 )</f>
        <v>0</v>
      </c>
      <c r="AI116" s="775">
        <f ca="1" xml:space="preserve"> AND(AH113 = 0, AI113 &gt; 0 ) * AI115 * (SUM($J116:AH116) = 0 )</f>
        <v>0</v>
      </c>
      <c r="AJ116" s="775">
        <f ca="1" xml:space="preserve"> AND(AI113 = 0, AJ113 &gt; 0 ) * AJ115 * (SUM($J116:AI116) = 0 )</f>
        <v>0</v>
      </c>
      <c r="AK116" s="775">
        <f ca="1" xml:space="preserve"> AND(AJ113 = 0, AK113 &gt; 0 ) * AK115 * (SUM($J116:AJ116) = 0 )</f>
        <v>0</v>
      </c>
      <c r="AL116" s="775">
        <f ca="1" xml:space="preserve"> AND(AK113 = 0, AL113 &gt; 0 ) * AL115 * (SUM($J116:AK116) = 0 )</f>
        <v>0</v>
      </c>
      <c r="AM116" s="775">
        <f ca="1" xml:space="preserve"> AND(AL113 = 0, AM113 &gt; 0 ) * AM115 * (SUM($J116:AL116) = 0 )</f>
        <v>0</v>
      </c>
      <c r="AN116" s="775">
        <f ca="1" xml:space="preserve"> AND(AM113 = 0, AN113 &gt; 0 ) * AN115 * (SUM($J116:AM116) = 0 )</f>
        <v>0</v>
      </c>
      <c r="AO116" s="775">
        <f ca="1" xml:space="preserve"> AND(AN113 = 0, AO113 &gt; 0 ) * AO115 * (SUM($J116:AN116) = 0 )</f>
        <v>0</v>
      </c>
      <c r="AP116" s="775">
        <f ca="1" xml:space="preserve"> AND(AO113 = 0, AP113 &gt; 0 ) * AP115 * (SUM($J116:AO116) = 0 )</f>
        <v>2052</v>
      </c>
      <c r="AQ116" s="775">
        <f ca="1" xml:space="preserve"> AND(AP113 = 0, AQ113 &gt; 0 ) * AQ115 * (SUM($J116:AP116) = 0 )</f>
        <v>0</v>
      </c>
      <c r="AR116" s="775">
        <f ca="1" xml:space="preserve"> AND(AQ113 = 0, AR113 &gt; 0 ) * AR115 * (SUM($J116:AQ116) = 0 )</f>
        <v>0</v>
      </c>
      <c r="AS116" s="775">
        <f ca="1" xml:space="preserve"> AND(AR113 = 0, AS113 &gt; 0 ) * AS115 * (SUM($J116:AR116) = 0 )</f>
        <v>0</v>
      </c>
      <c r="AT116" s="775">
        <f ca="1" xml:space="preserve"> AND(AS113 = 0, AT113 &gt; 0 ) * AT115 * (SUM($J116:AS116) = 0 )</f>
        <v>0</v>
      </c>
      <c r="AU116" s="775">
        <f ca="1" xml:space="preserve"> AND(AT113 = 0, AU113 &gt; 0 ) * AU115 * (SUM($J116:AT116) = 0 )</f>
        <v>0</v>
      </c>
      <c r="AV116" s="775">
        <f ca="1" xml:space="preserve"> AND(AU113 = 0, AV113 &gt; 0 ) * AV115 * (SUM($J116:AU116) = 0 )</f>
        <v>0</v>
      </c>
      <c r="AW116" s="775">
        <f ca="1" xml:space="preserve"> AND(AV113 = 0, AW113 &gt; 0 ) * AW115 * (SUM($J116:AV116) = 0 )</f>
        <v>0</v>
      </c>
      <c r="AX116" s="775">
        <f ca="1" xml:space="preserve"> AND(AW113 = 0, AX113 &gt; 0 ) * AX115 * (SUM($J116:AW116) = 0 )</f>
        <v>0</v>
      </c>
    </row>
    <row r="117" spans="1:50" ht="15" customHeight="1" x14ac:dyDescent="0.25">
      <c r="E117" s="882"/>
      <c r="F117" s="882"/>
      <c r="G117" s="882"/>
      <c r="H117" s="882"/>
      <c r="I117" s="882"/>
      <c r="J117" s="882"/>
      <c r="K117" s="882"/>
    </row>
    <row r="118" spans="1:50" s="741" customFormat="1" ht="15" customHeight="1" x14ac:dyDescent="0.25">
      <c r="E118" s="741" t="str">
        <f xml:space="preserve"> E$116</f>
        <v>Post-production Decommissioning original start year</v>
      </c>
      <c r="F118" s="741">
        <f ca="1" xml:space="preserve"> F$116</f>
        <v>2052</v>
      </c>
      <c r="G118" s="741" t="str">
        <f xml:space="preserve"> G$116</f>
        <v>Year</v>
      </c>
    </row>
    <row r="119" spans="1:50" s="741" customFormat="1" ht="15" customHeight="1" x14ac:dyDescent="0.25">
      <c r="E119" s="741" t="str">
        <f xml:space="preserve"> Translate!E$592</f>
        <v>Post-production Decommissioning start with ELT</v>
      </c>
      <c r="F119" s="741">
        <f ca="1" xml:space="preserve"> F103 + 1</f>
        <v>2052</v>
      </c>
      <c r="G119" s="741" t="str">
        <f>Translate!E$608</f>
        <v>Year</v>
      </c>
    </row>
    <row r="120" spans="1:50" ht="15" customHeight="1" x14ac:dyDescent="0.25">
      <c r="E120" s="77" t="str">
        <f xml:space="preserve"> Translate!E$593</f>
        <v>EL reached before project end</v>
      </c>
      <c r="F120" s="77">
        <f ca="1" xml:space="preserve"> IF(F105 &lt;&gt; F106, 0, F118 - F119)</f>
        <v>0</v>
      </c>
      <c r="G120" s="77" t="str">
        <f xml:space="preserve"> Translate!E$608</f>
        <v>Year</v>
      </c>
      <c r="H120" s="3" t="str">
        <f>Translate!E694</f>
        <v>Zero if ELT off</v>
      </c>
    </row>
    <row r="121" spans="1:50" ht="15" customHeight="1" x14ac:dyDescent="0.25">
      <c r="E121" s="3" t="str">
        <f t="shared" ref="E121:AX121" si="43">E112</f>
        <v>Decommissioning costs incurred before ELT reached</v>
      </c>
      <c r="F121" s="3">
        <f t="shared" si="43"/>
        <v>0</v>
      </c>
      <c r="G121" s="3" t="str">
        <f t="shared" si="43"/>
        <v>US$ mn 2021</v>
      </c>
      <c r="H121" s="3">
        <f t="shared" si="43"/>
        <v>0</v>
      </c>
      <c r="I121" s="3">
        <f t="shared" ca="1" si="43"/>
        <v>250</v>
      </c>
      <c r="J121" s="3">
        <f t="shared" si="43"/>
        <v>0</v>
      </c>
      <c r="K121" s="3">
        <f t="shared" ca="1" si="43"/>
        <v>0</v>
      </c>
      <c r="L121" s="3">
        <f t="shared" ca="1" si="43"/>
        <v>0</v>
      </c>
      <c r="M121" s="3">
        <f t="shared" ca="1" si="43"/>
        <v>0</v>
      </c>
      <c r="N121" s="3">
        <f t="shared" ca="1" si="43"/>
        <v>0</v>
      </c>
      <c r="O121" s="3">
        <f t="shared" ca="1" si="43"/>
        <v>0</v>
      </c>
      <c r="P121" s="3">
        <f t="shared" ca="1" si="43"/>
        <v>0</v>
      </c>
      <c r="Q121" s="3">
        <f t="shared" ca="1" si="43"/>
        <v>0</v>
      </c>
      <c r="R121" s="3">
        <f t="shared" ca="1" si="43"/>
        <v>0</v>
      </c>
      <c r="S121" s="3">
        <f t="shared" ca="1" si="43"/>
        <v>0</v>
      </c>
      <c r="T121" s="3">
        <f t="shared" ca="1" si="43"/>
        <v>0</v>
      </c>
      <c r="U121" s="3">
        <f t="shared" ca="1" si="43"/>
        <v>0</v>
      </c>
      <c r="V121" s="3">
        <f t="shared" ca="1" si="43"/>
        <v>0</v>
      </c>
      <c r="W121" s="3">
        <f t="shared" ca="1" si="43"/>
        <v>0</v>
      </c>
      <c r="X121" s="3">
        <f t="shared" ca="1" si="43"/>
        <v>0</v>
      </c>
      <c r="Y121" s="3">
        <f t="shared" ca="1" si="43"/>
        <v>0</v>
      </c>
      <c r="Z121" s="3">
        <f t="shared" ca="1" si="43"/>
        <v>0</v>
      </c>
      <c r="AA121" s="3">
        <f t="shared" ca="1" si="43"/>
        <v>0</v>
      </c>
      <c r="AB121" s="3">
        <f t="shared" ca="1" si="43"/>
        <v>0</v>
      </c>
      <c r="AC121" s="3">
        <f t="shared" ca="1" si="43"/>
        <v>0</v>
      </c>
      <c r="AD121" s="3">
        <f t="shared" ca="1" si="43"/>
        <v>0</v>
      </c>
      <c r="AE121" s="3">
        <f t="shared" ca="1" si="43"/>
        <v>0</v>
      </c>
      <c r="AF121" s="3">
        <f t="shared" ca="1" si="43"/>
        <v>0</v>
      </c>
      <c r="AG121" s="3">
        <f t="shared" ca="1" si="43"/>
        <v>0</v>
      </c>
      <c r="AH121" s="3">
        <f t="shared" ca="1" si="43"/>
        <v>0</v>
      </c>
      <c r="AI121" s="3">
        <f t="shared" ca="1" si="43"/>
        <v>0</v>
      </c>
      <c r="AJ121" s="3">
        <f t="shared" ca="1" si="43"/>
        <v>0</v>
      </c>
      <c r="AK121" s="3">
        <f t="shared" ca="1" si="43"/>
        <v>0</v>
      </c>
      <c r="AL121" s="3">
        <f t="shared" ca="1" si="43"/>
        <v>250</v>
      </c>
      <c r="AM121" s="3">
        <f t="shared" ca="1" si="43"/>
        <v>0</v>
      </c>
      <c r="AN121" s="3">
        <f t="shared" ca="1" si="43"/>
        <v>0</v>
      </c>
      <c r="AO121" s="3">
        <f t="shared" ca="1" si="43"/>
        <v>0</v>
      </c>
      <c r="AP121" s="3">
        <f t="shared" ca="1" si="43"/>
        <v>0</v>
      </c>
      <c r="AQ121" s="3">
        <f t="shared" ca="1" si="43"/>
        <v>0</v>
      </c>
      <c r="AR121" s="3">
        <f t="shared" ca="1" si="43"/>
        <v>0</v>
      </c>
      <c r="AS121" s="3">
        <f t="shared" ca="1" si="43"/>
        <v>0</v>
      </c>
      <c r="AT121" s="3">
        <f t="shared" ca="1" si="43"/>
        <v>0</v>
      </c>
      <c r="AU121" s="3">
        <f t="shared" ca="1" si="43"/>
        <v>0</v>
      </c>
      <c r="AV121" s="3">
        <f t="shared" ca="1" si="43"/>
        <v>0</v>
      </c>
      <c r="AW121" s="3">
        <f t="shared" ca="1" si="43"/>
        <v>0</v>
      </c>
      <c r="AX121" s="3">
        <f t="shared" ca="1" si="43"/>
        <v>0</v>
      </c>
    </row>
    <row r="122" spans="1:50" ht="15" customHeight="1" x14ac:dyDescent="0.25">
      <c r="E122" s="55" t="str">
        <f xml:space="preserve"> Translate!E$594</f>
        <v>Post-production Decomm. Costs with ELT</v>
      </c>
      <c r="G122" s="55" t="str">
        <f xml:space="preserve"> G$96</f>
        <v>US$ mn 2021</v>
      </c>
      <c r="I122" s="3">
        <f ca="1" xml:space="preserve"> SUM(K122:AX122)</f>
        <v>500</v>
      </c>
      <c r="K122" s="3">
        <f t="shared" ref="K122:AX122" ca="1" si="44" xml:space="preserve"> SUMIFS( $K113:$AX113, $K110:$AX110, K110 + $F120)</f>
        <v>0</v>
      </c>
      <c r="L122" s="3">
        <f t="shared" ca="1" si="44"/>
        <v>0</v>
      </c>
      <c r="M122" s="3">
        <f t="shared" ca="1" si="44"/>
        <v>0</v>
      </c>
      <c r="N122" s="3">
        <f t="shared" ca="1" si="44"/>
        <v>0</v>
      </c>
      <c r="O122" s="3">
        <f t="shared" ca="1" si="44"/>
        <v>0</v>
      </c>
      <c r="P122" s="3">
        <f t="shared" ca="1" si="44"/>
        <v>0</v>
      </c>
      <c r="Q122" s="3">
        <f t="shared" ca="1" si="44"/>
        <v>0</v>
      </c>
      <c r="R122" s="3">
        <f t="shared" ca="1" si="44"/>
        <v>0</v>
      </c>
      <c r="S122" s="3">
        <f t="shared" ca="1" si="44"/>
        <v>0</v>
      </c>
      <c r="T122" s="3">
        <f t="shared" ca="1" si="44"/>
        <v>0</v>
      </c>
      <c r="U122" s="3">
        <f t="shared" ca="1" si="44"/>
        <v>0</v>
      </c>
      <c r="V122" s="3">
        <f t="shared" ca="1" si="44"/>
        <v>0</v>
      </c>
      <c r="W122" s="3">
        <f t="shared" ca="1" si="44"/>
        <v>0</v>
      </c>
      <c r="X122" s="3">
        <f t="shared" ca="1" si="44"/>
        <v>0</v>
      </c>
      <c r="Y122" s="3">
        <f t="shared" ca="1" si="44"/>
        <v>0</v>
      </c>
      <c r="Z122" s="3">
        <f t="shared" ca="1" si="44"/>
        <v>0</v>
      </c>
      <c r="AA122" s="3">
        <f t="shared" ca="1" si="44"/>
        <v>0</v>
      </c>
      <c r="AB122" s="3">
        <f t="shared" ca="1" si="44"/>
        <v>0</v>
      </c>
      <c r="AC122" s="3">
        <f t="shared" ca="1" si="44"/>
        <v>0</v>
      </c>
      <c r="AD122" s="3">
        <f t="shared" ca="1" si="44"/>
        <v>0</v>
      </c>
      <c r="AE122" s="3">
        <f t="shared" ca="1" si="44"/>
        <v>0</v>
      </c>
      <c r="AF122" s="3">
        <f t="shared" ca="1" si="44"/>
        <v>0</v>
      </c>
      <c r="AG122" s="3">
        <f t="shared" ca="1" si="44"/>
        <v>0</v>
      </c>
      <c r="AH122" s="3">
        <f t="shared" ca="1" si="44"/>
        <v>0</v>
      </c>
      <c r="AI122" s="3">
        <f t="shared" ca="1" si="44"/>
        <v>0</v>
      </c>
      <c r="AJ122" s="3">
        <f t="shared" ca="1" si="44"/>
        <v>0</v>
      </c>
      <c r="AK122" s="3">
        <f t="shared" ca="1" si="44"/>
        <v>0</v>
      </c>
      <c r="AL122" s="3">
        <f t="shared" ca="1" si="44"/>
        <v>0</v>
      </c>
      <c r="AM122" s="3">
        <f t="shared" ca="1" si="44"/>
        <v>0</v>
      </c>
      <c r="AN122" s="3">
        <f t="shared" ca="1" si="44"/>
        <v>0</v>
      </c>
      <c r="AO122" s="3">
        <f t="shared" ca="1" si="44"/>
        <v>0</v>
      </c>
      <c r="AP122" s="3">
        <f t="shared" ca="1" si="44"/>
        <v>250</v>
      </c>
      <c r="AQ122" s="3">
        <f t="shared" ca="1" si="44"/>
        <v>250</v>
      </c>
      <c r="AR122" s="3">
        <f t="shared" ca="1" si="44"/>
        <v>0</v>
      </c>
      <c r="AS122" s="3">
        <f t="shared" ca="1" si="44"/>
        <v>0</v>
      </c>
      <c r="AT122" s="3">
        <f t="shared" ca="1" si="44"/>
        <v>0</v>
      </c>
      <c r="AU122" s="3">
        <f t="shared" ca="1" si="44"/>
        <v>0</v>
      </c>
      <c r="AV122" s="3">
        <f t="shared" ca="1" si="44"/>
        <v>0</v>
      </c>
      <c r="AW122" s="3">
        <f t="shared" ca="1" si="44"/>
        <v>0</v>
      </c>
      <c r="AX122" s="3">
        <f t="shared" ca="1" si="44"/>
        <v>0</v>
      </c>
    </row>
    <row r="123" spans="1:50" s="485" customFormat="1" ht="15" customHeight="1" x14ac:dyDescent="0.25">
      <c r="E123" s="485" t="str">
        <f>E111 &amp; ", " &amp; Translate!E595</f>
        <v>Decommissioning costs, after ELT</v>
      </c>
      <c r="G123" s="485" t="str">
        <f xml:space="preserve"> G$96</f>
        <v>US$ mn 2021</v>
      </c>
      <c r="I123" s="485">
        <f ca="1" xml:space="preserve"> SUM(K123:AX123)</f>
        <v>750</v>
      </c>
      <c r="K123" s="485">
        <f t="shared" ref="K123:AX123" ca="1" si="45">SUM(K121:K122)</f>
        <v>0</v>
      </c>
      <c r="L123" s="485">
        <f t="shared" ca="1" si="45"/>
        <v>0</v>
      </c>
      <c r="M123" s="485">
        <f t="shared" ca="1" si="45"/>
        <v>0</v>
      </c>
      <c r="N123" s="485">
        <f t="shared" ca="1" si="45"/>
        <v>0</v>
      </c>
      <c r="O123" s="485">
        <f t="shared" ca="1" si="45"/>
        <v>0</v>
      </c>
      <c r="P123" s="485">
        <f t="shared" ca="1" si="45"/>
        <v>0</v>
      </c>
      <c r="Q123" s="485">
        <f t="shared" ca="1" si="45"/>
        <v>0</v>
      </c>
      <c r="R123" s="485">
        <f t="shared" ca="1" si="45"/>
        <v>0</v>
      </c>
      <c r="S123" s="485">
        <f t="shared" ca="1" si="45"/>
        <v>0</v>
      </c>
      <c r="T123" s="485">
        <f t="shared" ca="1" si="45"/>
        <v>0</v>
      </c>
      <c r="U123" s="485">
        <f t="shared" ca="1" si="45"/>
        <v>0</v>
      </c>
      <c r="V123" s="485">
        <f t="shared" ca="1" si="45"/>
        <v>0</v>
      </c>
      <c r="W123" s="485">
        <f t="shared" ca="1" si="45"/>
        <v>0</v>
      </c>
      <c r="X123" s="485">
        <f t="shared" ca="1" si="45"/>
        <v>0</v>
      </c>
      <c r="Y123" s="485">
        <f t="shared" ca="1" si="45"/>
        <v>0</v>
      </c>
      <c r="Z123" s="485">
        <f t="shared" ca="1" si="45"/>
        <v>0</v>
      </c>
      <c r="AA123" s="485">
        <f t="shared" ca="1" si="45"/>
        <v>0</v>
      </c>
      <c r="AB123" s="485">
        <f t="shared" ca="1" si="45"/>
        <v>0</v>
      </c>
      <c r="AC123" s="485">
        <f t="shared" ca="1" si="45"/>
        <v>0</v>
      </c>
      <c r="AD123" s="485">
        <f t="shared" ca="1" si="45"/>
        <v>0</v>
      </c>
      <c r="AE123" s="485">
        <f t="shared" ca="1" si="45"/>
        <v>0</v>
      </c>
      <c r="AF123" s="485">
        <f t="shared" ca="1" si="45"/>
        <v>0</v>
      </c>
      <c r="AG123" s="485">
        <f t="shared" ca="1" si="45"/>
        <v>0</v>
      </c>
      <c r="AH123" s="485">
        <f t="shared" ca="1" si="45"/>
        <v>0</v>
      </c>
      <c r="AI123" s="485">
        <f t="shared" ca="1" si="45"/>
        <v>0</v>
      </c>
      <c r="AJ123" s="485">
        <f t="shared" ca="1" si="45"/>
        <v>0</v>
      </c>
      <c r="AK123" s="485">
        <f t="shared" ca="1" si="45"/>
        <v>0</v>
      </c>
      <c r="AL123" s="485">
        <f t="shared" ca="1" si="45"/>
        <v>250</v>
      </c>
      <c r="AM123" s="485">
        <f t="shared" ca="1" si="45"/>
        <v>0</v>
      </c>
      <c r="AN123" s="485">
        <f t="shared" ca="1" si="45"/>
        <v>0</v>
      </c>
      <c r="AO123" s="485">
        <f t="shared" ca="1" si="45"/>
        <v>0</v>
      </c>
      <c r="AP123" s="485">
        <f t="shared" ca="1" si="45"/>
        <v>250</v>
      </c>
      <c r="AQ123" s="485">
        <f t="shared" ca="1" si="45"/>
        <v>250</v>
      </c>
      <c r="AR123" s="485">
        <f t="shared" ca="1" si="45"/>
        <v>0</v>
      </c>
      <c r="AS123" s="485">
        <f t="shared" ca="1" si="45"/>
        <v>0</v>
      </c>
      <c r="AT123" s="485">
        <f t="shared" ca="1" si="45"/>
        <v>0</v>
      </c>
      <c r="AU123" s="485">
        <f t="shared" ca="1" si="45"/>
        <v>0</v>
      </c>
      <c r="AV123" s="485">
        <f t="shared" ca="1" si="45"/>
        <v>0</v>
      </c>
      <c r="AW123" s="485">
        <f t="shared" ca="1" si="45"/>
        <v>0</v>
      </c>
      <c r="AX123" s="485">
        <f t="shared" ca="1" si="45"/>
        <v>0</v>
      </c>
    </row>
    <row r="125" spans="1:50" ht="15" customHeight="1" x14ac:dyDescent="0.25">
      <c r="A125" s="202" t="str">
        <f xml:space="preserve"> Translate!E$684</f>
        <v>Project cashflows: real after ELT</v>
      </c>
      <c r="B125" s="202"/>
      <c r="C125" s="203"/>
      <c r="D125" s="204"/>
      <c r="E125" s="99"/>
      <c r="F125" s="99"/>
      <c r="G125" s="99"/>
      <c r="H125" s="99"/>
      <c r="I125" s="99"/>
      <c r="J125" s="99"/>
      <c r="K125" s="99"/>
      <c r="L125" s="99"/>
      <c r="M125" s="99"/>
      <c r="N125" s="99"/>
      <c r="O125" s="99"/>
      <c r="P125" s="99"/>
      <c r="Q125" s="99"/>
      <c r="R125" s="99"/>
      <c r="S125" s="99"/>
      <c r="T125" s="99"/>
      <c r="U125" s="99"/>
      <c r="V125" s="99"/>
      <c r="W125" s="99"/>
      <c r="X125" s="99"/>
      <c r="Y125" s="99"/>
      <c r="Z125" s="99"/>
      <c r="AA125" s="99"/>
      <c r="AB125" s="99"/>
      <c r="AC125" s="99"/>
      <c r="AD125" s="99"/>
      <c r="AE125" s="99"/>
      <c r="AF125" s="99"/>
      <c r="AG125" s="99"/>
      <c r="AH125" s="99"/>
      <c r="AI125" s="99"/>
      <c r="AJ125" s="99"/>
      <c r="AK125" s="99"/>
      <c r="AL125" s="99"/>
      <c r="AM125" s="99"/>
      <c r="AN125" s="99"/>
      <c r="AO125" s="99"/>
      <c r="AP125" s="99"/>
      <c r="AQ125" s="99"/>
      <c r="AR125" s="99"/>
      <c r="AS125" s="99"/>
      <c r="AT125" s="99"/>
      <c r="AU125" s="99"/>
      <c r="AV125" s="99"/>
      <c r="AW125" s="99"/>
      <c r="AX125" s="99"/>
    </row>
    <row r="126" spans="1:50" ht="15" customHeight="1" x14ac:dyDescent="0.25">
      <c r="A126" s="86"/>
      <c r="B126" s="175"/>
      <c r="C126" s="88"/>
      <c r="D126" s="162"/>
      <c r="E126" s="52"/>
      <c r="F126" s="56"/>
      <c r="G126" s="52"/>
      <c r="H126" s="52"/>
      <c r="I126" s="89"/>
      <c r="J126" s="52"/>
      <c r="K126" s="208"/>
      <c r="L126" s="208"/>
      <c r="M126" s="208"/>
      <c r="N126" s="208"/>
      <c r="O126" s="208"/>
      <c r="P126" s="208"/>
      <c r="Q126" s="208"/>
      <c r="R126" s="208"/>
      <c r="S126" s="208"/>
      <c r="T126" s="208"/>
      <c r="U126" s="208"/>
      <c r="V126" s="208"/>
      <c r="W126" s="208"/>
      <c r="X126" s="208"/>
      <c r="Y126" s="208"/>
      <c r="Z126" s="208"/>
      <c r="AA126" s="208"/>
      <c r="AB126" s="208"/>
      <c r="AC126" s="208"/>
      <c r="AD126" s="208"/>
      <c r="AE126" s="208"/>
      <c r="AF126" s="208"/>
      <c r="AG126" s="208"/>
      <c r="AH126" s="208"/>
      <c r="AI126" s="208"/>
      <c r="AJ126" s="208"/>
      <c r="AK126" s="208"/>
      <c r="AL126" s="208"/>
      <c r="AM126" s="208"/>
      <c r="AN126" s="208"/>
      <c r="AO126" s="208"/>
      <c r="AP126" s="208"/>
      <c r="AQ126" s="208"/>
      <c r="AR126" s="208"/>
      <c r="AS126" s="208"/>
      <c r="AT126" s="208"/>
      <c r="AU126" s="208"/>
      <c r="AV126" s="208"/>
      <c r="AW126" s="208"/>
      <c r="AX126" s="208"/>
    </row>
    <row r="127" spans="1:50" ht="15" customHeight="1" x14ac:dyDescent="0.25">
      <c r="A127" s="86"/>
      <c r="B127" s="175"/>
      <c r="C127" s="88"/>
      <c r="D127" s="162"/>
      <c r="E127" s="55" t="str">
        <f t="shared" ref="E127:AX127" si="46" xml:space="preserve"> E$107</f>
        <v>Project economic limit</v>
      </c>
      <c r="F127" s="55">
        <f t="shared" si="46"/>
        <v>0</v>
      </c>
      <c r="G127" s="55" t="str">
        <f t="shared" si="46"/>
        <v>Flag</v>
      </c>
      <c r="H127" s="55">
        <f t="shared" si="46"/>
        <v>0</v>
      </c>
      <c r="I127" s="55">
        <f t="shared" ca="1" si="46"/>
        <v>31</v>
      </c>
      <c r="J127" s="55">
        <f t="shared" si="46"/>
        <v>0</v>
      </c>
      <c r="K127" s="55">
        <f t="shared" ca="1" si="46"/>
        <v>1</v>
      </c>
      <c r="L127" s="55">
        <f t="shared" ca="1" si="46"/>
        <v>1</v>
      </c>
      <c r="M127" s="55">
        <f t="shared" ca="1" si="46"/>
        <v>1</v>
      </c>
      <c r="N127" s="55">
        <f t="shared" ca="1" si="46"/>
        <v>1</v>
      </c>
      <c r="O127" s="55">
        <f t="shared" ca="1" si="46"/>
        <v>1</v>
      </c>
      <c r="P127" s="55">
        <f t="shared" ca="1" si="46"/>
        <v>1</v>
      </c>
      <c r="Q127" s="55">
        <f t="shared" ca="1" si="46"/>
        <v>1</v>
      </c>
      <c r="R127" s="55">
        <f t="shared" ca="1" si="46"/>
        <v>1</v>
      </c>
      <c r="S127" s="55">
        <f t="shared" ca="1" si="46"/>
        <v>1</v>
      </c>
      <c r="T127" s="55">
        <f t="shared" ca="1" si="46"/>
        <v>1</v>
      </c>
      <c r="U127" s="55">
        <f t="shared" ca="1" si="46"/>
        <v>1</v>
      </c>
      <c r="V127" s="55">
        <f t="shared" ca="1" si="46"/>
        <v>1</v>
      </c>
      <c r="W127" s="55">
        <f t="shared" ca="1" si="46"/>
        <v>1</v>
      </c>
      <c r="X127" s="55">
        <f t="shared" ca="1" si="46"/>
        <v>1</v>
      </c>
      <c r="Y127" s="55">
        <f t="shared" ca="1" si="46"/>
        <v>1</v>
      </c>
      <c r="Z127" s="55">
        <f t="shared" ca="1" si="46"/>
        <v>1</v>
      </c>
      <c r="AA127" s="55">
        <f t="shared" ca="1" si="46"/>
        <v>1</v>
      </c>
      <c r="AB127" s="55">
        <f t="shared" ca="1" si="46"/>
        <v>1</v>
      </c>
      <c r="AC127" s="55">
        <f t="shared" ca="1" si="46"/>
        <v>1</v>
      </c>
      <c r="AD127" s="55">
        <f t="shared" ca="1" si="46"/>
        <v>1</v>
      </c>
      <c r="AE127" s="55">
        <f t="shared" ca="1" si="46"/>
        <v>1</v>
      </c>
      <c r="AF127" s="55">
        <f t="shared" ca="1" si="46"/>
        <v>1</v>
      </c>
      <c r="AG127" s="55">
        <f t="shared" ca="1" si="46"/>
        <v>1</v>
      </c>
      <c r="AH127" s="55">
        <f t="shared" ca="1" si="46"/>
        <v>1</v>
      </c>
      <c r="AI127" s="55">
        <f t="shared" ca="1" si="46"/>
        <v>1</v>
      </c>
      <c r="AJ127" s="55">
        <f t="shared" ca="1" si="46"/>
        <v>1</v>
      </c>
      <c r="AK127" s="55">
        <f t="shared" ca="1" si="46"/>
        <v>1</v>
      </c>
      <c r="AL127" s="55">
        <f t="shared" ca="1" si="46"/>
        <v>1</v>
      </c>
      <c r="AM127" s="55">
        <f t="shared" ca="1" si="46"/>
        <v>1</v>
      </c>
      <c r="AN127" s="55">
        <f t="shared" ca="1" si="46"/>
        <v>1</v>
      </c>
      <c r="AO127" s="55">
        <f t="shared" ca="1" si="46"/>
        <v>1</v>
      </c>
      <c r="AP127" s="55">
        <f t="shared" ca="1" si="46"/>
        <v>0</v>
      </c>
      <c r="AQ127" s="55">
        <f t="shared" ca="1" si="46"/>
        <v>0</v>
      </c>
      <c r="AR127" s="55">
        <f t="shared" ca="1" si="46"/>
        <v>0</v>
      </c>
      <c r="AS127" s="55">
        <f t="shared" ca="1" si="46"/>
        <v>0</v>
      </c>
      <c r="AT127" s="55">
        <f t="shared" ca="1" si="46"/>
        <v>0</v>
      </c>
      <c r="AU127" s="55">
        <f t="shared" ca="1" si="46"/>
        <v>0</v>
      </c>
      <c r="AV127" s="55">
        <f t="shared" ca="1" si="46"/>
        <v>0</v>
      </c>
      <c r="AW127" s="55">
        <f t="shared" ca="1" si="46"/>
        <v>0</v>
      </c>
      <c r="AX127" s="55">
        <f t="shared" ca="1" si="46"/>
        <v>0</v>
      </c>
    </row>
    <row r="128" spans="1:50" ht="15" customHeight="1" x14ac:dyDescent="0.25">
      <c r="A128" s="86"/>
      <c r="B128" s="175"/>
      <c r="C128" s="88"/>
      <c r="D128" s="162"/>
      <c r="E128" s="52"/>
      <c r="F128" s="56"/>
      <c r="G128" s="52"/>
      <c r="H128" s="52"/>
      <c r="I128" s="89"/>
      <c r="J128" s="52"/>
      <c r="K128" s="208"/>
      <c r="L128" s="208"/>
      <c r="M128" s="208"/>
      <c r="N128" s="208"/>
      <c r="O128" s="208"/>
      <c r="P128" s="208"/>
      <c r="Q128" s="208"/>
      <c r="R128" s="208"/>
      <c r="S128" s="208"/>
      <c r="T128" s="208"/>
      <c r="U128" s="208"/>
      <c r="V128" s="208"/>
      <c r="W128" s="208"/>
      <c r="X128" s="208"/>
      <c r="Y128" s="208"/>
      <c r="Z128" s="208"/>
      <c r="AA128" s="208"/>
      <c r="AB128" s="208"/>
      <c r="AC128" s="208"/>
      <c r="AD128" s="208"/>
      <c r="AE128" s="208"/>
      <c r="AF128" s="208"/>
      <c r="AG128" s="208"/>
      <c r="AH128" s="208"/>
      <c r="AI128" s="208"/>
      <c r="AJ128" s="208"/>
      <c r="AK128" s="208"/>
      <c r="AL128" s="208"/>
      <c r="AM128" s="208"/>
      <c r="AN128" s="208"/>
      <c r="AO128" s="208"/>
      <c r="AP128" s="208"/>
      <c r="AQ128" s="208"/>
      <c r="AR128" s="208"/>
      <c r="AS128" s="208"/>
      <c r="AT128" s="208"/>
      <c r="AU128" s="208"/>
      <c r="AV128" s="208"/>
      <c r="AW128" s="208"/>
      <c r="AX128" s="208"/>
    </row>
    <row r="129" spans="1:50" ht="15" customHeight="1" x14ac:dyDescent="0.25">
      <c r="A129" s="86"/>
      <c r="B129" s="175"/>
      <c r="C129" s="88"/>
      <c r="D129" s="162"/>
      <c r="E129" s="55" t="str">
        <f t="shared" ref="E129:AX129" si="47" xml:space="preserve"> E$46</f>
        <v>Oil production RATE</v>
      </c>
      <c r="F129" s="55">
        <f t="shared" si="47"/>
        <v>0</v>
      </c>
      <c r="G129" s="55" t="str">
        <f t="shared" si="47"/>
        <v>KBOPD</v>
      </c>
      <c r="H129" s="55">
        <f t="shared" si="47"/>
        <v>0</v>
      </c>
      <c r="I129" s="55">
        <f t="shared" si="47"/>
        <v>0</v>
      </c>
      <c r="J129" s="55">
        <f t="shared" si="47"/>
        <v>0</v>
      </c>
      <c r="K129" s="55">
        <f t="shared" ca="1" si="47"/>
        <v>0</v>
      </c>
      <c r="L129" s="55">
        <f t="shared" ca="1" si="47"/>
        <v>0</v>
      </c>
      <c r="M129" s="55">
        <f t="shared" ca="1" si="47"/>
        <v>0</v>
      </c>
      <c r="N129" s="55">
        <f t="shared" ca="1" si="47"/>
        <v>0</v>
      </c>
      <c r="O129" s="55">
        <f t="shared" ca="1" si="47"/>
        <v>9.5471162223815913</v>
      </c>
      <c r="P129" s="55">
        <f t="shared" ca="1" si="47"/>
        <v>75</v>
      </c>
      <c r="Q129" s="55">
        <f t="shared" ca="1" si="47"/>
        <v>150</v>
      </c>
      <c r="R129" s="55">
        <f t="shared" ca="1" si="47"/>
        <v>150</v>
      </c>
      <c r="S129" s="55">
        <f t="shared" ca="1" si="47"/>
        <v>150</v>
      </c>
      <c r="T129" s="55">
        <f t="shared" ca="1" si="47"/>
        <v>150</v>
      </c>
      <c r="U129" s="55">
        <f t="shared" ca="1" si="47"/>
        <v>150</v>
      </c>
      <c r="V129" s="55">
        <f t="shared" ca="1" si="47"/>
        <v>150</v>
      </c>
      <c r="W129" s="55">
        <f t="shared" ca="1" si="47"/>
        <v>150</v>
      </c>
      <c r="X129" s="55">
        <f t="shared" ca="1" si="47"/>
        <v>150</v>
      </c>
      <c r="Y129" s="55">
        <f t="shared" ca="1" si="47"/>
        <v>150</v>
      </c>
      <c r="Z129" s="55">
        <f t="shared" ca="1" si="47"/>
        <v>150</v>
      </c>
      <c r="AA129" s="55">
        <f t="shared" ca="1" si="47"/>
        <v>121.50000000000001</v>
      </c>
      <c r="AB129" s="55">
        <f t="shared" ca="1" si="47"/>
        <v>98.41500000000002</v>
      </c>
      <c r="AC129" s="55">
        <f t="shared" ca="1" si="47"/>
        <v>79.716150000000027</v>
      </c>
      <c r="AD129" s="55">
        <f t="shared" ca="1" si="47"/>
        <v>64.570081500000029</v>
      </c>
      <c r="AE129" s="55">
        <f t="shared" ca="1" si="47"/>
        <v>52.301766015000027</v>
      </c>
      <c r="AF129" s="55">
        <f t="shared" ca="1" si="47"/>
        <v>42.364430472150026</v>
      </c>
      <c r="AG129" s="55">
        <f t="shared" ca="1" si="47"/>
        <v>34.315188682441523</v>
      </c>
      <c r="AH129" s="55">
        <f t="shared" ca="1" si="47"/>
        <v>27.795302832777637</v>
      </c>
      <c r="AI129" s="55">
        <f t="shared" ca="1" si="47"/>
        <v>22.514195294549886</v>
      </c>
      <c r="AJ129" s="55">
        <f t="shared" ca="1" si="47"/>
        <v>18.236498188585408</v>
      </c>
      <c r="AK129" s="55">
        <f t="shared" ca="1" si="47"/>
        <v>14.771563532754181</v>
      </c>
      <c r="AL129" s="55">
        <f t="shared" ca="1" si="47"/>
        <v>11.964966461530887</v>
      </c>
      <c r="AM129" s="55">
        <f t="shared" ca="1" si="47"/>
        <v>9.6916228338400181</v>
      </c>
      <c r="AN129" s="55">
        <f t="shared" ca="1" si="47"/>
        <v>7.8502144954104152</v>
      </c>
      <c r="AO129" s="55">
        <f t="shared" ca="1" si="47"/>
        <v>6.3586737412824368</v>
      </c>
      <c r="AP129" s="55">
        <f t="shared" ca="1" si="47"/>
        <v>0</v>
      </c>
      <c r="AQ129" s="55">
        <f t="shared" ca="1" si="47"/>
        <v>0</v>
      </c>
      <c r="AR129" s="55">
        <f t="shared" ca="1" si="47"/>
        <v>0</v>
      </c>
      <c r="AS129" s="55">
        <f t="shared" ca="1" si="47"/>
        <v>0</v>
      </c>
      <c r="AT129" s="55">
        <f t="shared" ca="1" si="47"/>
        <v>0</v>
      </c>
      <c r="AU129" s="55">
        <f t="shared" ca="1" si="47"/>
        <v>0</v>
      </c>
      <c r="AV129" s="55">
        <f t="shared" ca="1" si="47"/>
        <v>0</v>
      </c>
      <c r="AW129" s="55">
        <f t="shared" ca="1" si="47"/>
        <v>0</v>
      </c>
      <c r="AX129" s="55">
        <f t="shared" ca="1" si="47"/>
        <v>0</v>
      </c>
    </row>
    <row r="130" spans="1:50" ht="15" customHeight="1" x14ac:dyDescent="0.25">
      <c r="A130" s="86"/>
      <c r="B130" s="175"/>
      <c r="C130" s="88"/>
      <c r="D130" s="162"/>
      <c r="E130" s="55" t="str">
        <f t="shared" ref="E130:AX130" si="48" xml:space="preserve"> E$47</f>
        <v>Oil production Volume</v>
      </c>
      <c r="F130" s="55">
        <f t="shared" si="48"/>
        <v>0</v>
      </c>
      <c r="G130" s="55" t="str">
        <f t="shared" si="48"/>
        <v>Mn Bbl</v>
      </c>
      <c r="H130" s="55">
        <f t="shared" si="48"/>
        <v>0</v>
      </c>
      <c r="I130" s="55">
        <f t="shared" ca="1" si="48"/>
        <v>801.87316114953705</v>
      </c>
      <c r="J130" s="55">
        <f t="shared" si="48"/>
        <v>0</v>
      </c>
      <c r="K130" s="55">
        <f t="shared" ca="1" si="48"/>
        <v>0</v>
      </c>
      <c r="L130" s="55">
        <f t="shared" ca="1" si="48"/>
        <v>0</v>
      </c>
      <c r="M130" s="55">
        <f t="shared" ca="1" si="48"/>
        <v>0</v>
      </c>
      <c r="N130" s="55">
        <f t="shared" ca="1" si="48"/>
        <v>0</v>
      </c>
      <c r="O130" s="55">
        <f t="shared" ca="1" si="48"/>
        <v>3.4846974211692809</v>
      </c>
      <c r="P130" s="55">
        <f t="shared" ca="1" si="48"/>
        <v>27.375</v>
      </c>
      <c r="Q130" s="55">
        <f t="shared" ca="1" si="48"/>
        <v>54.75</v>
      </c>
      <c r="R130" s="55">
        <f t="shared" ca="1" si="48"/>
        <v>54.75</v>
      </c>
      <c r="S130" s="55">
        <f t="shared" ca="1" si="48"/>
        <v>54.75</v>
      </c>
      <c r="T130" s="55">
        <f t="shared" ca="1" si="48"/>
        <v>54.75</v>
      </c>
      <c r="U130" s="55">
        <f t="shared" ca="1" si="48"/>
        <v>54.75</v>
      </c>
      <c r="V130" s="55">
        <f t="shared" ca="1" si="48"/>
        <v>54.75</v>
      </c>
      <c r="W130" s="55">
        <f t="shared" ca="1" si="48"/>
        <v>54.75</v>
      </c>
      <c r="X130" s="55">
        <f t="shared" ca="1" si="48"/>
        <v>54.75</v>
      </c>
      <c r="Y130" s="55">
        <f t="shared" ca="1" si="48"/>
        <v>54.75</v>
      </c>
      <c r="Z130" s="55">
        <f t="shared" ca="1" si="48"/>
        <v>54.75</v>
      </c>
      <c r="AA130" s="55">
        <f t="shared" ca="1" si="48"/>
        <v>44.347500000000011</v>
      </c>
      <c r="AB130" s="55">
        <f t="shared" ca="1" si="48"/>
        <v>35.921475000000008</v>
      </c>
      <c r="AC130" s="55">
        <f t="shared" ca="1" si="48"/>
        <v>29.096394750000009</v>
      </c>
      <c r="AD130" s="55">
        <f t="shared" ca="1" si="48"/>
        <v>23.568079747500011</v>
      </c>
      <c r="AE130" s="55">
        <f t="shared" ca="1" si="48"/>
        <v>19.09014459547501</v>
      </c>
      <c r="AF130" s="55">
        <f t="shared" ca="1" si="48"/>
        <v>15.463017122334758</v>
      </c>
      <c r="AG130" s="55">
        <f t="shared" ca="1" si="48"/>
        <v>12.525043869091157</v>
      </c>
      <c r="AH130" s="55">
        <f t="shared" ca="1" si="48"/>
        <v>10.145285533963838</v>
      </c>
      <c r="AI130" s="55">
        <f t="shared" ca="1" si="48"/>
        <v>8.2176812825107088</v>
      </c>
      <c r="AJ130" s="55">
        <f t="shared" ca="1" si="48"/>
        <v>6.6563218388336738</v>
      </c>
      <c r="AK130" s="55">
        <f t="shared" ca="1" si="48"/>
        <v>5.3916206894552765</v>
      </c>
      <c r="AL130" s="55">
        <f t="shared" ca="1" si="48"/>
        <v>4.3672127584587734</v>
      </c>
      <c r="AM130" s="55">
        <f t="shared" ca="1" si="48"/>
        <v>3.5374423343516064</v>
      </c>
      <c r="AN130" s="55">
        <f t="shared" ca="1" si="48"/>
        <v>2.8653282908248014</v>
      </c>
      <c r="AO130" s="55">
        <f t="shared" ca="1" si="48"/>
        <v>2.3209159155680896</v>
      </c>
      <c r="AP130" s="55">
        <f t="shared" ca="1" si="48"/>
        <v>0</v>
      </c>
      <c r="AQ130" s="55">
        <f t="shared" ca="1" si="48"/>
        <v>0</v>
      </c>
      <c r="AR130" s="55">
        <f t="shared" ca="1" si="48"/>
        <v>0</v>
      </c>
      <c r="AS130" s="55">
        <f t="shared" ca="1" si="48"/>
        <v>0</v>
      </c>
      <c r="AT130" s="55">
        <f t="shared" ca="1" si="48"/>
        <v>0</v>
      </c>
      <c r="AU130" s="55">
        <f t="shared" ca="1" si="48"/>
        <v>0</v>
      </c>
      <c r="AV130" s="55">
        <f t="shared" ca="1" si="48"/>
        <v>0</v>
      </c>
      <c r="AW130" s="55">
        <f t="shared" ca="1" si="48"/>
        <v>0</v>
      </c>
      <c r="AX130" s="55">
        <f t="shared" ca="1" si="48"/>
        <v>0</v>
      </c>
    </row>
    <row r="131" spans="1:50" s="77" customFormat="1" ht="15" customHeight="1" x14ac:dyDescent="0.25">
      <c r="A131" s="201"/>
      <c r="B131" s="198"/>
      <c r="C131" s="199"/>
      <c r="D131" s="200"/>
      <c r="E131" s="176" t="str">
        <f>E129 &amp; " " &amp; Translate!E595</f>
        <v>Oil production RATE after ELT</v>
      </c>
      <c r="F131" s="176"/>
      <c r="G131" s="176" t="str">
        <f>G129</f>
        <v>KBOPD</v>
      </c>
      <c r="H131" s="176">
        <f xml:space="preserve"> H$12</f>
        <v>0</v>
      </c>
      <c r="I131" s="176"/>
      <c r="J131" s="176"/>
      <c r="K131" s="176">
        <f t="shared" ref="K131:AX131" ca="1" si="49">K129 * K127</f>
        <v>0</v>
      </c>
      <c r="L131" s="176">
        <f t="shared" ca="1" si="49"/>
        <v>0</v>
      </c>
      <c r="M131" s="176">
        <f t="shared" ca="1" si="49"/>
        <v>0</v>
      </c>
      <c r="N131" s="176">
        <f t="shared" ca="1" si="49"/>
        <v>0</v>
      </c>
      <c r="O131" s="176">
        <f t="shared" ca="1" si="49"/>
        <v>9.5471162223815913</v>
      </c>
      <c r="P131" s="176">
        <f t="shared" ca="1" si="49"/>
        <v>75</v>
      </c>
      <c r="Q131" s="176">
        <f t="shared" ca="1" si="49"/>
        <v>150</v>
      </c>
      <c r="R131" s="176">
        <f t="shared" ca="1" si="49"/>
        <v>150</v>
      </c>
      <c r="S131" s="176">
        <f t="shared" ca="1" si="49"/>
        <v>150</v>
      </c>
      <c r="T131" s="176">
        <f t="shared" ca="1" si="49"/>
        <v>150</v>
      </c>
      <c r="U131" s="176">
        <f t="shared" ca="1" si="49"/>
        <v>150</v>
      </c>
      <c r="V131" s="176">
        <f t="shared" ca="1" si="49"/>
        <v>150</v>
      </c>
      <c r="W131" s="176">
        <f t="shared" ca="1" si="49"/>
        <v>150</v>
      </c>
      <c r="X131" s="176">
        <f t="shared" ca="1" si="49"/>
        <v>150</v>
      </c>
      <c r="Y131" s="176">
        <f t="shared" ca="1" si="49"/>
        <v>150</v>
      </c>
      <c r="Z131" s="176">
        <f t="shared" ca="1" si="49"/>
        <v>150</v>
      </c>
      <c r="AA131" s="176">
        <f t="shared" ca="1" si="49"/>
        <v>121.50000000000001</v>
      </c>
      <c r="AB131" s="176">
        <f t="shared" ca="1" si="49"/>
        <v>98.41500000000002</v>
      </c>
      <c r="AC131" s="176">
        <f t="shared" ca="1" si="49"/>
        <v>79.716150000000027</v>
      </c>
      <c r="AD131" s="176">
        <f t="shared" ca="1" si="49"/>
        <v>64.570081500000029</v>
      </c>
      <c r="AE131" s="176">
        <f t="shared" ca="1" si="49"/>
        <v>52.301766015000027</v>
      </c>
      <c r="AF131" s="176">
        <f t="shared" ca="1" si="49"/>
        <v>42.364430472150026</v>
      </c>
      <c r="AG131" s="176">
        <f t="shared" ca="1" si="49"/>
        <v>34.315188682441523</v>
      </c>
      <c r="AH131" s="176">
        <f t="shared" ca="1" si="49"/>
        <v>27.795302832777637</v>
      </c>
      <c r="AI131" s="176">
        <f t="shared" ca="1" si="49"/>
        <v>22.514195294549886</v>
      </c>
      <c r="AJ131" s="176">
        <f t="shared" ca="1" si="49"/>
        <v>18.236498188585408</v>
      </c>
      <c r="AK131" s="176">
        <f t="shared" ca="1" si="49"/>
        <v>14.771563532754181</v>
      </c>
      <c r="AL131" s="176">
        <f t="shared" ca="1" si="49"/>
        <v>11.964966461530887</v>
      </c>
      <c r="AM131" s="176">
        <f t="shared" ca="1" si="49"/>
        <v>9.6916228338400181</v>
      </c>
      <c r="AN131" s="176">
        <f t="shared" ca="1" si="49"/>
        <v>7.8502144954104152</v>
      </c>
      <c r="AO131" s="176">
        <f t="shared" ca="1" si="49"/>
        <v>6.3586737412824368</v>
      </c>
      <c r="AP131" s="176">
        <f t="shared" ca="1" si="49"/>
        <v>0</v>
      </c>
      <c r="AQ131" s="176">
        <f t="shared" ca="1" si="49"/>
        <v>0</v>
      </c>
      <c r="AR131" s="176">
        <f t="shared" ca="1" si="49"/>
        <v>0</v>
      </c>
      <c r="AS131" s="176">
        <f t="shared" ca="1" si="49"/>
        <v>0</v>
      </c>
      <c r="AT131" s="176">
        <f t="shared" ca="1" si="49"/>
        <v>0</v>
      </c>
      <c r="AU131" s="176">
        <f t="shared" ca="1" si="49"/>
        <v>0</v>
      </c>
      <c r="AV131" s="176">
        <f t="shared" ca="1" si="49"/>
        <v>0</v>
      </c>
      <c r="AW131" s="176">
        <f t="shared" ca="1" si="49"/>
        <v>0</v>
      </c>
      <c r="AX131" s="176">
        <f t="shared" ca="1" si="49"/>
        <v>0</v>
      </c>
    </row>
    <row r="132" spans="1:50" s="77" customFormat="1" ht="15" customHeight="1" x14ac:dyDescent="0.25">
      <c r="A132" s="201"/>
      <c r="B132" s="198"/>
      <c r="C132" s="199"/>
      <c r="D132" s="200"/>
      <c r="E132" s="176" t="str">
        <f>E130 &amp;  " " &amp; Translate!E595</f>
        <v>Oil production Volume after ELT</v>
      </c>
      <c r="F132" s="176"/>
      <c r="G132" s="176" t="str">
        <f>G130</f>
        <v>Mn Bbl</v>
      </c>
      <c r="H132" s="176">
        <f xml:space="preserve"> H$12</f>
        <v>0</v>
      </c>
      <c r="I132" s="176">
        <f ca="1" xml:space="preserve"> SUM(K132:AX132)</f>
        <v>801.87316114953705</v>
      </c>
      <c r="J132" s="176"/>
      <c r="K132" s="176">
        <f t="shared" ref="K132:AX132" ca="1" si="50">K130 * K127</f>
        <v>0</v>
      </c>
      <c r="L132" s="176">
        <f t="shared" ca="1" si="50"/>
        <v>0</v>
      </c>
      <c r="M132" s="176">
        <f t="shared" ca="1" si="50"/>
        <v>0</v>
      </c>
      <c r="N132" s="176">
        <f t="shared" ca="1" si="50"/>
        <v>0</v>
      </c>
      <c r="O132" s="176">
        <f t="shared" ca="1" si="50"/>
        <v>3.4846974211692809</v>
      </c>
      <c r="P132" s="176">
        <f t="shared" ca="1" si="50"/>
        <v>27.375</v>
      </c>
      <c r="Q132" s="176">
        <f t="shared" ca="1" si="50"/>
        <v>54.75</v>
      </c>
      <c r="R132" s="176">
        <f t="shared" ca="1" si="50"/>
        <v>54.75</v>
      </c>
      <c r="S132" s="176">
        <f t="shared" ca="1" si="50"/>
        <v>54.75</v>
      </c>
      <c r="T132" s="176">
        <f t="shared" ca="1" si="50"/>
        <v>54.75</v>
      </c>
      <c r="U132" s="176">
        <f t="shared" ca="1" si="50"/>
        <v>54.75</v>
      </c>
      <c r="V132" s="176">
        <f t="shared" ca="1" si="50"/>
        <v>54.75</v>
      </c>
      <c r="W132" s="176">
        <f t="shared" ca="1" si="50"/>
        <v>54.75</v>
      </c>
      <c r="X132" s="176">
        <f t="shared" ca="1" si="50"/>
        <v>54.75</v>
      </c>
      <c r="Y132" s="176">
        <f t="shared" ca="1" si="50"/>
        <v>54.75</v>
      </c>
      <c r="Z132" s="176">
        <f t="shared" ca="1" si="50"/>
        <v>54.75</v>
      </c>
      <c r="AA132" s="176">
        <f t="shared" ca="1" si="50"/>
        <v>44.347500000000011</v>
      </c>
      <c r="AB132" s="176">
        <f t="shared" ca="1" si="50"/>
        <v>35.921475000000008</v>
      </c>
      <c r="AC132" s="176">
        <f t="shared" ca="1" si="50"/>
        <v>29.096394750000009</v>
      </c>
      <c r="AD132" s="176">
        <f t="shared" ca="1" si="50"/>
        <v>23.568079747500011</v>
      </c>
      <c r="AE132" s="176">
        <f t="shared" ca="1" si="50"/>
        <v>19.09014459547501</v>
      </c>
      <c r="AF132" s="176">
        <f t="shared" ca="1" si="50"/>
        <v>15.463017122334758</v>
      </c>
      <c r="AG132" s="176">
        <f t="shared" ca="1" si="50"/>
        <v>12.525043869091157</v>
      </c>
      <c r="AH132" s="176">
        <f t="shared" ca="1" si="50"/>
        <v>10.145285533963838</v>
      </c>
      <c r="AI132" s="176">
        <f t="shared" ca="1" si="50"/>
        <v>8.2176812825107088</v>
      </c>
      <c r="AJ132" s="176">
        <f t="shared" ca="1" si="50"/>
        <v>6.6563218388336738</v>
      </c>
      <c r="AK132" s="176">
        <f t="shared" ca="1" si="50"/>
        <v>5.3916206894552765</v>
      </c>
      <c r="AL132" s="176">
        <f t="shared" ca="1" si="50"/>
        <v>4.3672127584587734</v>
      </c>
      <c r="AM132" s="176">
        <f t="shared" ca="1" si="50"/>
        <v>3.5374423343516064</v>
      </c>
      <c r="AN132" s="176">
        <f t="shared" ca="1" si="50"/>
        <v>2.8653282908248014</v>
      </c>
      <c r="AO132" s="176">
        <f t="shared" ca="1" si="50"/>
        <v>2.3209159155680896</v>
      </c>
      <c r="AP132" s="176">
        <f t="shared" ca="1" si="50"/>
        <v>0</v>
      </c>
      <c r="AQ132" s="176">
        <f t="shared" ca="1" si="50"/>
        <v>0</v>
      </c>
      <c r="AR132" s="176">
        <f t="shared" ca="1" si="50"/>
        <v>0</v>
      </c>
      <c r="AS132" s="176">
        <f t="shared" ca="1" si="50"/>
        <v>0</v>
      </c>
      <c r="AT132" s="176">
        <f t="shared" ca="1" si="50"/>
        <v>0</v>
      </c>
      <c r="AU132" s="176">
        <f t="shared" ca="1" si="50"/>
        <v>0</v>
      </c>
      <c r="AV132" s="176">
        <f t="shared" ca="1" si="50"/>
        <v>0</v>
      </c>
      <c r="AW132" s="176">
        <f t="shared" ca="1" si="50"/>
        <v>0</v>
      </c>
      <c r="AX132" s="176">
        <f t="shared" ca="1" si="50"/>
        <v>0</v>
      </c>
    </row>
    <row r="133" spans="1:50" s="77" customFormat="1" ht="15" customHeight="1" x14ac:dyDescent="0.25">
      <c r="A133" s="330"/>
      <c r="B133" s="331"/>
      <c r="C133" s="332"/>
      <c r="D133" s="333"/>
      <c r="E133" s="177" t="str">
        <f xml:space="preserve"> Translate!E$601 &amp; ": " &amp; E132</f>
        <v>Total: Oil production Volume after ELT</v>
      </c>
      <c r="F133" s="177">
        <f ca="1" xml:space="preserve"> SUM(K132:AX132)</f>
        <v>801.87316114953705</v>
      </c>
      <c r="G133" s="177" t="str">
        <f xml:space="preserve"> G132</f>
        <v>Mn Bbl</v>
      </c>
      <c r="H133" s="215"/>
      <c r="I133" s="216"/>
      <c r="J133" s="195"/>
      <c r="K133" s="216"/>
      <c r="L133" s="216"/>
      <c r="M133" s="216"/>
      <c r="N133" s="216"/>
      <c r="O133" s="216"/>
      <c r="P133" s="216"/>
      <c r="Q133" s="216"/>
      <c r="R133" s="216"/>
      <c r="S133" s="216"/>
      <c r="T133" s="216"/>
      <c r="U133" s="216"/>
      <c r="V133" s="216"/>
      <c r="W133" s="216"/>
      <c r="X133" s="216"/>
      <c r="Y133" s="216"/>
      <c r="Z133" s="216"/>
      <c r="AA133" s="216"/>
      <c r="AB133" s="216"/>
      <c r="AC133" s="216"/>
      <c r="AD133" s="216"/>
      <c r="AE133" s="216"/>
      <c r="AF133" s="216"/>
      <c r="AG133" s="216"/>
      <c r="AH133" s="216"/>
      <c r="AI133" s="216"/>
      <c r="AJ133" s="216"/>
      <c r="AK133" s="216"/>
      <c r="AL133" s="216"/>
      <c r="AM133" s="216"/>
      <c r="AN133" s="216"/>
      <c r="AO133" s="216"/>
      <c r="AP133" s="216"/>
      <c r="AQ133" s="216"/>
      <c r="AR133" s="216"/>
      <c r="AS133" s="216"/>
      <c r="AT133" s="216"/>
      <c r="AU133" s="216"/>
      <c r="AV133" s="216"/>
      <c r="AW133" s="216"/>
      <c r="AX133" s="216"/>
    </row>
    <row r="134" spans="1:50" ht="15" customHeight="1" x14ac:dyDescent="0.25">
      <c r="A134" s="86"/>
      <c r="B134" s="175"/>
      <c r="C134" s="88"/>
      <c r="D134" s="162"/>
      <c r="E134" s="55"/>
      <c r="F134" s="55"/>
      <c r="G134" s="55"/>
      <c r="H134" s="55"/>
      <c r="I134" s="55"/>
      <c r="J134" s="55"/>
      <c r="K134" s="55"/>
      <c r="L134" s="55"/>
      <c r="M134" s="55"/>
      <c r="N134" s="55"/>
      <c r="O134" s="55"/>
      <c r="P134" s="55"/>
      <c r="Q134" s="55"/>
      <c r="R134" s="55"/>
      <c r="S134" s="55"/>
      <c r="T134" s="55"/>
      <c r="U134" s="55"/>
      <c r="V134" s="55"/>
      <c r="W134" s="55"/>
      <c r="X134" s="55"/>
      <c r="Y134" s="55"/>
      <c r="Z134" s="55"/>
      <c r="AA134" s="55"/>
      <c r="AB134" s="55"/>
      <c r="AC134" s="55"/>
      <c r="AD134" s="55"/>
      <c r="AE134" s="55"/>
      <c r="AF134" s="55"/>
      <c r="AG134" s="55"/>
      <c r="AH134" s="55"/>
      <c r="AI134" s="55"/>
      <c r="AJ134" s="55"/>
      <c r="AK134" s="55"/>
      <c r="AL134" s="55"/>
      <c r="AM134" s="55"/>
      <c r="AN134" s="55"/>
      <c r="AO134" s="55"/>
      <c r="AP134" s="55"/>
      <c r="AQ134" s="55"/>
      <c r="AR134" s="55"/>
      <c r="AS134" s="55"/>
      <c r="AT134" s="55"/>
      <c r="AU134" s="55"/>
      <c r="AV134" s="55"/>
      <c r="AW134" s="55"/>
      <c r="AX134" s="55"/>
    </row>
    <row r="135" spans="1:50" ht="15" customHeight="1" x14ac:dyDescent="0.25">
      <c r="A135" s="86"/>
      <c r="B135" s="205" t="str">
        <f>Translate!E$580</f>
        <v>Project cashflows, real before ELT</v>
      </c>
      <c r="C135" s="88"/>
      <c r="D135" s="162"/>
      <c r="E135" s="52"/>
      <c r="F135" s="56"/>
      <c r="G135" s="52"/>
      <c r="H135" s="52"/>
      <c r="I135" s="89"/>
      <c r="J135" s="52"/>
      <c r="K135" s="208"/>
      <c r="L135" s="208"/>
      <c r="M135" s="208"/>
      <c r="N135" s="208"/>
      <c r="O135" s="208"/>
      <c r="P135" s="208"/>
      <c r="Q135" s="208"/>
      <c r="R135" s="208"/>
      <c r="S135" s="208"/>
      <c r="T135" s="208"/>
      <c r="U135" s="208"/>
      <c r="V135" s="208"/>
      <c r="W135" s="208"/>
      <c r="X135" s="208"/>
      <c r="Y135" s="208"/>
      <c r="Z135" s="208"/>
      <c r="AA135" s="208"/>
      <c r="AB135" s="208"/>
      <c r="AC135" s="208"/>
      <c r="AD135" s="208"/>
      <c r="AE135" s="208"/>
      <c r="AF135" s="208"/>
      <c r="AG135" s="208"/>
      <c r="AH135" s="208"/>
      <c r="AI135" s="208"/>
      <c r="AJ135" s="208"/>
      <c r="AK135" s="208"/>
      <c r="AL135" s="208"/>
      <c r="AM135" s="208"/>
      <c r="AN135" s="208"/>
      <c r="AO135" s="208"/>
      <c r="AP135" s="208"/>
      <c r="AQ135" s="208"/>
      <c r="AR135" s="208"/>
      <c r="AS135" s="208"/>
      <c r="AT135" s="208"/>
      <c r="AU135" s="208"/>
      <c r="AV135" s="208"/>
      <c r="AW135" s="208"/>
      <c r="AX135" s="208"/>
    </row>
    <row r="136" spans="1:50" ht="15" customHeight="1" x14ac:dyDescent="0.25">
      <c r="A136" s="86"/>
      <c r="B136" s="205"/>
      <c r="C136" s="88"/>
      <c r="D136" s="162"/>
      <c r="E136" s="55" t="str">
        <f t="shared" ref="E136:AX136" si="51" xml:space="preserve"> E$65</f>
        <v>Oil price realized from sales</v>
      </c>
      <c r="F136" s="55">
        <f t="shared" si="51"/>
        <v>0</v>
      </c>
      <c r="G136" s="55" t="str">
        <f t="shared" si="51"/>
        <v>US$ 2021 / bbl</v>
      </c>
      <c r="H136" s="55">
        <f t="shared" si="51"/>
        <v>0</v>
      </c>
      <c r="I136" s="55">
        <f t="shared" si="51"/>
        <v>0</v>
      </c>
      <c r="J136" s="55">
        <f t="shared" si="51"/>
        <v>0</v>
      </c>
      <c r="K136" s="55">
        <f t="shared" si="51"/>
        <v>55</v>
      </c>
      <c r="L136" s="55">
        <f t="shared" si="51"/>
        <v>55</v>
      </c>
      <c r="M136" s="55">
        <f t="shared" si="51"/>
        <v>55</v>
      </c>
      <c r="N136" s="55">
        <f t="shared" si="51"/>
        <v>55</v>
      </c>
      <c r="O136" s="55">
        <f t="shared" si="51"/>
        <v>55</v>
      </c>
      <c r="P136" s="55">
        <f t="shared" si="51"/>
        <v>55</v>
      </c>
      <c r="Q136" s="55">
        <f t="shared" si="51"/>
        <v>55</v>
      </c>
      <c r="R136" s="55">
        <f t="shared" si="51"/>
        <v>55</v>
      </c>
      <c r="S136" s="55">
        <f t="shared" si="51"/>
        <v>55</v>
      </c>
      <c r="T136" s="55">
        <f t="shared" si="51"/>
        <v>55</v>
      </c>
      <c r="U136" s="55">
        <f t="shared" si="51"/>
        <v>55</v>
      </c>
      <c r="V136" s="55">
        <f t="shared" si="51"/>
        <v>55</v>
      </c>
      <c r="W136" s="55">
        <f t="shared" si="51"/>
        <v>55</v>
      </c>
      <c r="X136" s="55">
        <f t="shared" si="51"/>
        <v>55</v>
      </c>
      <c r="Y136" s="55">
        <f t="shared" si="51"/>
        <v>55</v>
      </c>
      <c r="Z136" s="55">
        <f t="shared" si="51"/>
        <v>55</v>
      </c>
      <c r="AA136" s="55">
        <f t="shared" si="51"/>
        <v>55</v>
      </c>
      <c r="AB136" s="55">
        <f t="shared" si="51"/>
        <v>55</v>
      </c>
      <c r="AC136" s="55">
        <f t="shared" si="51"/>
        <v>55</v>
      </c>
      <c r="AD136" s="55">
        <f t="shared" si="51"/>
        <v>55</v>
      </c>
      <c r="AE136" s="55">
        <f t="shared" si="51"/>
        <v>55</v>
      </c>
      <c r="AF136" s="55">
        <f t="shared" si="51"/>
        <v>55</v>
      </c>
      <c r="AG136" s="55">
        <f t="shared" si="51"/>
        <v>55</v>
      </c>
      <c r="AH136" s="55">
        <f t="shared" si="51"/>
        <v>55</v>
      </c>
      <c r="AI136" s="55">
        <f t="shared" si="51"/>
        <v>55</v>
      </c>
      <c r="AJ136" s="55">
        <f t="shared" si="51"/>
        <v>55</v>
      </c>
      <c r="AK136" s="55">
        <f t="shared" si="51"/>
        <v>55</v>
      </c>
      <c r="AL136" s="55">
        <f t="shared" si="51"/>
        <v>55</v>
      </c>
      <c r="AM136" s="55">
        <f t="shared" si="51"/>
        <v>55</v>
      </c>
      <c r="AN136" s="55">
        <f t="shared" si="51"/>
        <v>55</v>
      </c>
      <c r="AO136" s="55">
        <f t="shared" si="51"/>
        <v>55</v>
      </c>
      <c r="AP136" s="55">
        <f t="shared" si="51"/>
        <v>55</v>
      </c>
      <c r="AQ136" s="55">
        <f t="shared" si="51"/>
        <v>55</v>
      </c>
      <c r="AR136" s="55">
        <f t="shared" si="51"/>
        <v>55</v>
      </c>
      <c r="AS136" s="55">
        <f t="shared" si="51"/>
        <v>55</v>
      </c>
      <c r="AT136" s="55">
        <f t="shared" si="51"/>
        <v>55</v>
      </c>
      <c r="AU136" s="55">
        <f t="shared" si="51"/>
        <v>55</v>
      </c>
      <c r="AV136" s="55">
        <f t="shared" si="51"/>
        <v>55</v>
      </c>
      <c r="AW136" s="55">
        <f t="shared" si="51"/>
        <v>55</v>
      </c>
      <c r="AX136" s="55">
        <f t="shared" si="51"/>
        <v>55</v>
      </c>
    </row>
    <row r="137" spans="1:50" ht="15" customHeight="1" x14ac:dyDescent="0.25">
      <c r="A137" s="86"/>
      <c r="B137" s="205"/>
      <c r="C137" s="88"/>
      <c r="D137" s="162"/>
      <c r="E137" s="55"/>
      <c r="F137" s="55"/>
      <c r="G137" s="55"/>
      <c r="H137" s="55"/>
      <c r="I137" s="55"/>
      <c r="J137" s="55"/>
      <c r="K137" s="55"/>
      <c r="L137" s="55"/>
      <c r="M137" s="55"/>
      <c r="N137" s="55"/>
      <c r="O137" s="55"/>
      <c r="P137" s="55"/>
      <c r="Q137" s="55"/>
      <c r="R137" s="55"/>
      <c r="S137" s="55"/>
      <c r="T137" s="55"/>
      <c r="U137" s="55"/>
      <c r="V137" s="55"/>
      <c r="W137" s="55"/>
      <c r="X137" s="55"/>
      <c r="Y137" s="55"/>
      <c r="Z137" s="55"/>
      <c r="AA137" s="55"/>
      <c r="AB137" s="55"/>
      <c r="AC137" s="55"/>
      <c r="AD137" s="55"/>
      <c r="AE137" s="55"/>
      <c r="AF137" s="55"/>
      <c r="AG137" s="55"/>
      <c r="AH137" s="55"/>
      <c r="AI137" s="55"/>
      <c r="AJ137" s="55"/>
      <c r="AK137" s="55"/>
      <c r="AL137" s="55"/>
      <c r="AM137" s="55"/>
      <c r="AN137" s="55"/>
      <c r="AO137" s="55"/>
      <c r="AP137" s="55"/>
      <c r="AQ137" s="55"/>
      <c r="AR137" s="55"/>
      <c r="AS137" s="55"/>
      <c r="AT137" s="55"/>
      <c r="AU137" s="55"/>
      <c r="AV137" s="55"/>
      <c r="AW137" s="55"/>
      <c r="AX137" s="55"/>
    </row>
    <row r="138" spans="1:50" ht="15" customHeight="1" x14ac:dyDescent="0.25">
      <c r="A138" s="86"/>
      <c r="B138" s="175"/>
      <c r="C138" s="88"/>
      <c r="D138" s="162"/>
      <c r="E138" s="55" t="str">
        <f t="shared" ref="E138:AX138" si="52" xml:space="preserve"> E$70</f>
        <v>Oil revenues gross</v>
      </c>
      <c r="F138" s="55">
        <f t="shared" si="52"/>
        <v>0</v>
      </c>
      <c r="G138" s="55" t="str">
        <f t="shared" si="52"/>
        <v>US$ mn 2021</v>
      </c>
      <c r="H138" s="55">
        <f t="shared" si="52"/>
        <v>0</v>
      </c>
      <c r="I138" s="55">
        <f t="shared" ca="1" si="52"/>
        <v>44103.023863224538</v>
      </c>
      <c r="J138" s="55">
        <f t="shared" si="52"/>
        <v>0</v>
      </c>
      <c r="K138" s="55">
        <f t="shared" ca="1" si="52"/>
        <v>0</v>
      </c>
      <c r="L138" s="55">
        <f t="shared" ca="1" si="52"/>
        <v>0</v>
      </c>
      <c r="M138" s="55">
        <f t="shared" ca="1" si="52"/>
        <v>0</v>
      </c>
      <c r="N138" s="55">
        <f t="shared" ca="1" si="52"/>
        <v>0</v>
      </c>
      <c r="O138" s="55">
        <f t="shared" ca="1" si="52"/>
        <v>191.65835816431044</v>
      </c>
      <c r="P138" s="55">
        <f t="shared" ca="1" si="52"/>
        <v>1505.625</v>
      </c>
      <c r="Q138" s="55">
        <f t="shared" ca="1" si="52"/>
        <v>3011.25</v>
      </c>
      <c r="R138" s="55">
        <f t="shared" ca="1" si="52"/>
        <v>3011.25</v>
      </c>
      <c r="S138" s="55">
        <f t="shared" ca="1" si="52"/>
        <v>3011.25</v>
      </c>
      <c r="T138" s="55">
        <f t="shared" ca="1" si="52"/>
        <v>3011.25</v>
      </c>
      <c r="U138" s="55">
        <f t="shared" ca="1" si="52"/>
        <v>3011.25</v>
      </c>
      <c r="V138" s="55">
        <f t="shared" ca="1" si="52"/>
        <v>3011.25</v>
      </c>
      <c r="W138" s="55">
        <f t="shared" ca="1" si="52"/>
        <v>3011.25</v>
      </c>
      <c r="X138" s="55">
        <f t="shared" ca="1" si="52"/>
        <v>3011.25</v>
      </c>
      <c r="Y138" s="55">
        <f t="shared" ca="1" si="52"/>
        <v>3011.25</v>
      </c>
      <c r="Z138" s="55">
        <f t="shared" ca="1" si="52"/>
        <v>3011.25</v>
      </c>
      <c r="AA138" s="55">
        <f t="shared" ca="1" si="52"/>
        <v>2439.1125000000006</v>
      </c>
      <c r="AB138" s="55">
        <f t="shared" ca="1" si="52"/>
        <v>1975.6811250000005</v>
      </c>
      <c r="AC138" s="55">
        <f t="shared" ca="1" si="52"/>
        <v>1600.3017112500004</v>
      </c>
      <c r="AD138" s="55">
        <f t="shared" ca="1" si="52"/>
        <v>1296.2443861125007</v>
      </c>
      <c r="AE138" s="55">
        <f t="shared" ca="1" si="52"/>
        <v>1049.9579527511255</v>
      </c>
      <c r="AF138" s="55">
        <f t="shared" ca="1" si="52"/>
        <v>850.46594172841174</v>
      </c>
      <c r="AG138" s="55">
        <f t="shared" ca="1" si="52"/>
        <v>688.87741280001364</v>
      </c>
      <c r="AH138" s="55">
        <f t="shared" ca="1" si="52"/>
        <v>557.99070436801105</v>
      </c>
      <c r="AI138" s="55">
        <f t="shared" ca="1" si="52"/>
        <v>451.972470538089</v>
      </c>
      <c r="AJ138" s="55">
        <f t="shared" ca="1" si="52"/>
        <v>366.09770113585205</v>
      </c>
      <c r="AK138" s="55">
        <f t="shared" ca="1" si="52"/>
        <v>296.53913792004022</v>
      </c>
      <c r="AL138" s="55">
        <f t="shared" ca="1" si="52"/>
        <v>240.19670171523254</v>
      </c>
      <c r="AM138" s="55">
        <f t="shared" ca="1" si="52"/>
        <v>194.55932838933836</v>
      </c>
      <c r="AN138" s="55">
        <f t="shared" ca="1" si="52"/>
        <v>157.59305599536407</v>
      </c>
      <c r="AO138" s="55">
        <f t="shared" ca="1" si="52"/>
        <v>127.65037535624494</v>
      </c>
      <c r="AP138" s="55">
        <f t="shared" ca="1" si="52"/>
        <v>0</v>
      </c>
      <c r="AQ138" s="55">
        <f t="shared" ca="1" si="52"/>
        <v>0</v>
      </c>
      <c r="AR138" s="55">
        <f t="shared" ca="1" si="52"/>
        <v>0</v>
      </c>
      <c r="AS138" s="55">
        <f t="shared" ca="1" si="52"/>
        <v>0</v>
      </c>
      <c r="AT138" s="55">
        <f t="shared" ca="1" si="52"/>
        <v>0</v>
      </c>
      <c r="AU138" s="55">
        <f t="shared" ca="1" si="52"/>
        <v>0</v>
      </c>
      <c r="AV138" s="55">
        <f t="shared" ca="1" si="52"/>
        <v>0</v>
      </c>
      <c r="AW138" s="55">
        <f t="shared" ca="1" si="52"/>
        <v>0</v>
      </c>
      <c r="AX138" s="55">
        <f t="shared" ca="1" si="52"/>
        <v>0</v>
      </c>
    </row>
    <row r="139" spans="1:50" ht="15" customHeight="1" x14ac:dyDescent="0.25">
      <c r="A139" s="86"/>
      <c r="B139" s="175"/>
      <c r="C139" s="88"/>
      <c r="D139" s="162"/>
      <c r="E139" s="55" t="str">
        <f t="shared" ref="E139:AX139" si="53" xml:space="preserve"> E$71</f>
        <v>Transport costs post-fiscal point</v>
      </c>
      <c r="F139" s="55">
        <f t="shared" si="53"/>
        <v>0</v>
      </c>
      <c r="G139" s="55" t="str">
        <f t="shared" si="53"/>
        <v>US$ mn 2021</v>
      </c>
      <c r="H139" s="55">
        <f t="shared" si="53"/>
        <v>0</v>
      </c>
      <c r="I139" s="55">
        <f t="shared" ca="1" si="53"/>
        <v>0</v>
      </c>
      <c r="J139" s="55">
        <f t="shared" si="53"/>
        <v>0</v>
      </c>
      <c r="K139" s="55">
        <f t="shared" ca="1" si="53"/>
        <v>0</v>
      </c>
      <c r="L139" s="55">
        <f t="shared" ca="1" si="53"/>
        <v>0</v>
      </c>
      <c r="M139" s="55">
        <f t="shared" ca="1" si="53"/>
        <v>0</v>
      </c>
      <c r="N139" s="55">
        <f t="shared" ca="1" si="53"/>
        <v>0</v>
      </c>
      <c r="O139" s="55">
        <f t="shared" ca="1" si="53"/>
        <v>0</v>
      </c>
      <c r="P139" s="55">
        <f t="shared" ca="1" si="53"/>
        <v>0</v>
      </c>
      <c r="Q139" s="55">
        <f t="shared" ca="1" si="53"/>
        <v>0</v>
      </c>
      <c r="R139" s="55">
        <f t="shared" ca="1" si="53"/>
        <v>0</v>
      </c>
      <c r="S139" s="55">
        <f t="shared" ca="1" si="53"/>
        <v>0</v>
      </c>
      <c r="T139" s="55">
        <f t="shared" ca="1" si="53"/>
        <v>0</v>
      </c>
      <c r="U139" s="55">
        <f t="shared" ca="1" si="53"/>
        <v>0</v>
      </c>
      <c r="V139" s="55">
        <f t="shared" ca="1" si="53"/>
        <v>0</v>
      </c>
      <c r="W139" s="55">
        <f t="shared" ca="1" si="53"/>
        <v>0</v>
      </c>
      <c r="X139" s="55">
        <f t="shared" ca="1" si="53"/>
        <v>0</v>
      </c>
      <c r="Y139" s="55">
        <f t="shared" ca="1" si="53"/>
        <v>0</v>
      </c>
      <c r="Z139" s="55">
        <f t="shared" ca="1" si="53"/>
        <v>0</v>
      </c>
      <c r="AA139" s="55">
        <f t="shared" ca="1" si="53"/>
        <v>0</v>
      </c>
      <c r="AB139" s="55">
        <f t="shared" ca="1" si="53"/>
        <v>0</v>
      </c>
      <c r="AC139" s="55">
        <f t="shared" ca="1" si="53"/>
        <v>0</v>
      </c>
      <c r="AD139" s="55">
        <f t="shared" ca="1" si="53"/>
        <v>0</v>
      </c>
      <c r="AE139" s="55">
        <f t="shared" ca="1" si="53"/>
        <v>0</v>
      </c>
      <c r="AF139" s="55">
        <f t="shared" ca="1" si="53"/>
        <v>0</v>
      </c>
      <c r="AG139" s="55">
        <f t="shared" ca="1" si="53"/>
        <v>0</v>
      </c>
      <c r="AH139" s="55">
        <f t="shared" ca="1" si="53"/>
        <v>0</v>
      </c>
      <c r="AI139" s="55">
        <f t="shared" ca="1" si="53"/>
        <v>0</v>
      </c>
      <c r="AJ139" s="55">
        <f t="shared" ca="1" si="53"/>
        <v>0</v>
      </c>
      <c r="AK139" s="55">
        <f t="shared" ca="1" si="53"/>
        <v>0</v>
      </c>
      <c r="AL139" s="55">
        <f t="shared" ca="1" si="53"/>
        <v>0</v>
      </c>
      <c r="AM139" s="55">
        <f t="shared" ca="1" si="53"/>
        <v>0</v>
      </c>
      <c r="AN139" s="55">
        <f t="shared" ca="1" si="53"/>
        <v>0</v>
      </c>
      <c r="AO139" s="55">
        <f t="shared" ca="1" si="53"/>
        <v>0</v>
      </c>
      <c r="AP139" s="55">
        <f t="shared" ca="1" si="53"/>
        <v>0</v>
      </c>
      <c r="AQ139" s="55">
        <f t="shared" ca="1" si="53"/>
        <v>0</v>
      </c>
      <c r="AR139" s="55">
        <f t="shared" ca="1" si="53"/>
        <v>0</v>
      </c>
      <c r="AS139" s="55">
        <f t="shared" ca="1" si="53"/>
        <v>0</v>
      </c>
      <c r="AT139" s="55">
        <f t="shared" ca="1" si="53"/>
        <v>0</v>
      </c>
      <c r="AU139" s="55">
        <f t="shared" ca="1" si="53"/>
        <v>0</v>
      </c>
      <c r="AV139" s="55">
        <f t="shared" ca="1" si="53"/>
        <v>0</v>
      </c>
      <c r="AW139" s="55">
        <f t="shared" ca="1" si="53"/>
        <v>0</v>
      </c>
      <c r="AX139" s="55">
        <f t="shared" ca="1" si="53"/>
        <v>0</v>
      </c>
    </row>
    <row r="140" spans="1:50" s="257" customFormat="1" ht="15" customHeight="1" x14ac:dyDescent="0.25">
      <c r="A140" s="85"/>
      <c r="B140" s="212"/>
      <c r="C140" s="84"/>
      <c r="D140" s="213"/>
      <c r="E140" s="190" t="str">
        <f t="shared" ref="E140:AX140" si="54" xml:space="preserve"> E$72</f>
        <v>Oil revenues net</v>
      </c>
      <c r="F140" s="190">
        <f t="shared" si="54"/>
        <v>0</v>
      </c>
      <c r="G140" s="190" t="str">
        <f t="shared" si="54"/>
        <v>US$ mn 2021</v>
      </c>
      <c r="H140" s="190">
        <f t="shared" si="54"/>
        <v>0</v>
      </c>
      <c r="I140" s="190">
        <f t="shared" ca="1" si="54"/>
        <v>44103.023863224538</v>
      </c>
      <c r="J140" s="190">
        <f t="shared" si="54"/>
        <v>0</v>
      </c>
      <c r="K140" s="190">
        <f t="shared" ca="1" si="54"/>
        <v>0</v>
      </c>
      <c r="L140" s="190">
        <f t="shared" ca="1" si="54"/>
        <v>0</v>
      </c>
      <c r="M140" s="190">
        <f t="shared" ca="1" si="54"/>
        <v>0</v>
      </c>
      <c r="N140" s="190">
        <f t="shared" ca="1" si="54"/>
        <v>0</v>
      </c>
      <c r="O140" s="190">
        <f t="shared" ca="1" si="54"/>
        <v>191.65835816431044</v>
      </c>
      <c r="P140" s="190">
        <f t="shared" ca="1" si="54"/>
        <v>1505.625</v>
      </c>
      <c r="Q140" s="190">
        <f t="shared" ca="1" si="54"/>
        <v>3011.25</v>
      </c>
      <c r="R140" s="190">
        <f t="shared" ca="1" si="54"/>
        <v>3011.25</v>
      </c>
      <c r="S140" s="190">
        <f t="shared" ca="1" si="54"/>
        <v>3011.25</v>
      </c>
      <c r="T140" s="190">
        <f t="shared" ca="1" si="54"/>
        <v>3011.25</v>
      </c>
      <c r="U140" s="190">
        <f t="shared" ca="1" si="54"/>
        <v>3011.25</v>
      </c>
      <c r="V140" s="190">
        <f t="shared" ca="1" si="54"/>
        <v>3011.25</v>
      </c>
      <c r="W140" s="190">
        <f t="shared" ca="1" si="54"/>
        <v>3011.25</v>
      </c>
      <c r="X140" s="190">
        <f t="shared" ca="1" si="54"/>
        <v>3011.25</v>
      </c>
      <c r="Y140" s="190">
        <f t="shared" ca="1" si="54"/>
        <v>3011.25</v>
      </c>
      <c r="Z140" s="190">
        <f t="shared" ca="1" si="54"/>
        <v>3011.25</v>
      </c>
      <c r="AA140" s="190">
        <f t="shared" ca="1" si="54"/>
        <v>2439.1125000000006</v>
      </c>
      <c r="AB140" s="190">
        <f t="shared" ca="1" si="54"/>
        <v>1975.6811250000005</v>
      </c>
      <c r="AC140" s="190">
        <f t="shared" ca="1" si="54"/>
        <v>1600.3017112500004</v>
      </c>
      <c r="AD140" s="190">
        <f t="shared" ca="1" si="54"/>
        <v>1296.2443861125007</v>
      </c>
      <c r="AE140" s="190">
        <f t="shared" ca="1" si="54"/>
        <v>1049.9579527511255</v>
      </c>
      <c r="AF140" s="190">
        <f t="shared" ca="1" si="54"/>
        <v>850.46594172841174</v>
      </c>
      <c r="AG140" s="190">
        <f t="shared" ca="1" si="54"/>
        <v>688.87741280001364</v>
      </c>
      <c r="AH140" s="190">
        <f t="shared" ca="1" si="54"/>
        <v>557.99070436801105</v>
      </c>
      <c r="AI140" s="190">
        <f t="shared" ca="1" si="54"/>
        <v>451.972470538089</v>
      </c>
      <c r="AJ140" s="190">
        <f t="shared" ca="1" si="54"/>
        <v>366.09770113585205</v>
      </c>
      <c r="AK140" s="190">
        <f t="shared" ca="1" si="54"/>
        <v>296.53913792004022</v>
      </c>
      <c r="AL140" s="190">
        <f t="shared" ca="1" si="54"/>
        <v>240.19670171523254</v>
      </c>
      <c r="AM140" s="190">
        <f t="shared" ca="1" si="54"/>
        <v>194.55932838933836</v>
      </c>
      <c r="AN140" s="190">
        <f t="shared" ca="1" si="54"/>
        <v>157.59305599536407</v>
      </c>
      <c r="AO140" s="190">
        <f t="shared" ca="1" si="54"/>
        <v>127.65037535624494</v>
      </c>
      <c r="AP140" s="190">
        <f t="shared" ca="1" si="54"/>
        <v>0</v>
      </c>
      <c r="AQ140" s="190">
        <f t="shared" ca="1" si="54"/>
        <v>0</v>
      </c>
      <c r="AR140" s="190">
        <f t="shared" ca="1" si="54"/>
        <v>0</v>
      </c>
      <c r="AS140" s="190">
        <f t="shared" ca="1" si="54"/>
        <v>0</v>
      </c>
      <c r="AT140" s="190">
        <f t="shared" ca="1" si="54"/>
        <v>0</v>
      </c>
      <c r="AU140" s="190">
        <f t="shared" ca="1" si="54"/>
        <v>0</v>
      </c>
      <c r="AV140" s="190">
        <f t="shared" ca="1" si="54"/>
        <v>0</v>
      </c>
      <c r="AW140" s="190">
        <f t="shared" ca="1" si="54"/>
        <v>0</v>
      </c>
      <c r="AX140" s="190">
        <f t="shared" ca="1" si="54"/>
        <v>0</v>
      </c>
    </row>
    <row r="141" spans="1:50" ht="15" customHeight="1" x14ac:dyDescent="0.25">
      <c r="A141" s="86"/>
      <c r="B141" s="175"/>
      <c r="C141" s="88"/>
      <c r="D141" s="162"/>
      <c r="E141" s="55"/>
      <c r="F141" s="55"/>
      <c r="G141" s="55"/>
      <c r="H141" s="55"/>
      <c r="I141" s="55"/>
      <c r="J141" s="55"/>
      <c r="K141" s="55"/>
      <c r="L141" s="55"/>
      <c r="M141" s="55"/>
      <c r="N141" s="55"/>
      <c r="O141" s="55"/>
      <c r="P141" s="55"/>
      <c r="Q141" s="55"/>
      <c r="R141" s="55"/>
      <c r="S141" s="55"/>
      <c r="T141" s="55"/>
      <c r="U141" s="55"/>
      <c r="V141" s="55"/>
      <c r="W141" s="55"/>
      <c r="X141" s="55"/>
      <c r="Y141" s="55"/>
      <c r="Z141" s="55"/>
      <c r="AA141" s="55"/>
      <c r="AB141" s="55"/>
      <c r="AC141" s="55"/>
      <c r="AD141" s="55"/>
      <c r="AE141" s="55"/>
      <c r="AF141" s="55"/>
      <c r="AG141" s="55"/>
      <c r="AH141" s="55"/>
      <c r="AI141" s="55"/>
      <c r="AJ141" s="55"/>
      <c r="AK141" s="55"/>
      <c r="AL141" s="55"/>
      <c r="AM141" s="55"/>
      <c r="AN141" s="55"/>
      <c r="AO141" s="55"/>
      <c r="AP141" s="55"/>
      <c r="AQ141" s="55"/>
      <c r="AR141" s="55"/>
      <c r="AS141" s="55"/>
      <c r="AT141" s="55"/>
      <c r="AU141" s="55"/>
      <c r="AV141" s="55"/>
      <c r="AW141" s="55"/>
      <c r="AX141" s="55"/>
    </row>
    <row r="142" spans="1:50" ht="15" customHeight="1" x14ac:dyDescent="0.25">
      <c r="A142" s="86"/>
      <c r="B142" s="175"/>
      <c r="C142" s="88"/>
      <c r="D142" s="162"/>
      <c r="E142" s="55" t="str">
        <f t="shared" ref="E142:AX142" si="55" xml:space="preserve"> E$75</f>
        <v>Exploration costs</v>
      </c>
      <c r="F142" s="55">
        <f t="shared" si="55"/>
        <v>0</v>
      </c>
      <c r="G142" s="55" t="str">
        <f t="shared" si="55"/>
        <v>US$ mn 2021</v>
      </c>
      <c r="H142" s="55">
        <f t="shared" si="55"/>
        <v>0</v>
      </c>
      <c r="I142" s="55">
        <f t="shared" ca="1" si="55"/>
        <v>420</v>
      </c>
      <c r="J142" s="55">
        <f t="shared" si="55"/>
        <v>0</v>
      </c>
      <c r="K142" s="55">
        <f t="shared" ca="1" si="55"/>
        <v>420</v>
      </c>
      <c r="L142" s="55">
        <f t="shared" ca="1" si="55"/>
        <v>0</v>
      </c>
      <c r="M142" s="55">
        <f t="shared" ca="1" si="55"/>
        <v>0</v>
      </c>
      <c r="N142" s="55">
        <f t="shared" ca="1" si="55"/>
        <v>0</v>
      </c>
      <c r="O142" s="55">
        <f t="shared" ca="1" si="55"/>
        <v>0</v>
      </c>
      <c r="P142" s="55">
        <f t="shared" ca="1" si="55"/>
        <v>0</v>
      </c>
      <c r="Q142" s="55">
        <f t="shared" ca="1" si="55"/>
        <v>0</v>
      </c>
      <c r="R142" s="55">
        <f t="shared" ca="1" si="55"/>
        <v>0</v>
      </c>
      <c r="S142" s="55">
        <f t="shared" ca="1" si="55"/>
        <v>0</v>
      </c>
      <c r="T142" s="55">
        <f t="shared" ca="1" si="55"/>
        <v>0</v>
      </c>
      <c r="U142" s="55">
        <f t="shared" ca="1" si="55"/>
        <v>0</v>
      </c>
      <c r="V142" s="55">
        <f t="shared" ca="1" si="55"/>
        <v>0</v>
      </c>
      <c r="W142" s="55">
        <f t="shared" ca="1" si="55"/>
        <v>0</v>
      </c>
      <c r="X142" s="55">
        <f t="shared" ca="1" si="55"/>
        <v>0</v>
      </c>
      <c r="Y142" s="55">
        <f t="shared" ca="1" si="55"/>
        <v>0</v>
      </c>
      <c r="Z142" s="55">
        <f t="shared" ca="1" si="55"/>
        <v>0</v>
      </c>
      <c r="AA142" s="55">
        <f t="shared" ca="1" si="55"/>
        <v>0</v>
      </c>
      <c r="AB142" s="55">
        <f t="shared" ca="1" si="55"/>
        <v>0</v>
      </c>
      <c r="AC142" s="55">
        <f t="shared" ca="1" si="55"/>
        <v>0</v>
      </c>
      <c r="AD142" s="55">
        <f t="shared" ca="1" si="55"/>
        <v>0</v>
      </c>
      <c r="AE142" s="55">
        <f t="shared" ca="1" si="55"/>
        <v>0</v>
      </c>
      <c r="AF142" s="55">
        <f t="shared" ca="1" si="55"/>
        <v>0</v>
      </c>
      <c r="AG142" s="55">
        <f t="shared" ca="1" si="55"/>
        <v>0</v>
      </c>
      <c r="AH142" s="55">
        <f t="shared" ca="1" si="55"/>
        <v>0</v>
      </c>
      <c r="AI142" s="55">
        <f t="shared" ca="1" si="55"/>
        <v>0</v>
      </c>
      <c r="AJ142" s="55">
        <f t="shared" ca="1" si="55"/>
        <v>0</v>
      </c>
      <c r="AK142" s="55">
        <f t="shared" ca="1" si="55"/>
        <v>0</v>
      </c>
      <c r="AL142" s="55">
        <f t="shared" ca="1" si="55"/>
        <v>0</v>
      </c>
      <c r="AM142" s="55">
        <f t="shared" ca="1" si="55"/>
        <v>0</v>
      </c>
      <c r="AN142" s="55">
        <f t="shared" ca="1" si="55"/>
        <v>0</v>
      </c>
      <c r="AO142" s="55">
        <f t="shared" ca="1" si="55"/>
        <v>0</v>
      </c>
      <c r="AP142" s="55">
        <f t="shared" ca="1" si="55"/>
        <v>0</v>
      </c>
      <c r="AQ142" s="55">
        <f t="shared" ca="1" si="55"/>
        <v>0</v>
      </c>
      <c r="AR142" s="55">
        <f t="shared" ca="1" si="55"/>
        <v>0</v>
      </c>
      <c r="AS142" s="55">
        <f t="shared" ca="1" si="55"/>
        <v>0</v>
      </c>
      <c r="AT142" s="55">
        <f t="shared" ca="1" si="55"/>
        <v>0</v>
      </c>
      <c r="AU142" s="55">
        <f t="shared" ca="1" si="55"/>
        <v>0</v>
      </c>
      <c r="AV142" s="55">
        <f t="shared" ca="1" si="55"/>
        <v>0</v>
      </c>
      <c r="AW142" s="55">
        <f t="shared" ca="1" si="55"/>
        <v>0</v>
      </c>
      <c r="AX142" s="55">
        <f t="shared" ca="1" si="55"/>
        <v>0</v>
      </c>
    </row>
    <row r="143" spans="1:50" ht="15" customHeight="1" x14ac:dyDescent="0.25">
      <c r="A143" s="86"/>
      <c r="B143" s="175"/>
      <c r="C143" s="88"/>
      <c r="D143" s="162"/>
      <c r="E143" s="55" t="str">
        <f t="shared" ref="E143:AX143" si="56" xml:space="preserve"> E$76</f>
        <v>Development costs</v>
      </c>
      <c r="F143" s="55">
        <f t="shared" si="56"/>
        <v>0</v>
      </c>
      <c r="G143" s="55" t="str">
        <f t="shared" si="56"/>
        <v>US$ mn 2021</v>
      </c>
      <c r="H143" s="55">
        <f t="shared" si="56"/>
        <v>0</v>
      </c>
      <c r="I143" s="55">
        <f t="shared" ca="1" si="56"/>
        <v>9050</v>
      </c>
      <c r="J143" s="55">
        <f t="shared" si="56"/>
        <v>0</v>
      </c>
      <c r="K143" s="55">
        <f t="shared" ca="1" si="56"/>
        <v>0</v>
      </c>
      <c r="L143" s="55">
        <f t="shared" ca="1" si="56"/>
        <v>50</v>
      </c>
      <c r="M143" s="55">
        <f t="shared" ca="1" si="56"/>
        <v>300</v>
      </c>
      <c r="N143" s="55">
        <f t="shared" ca="1" si="56"/>
        <v>1200</v>
      </c>
      <c r="O143" s="55">
        <f t="shared" ca="1" si="56"/>
        <v>1200</v>
      </c>
      <c r="P143" s="55">
        <f t="shared" ca="1" si="56"/>
        <v>2100</v>
      </c>
      <c r="Q143" s="55">
        <f t="shared" ca="1" si="56"/>
        <v>1100</v>
      </c>
      <c r="R143" s="55">
        <f t="shared" ca="1" si="56"/>
        <v>450</v>
      </c>
      <c r="S143" s="55">
        <f t="shared" ca="1" si="56"/>
        <v>250</v>
      </c>
      <c r="T143" s="55">
        <f t="shared" ca="1" si="56"/>
        <v>250</v>
      </c>
      <c r="U143" s="55">
        <f t="shared" ca="1" si="56"/>
        <v>250</v>
      </c>
      <c r="V143" s="55">
        <f t="shared" ca="1" si="56"/>
        <v>250</v>
      </c>
      <c r="W143" s="55">
        <f t="shared" ca="1" si="56"/>
        <v>250</v>
      </c>
      <c r="X143" s="55">
        <f t="shared" ca="1" si="56"/>
        <v>250</v>
      </c>
      <c r="Y143" s="55">
        <f t="shared" ca="1" si="56"/>
        <v>250</v>
      </c>
      <c r="Z143" s="55">
        <f t="shared" ca="1" si="56"/>
        <v>250</v>
      </c>
      <c r="AA143" s="55">
        <f t="shared" ca="1" si="56"/>
        <v>250</v>
      </c>
      <c r="AB143" s="55">
        <f t="shared" ca="1" si="56"/>
        <v>0</v>
      </c>
      <c r="AC143" s="55">
        <f t="shared" ca="1" si="56"/>
        <v>0</v>
      </c>
      <c r="AD143" s="55">
        <f t="shared" ca="1" si="56"/>
        <v>200</v>
      </c>
      <c r="AE143" s="55">
        <f t="shared" ca="1" si="56"/>
        <v>200</v>
      </c>
      <c r="AF143" s="55">
        <f t="shared" ca="1" si="56"/>
        <v>0</v>
      </c>
      <c r="AG143" s="55">
        <f t="shared" ca="1" si="56"/>
        <v>0</v>
      </c>
      <c r="AH143" s="55">
        <f t="shared" ca="1" si="56"/>
        <v>0</v>
      </c>
      <c r="AI143" s="55">
        <f t="shared" ca="1" si="56"/>
        <v>0</v>
      </c>
      <c r="AJ143" s="55">
        <f t="shared" ca="1" si="56"/>
        <v>0</v>
      </c>
      <c r="AK143" s="55">
        <f t="shared" ca="1" si="56"/>
        <v>0</v>
      </c>
      <c r="AL143" s="55">
        <f t="shared" ca="1" si="56"/>
        <v>0</v>
      </c>
      <c r="AM143" s="55">
        <f t="shared" ca="1" si="56"/>
        <v>0</v>
      </c>
      <c r="AN143" s="55">
        <f t="shared" ca="1" si="56"/>
        <v>0</v>
      </c>
      <c r="AO143" s="55">
        <f t="shared" ca="1" si="56"/>
        <v>0</v>
      </c>
      <c r="AP143" s="55">
        <f t="shared" ca="1" si="56"/>
        <v>0</v>
      </c>
      <c r="AQ143" s="55">
        <f t="shared" ca="1" si="56"/>
        <v>0</v>
      </c>
      <c r="AR143" s="55">
        <f t="shared" ca="1" si="56"/>
        <v>0</v>
      </c>
      <c r="AS143" s="55">
        <f t="shared" ca="1" si="56"/>
        <v>0</v>
      </c>
      <c r="AT143" s="55">
        <f t="shared" ca="1" si="56"/>
        <v>0</v>
      </c>
      <c r="AU143" s="55">
        <f t="shared" ca="1" si="56"/>
        <v>0</v>
      </c>
      <c r="AV143" s="55">
        <f t="shared" ca="1" si="56"/>
        <v>0</v>
      </c>
      <c r="AW143" s="55">
        <f t="shared" ca="1" si="56"/>
        <v>0</v>
      </c>
      <c r="AX143" s="55">
        <f t="shared" ca="1" si="56"/>
        <v>0</v>
      </c>
    </row>
    <row r="144" spans="1:50" ht="15" customHeight="1" x14ac:dyDescent="0.25">
      <c r="A144" s="86"/>
      <c r="B144" s="175"/>
      <c r="C144" s="88"/>
      <c r="D144" s="162"/>
      <c r="E144" s="55" t="str">
        <f t="shared" ref="E144:AX144" si="57" xml:space="preserve"> E$77</f>
        <v>Replacement capital costs</v>
      </c>
      <c r="F144" s="55">
        <f t="shared" si="57"/>
        <v>0</v>
      </c>
      <c r="G144" s="55" t="str">
        <f t="shared" si="57"/>
        <v>US$ mn 2021</v>
      </c>
      <c r="H144" s="55">
        <f t="shared" si="57"/>
        <v>0</v>
      </c>
      <c r="I144" s="55">
        <f t="shared" ca="1" si="57"/>
        <v>0</v>
      </c>
      <c r="J144" s="55">
        <f t="shared" si="57"/>
        <v>0</v>
      </c>
      <c r="K144" s="55">
        <f t="shared" ca="1" si="57"/>
        <v>0</v>
      </c>
      <c r="L144" s="55">
        <f t="shared" ca="1" si="57"/>
        <v>0</v>
      </c>
      <c r="M144" s="55">
        <f t="shared" ca="1" si="57"/>
        <v>0</v>
      </c>
      <c r="N144" s="55">
        <f t="shared" ca="1" si="57"/>
        <v>0</v>
      </c>
      <c r="O144" s="55">
        <f t="shared" ca="1" si="57"/>
        <v>0</v>
      </c>
      <c r="P144" s="55">
        <f t="shared" ca="1" si="57"/>
        <v>0</v>
      </c>
      <c r="Q144" s="55">
        <f t="shared" ca="1" si="57"/>
        <v>0</v>
      </c>
      <c r="R144" s="55">
        <f t="shared" ca="1" si="57"/>
        <v>0</v>
      </c>
      <c r="S144" s="55">
        <f t="shared" ca="1" si="57"/>
        <v>0</v>
      </c>
      <c r="T144" s="55">
        <f t="shared" ca="1" si="57"/>
        <v>0</v>
      </c>
      <c r="U144" s="55">
        <f t="shared" ca="1" si="57"/>
        <v>0</v>
      </c>
      <c r="V144" s="55">
        <f t="shared" ca="1" si="57"/>
        <v>0</v>
      </c>
      <c r="W144" s="55">
        <f t="shared" ca="1" si="57"/>
        <v>0</v>
      </c>
      <c r="X144" s="55">
        <f t="shared" ca="1" si="57"/>
        <v>0</v>
      </c>
      <c r="Y144" s="55">
        <f t="shared" ca="1" si="57"/>
        <v>0</v>
      </c>
      <c r="Z144" s="55">
        <f t="shared" ca="1" si="57"/>
        <v>0</v>
      </c>
      <c r="AA144" s="55">
        <f t="shared" ca="1" si="57"/>
        <v>0</v>
      </c>
      <c r="AB144" s="55">
        <f t="shared" ca="1" si="57"/>
        <v>0</v>
      </c>
      <c r="AC144" s="55">
        <f t="shared" ca="1" si="57"/>
        <v>0</v>
      </c>
      <c r="AD144" s="55">
        <f t="shared" ca="1" si="57"/>
        <v>0</v>
      </c>
      <c r="AE144" s="55">
        <f t="shared" ca="1" si="57"/>
        <v>0</v>
      </c>
      <c r="AF144" s="55">
        <f t="shared" ca="1" si="57"/>
        <v>0</v>
      </c>
      <c r="AG144" s="55">
        <f t="shared" ca="1" si="57"/>
        <v>0</v>
      </c>
      <c r="AH144" s="55">
        <f t="shared" ca="1" si="57"/>
        <v>0</v>
      </c>
      <c r="AI144" s="55">
        <f t="shared" ca="1" si="57"/>
        <v>0</v>
      </c>
      <c r="AJ144" s="55">
        <f t="shared" ca="1" si="57"/>
        <v>0</v>
      </c>
      <c r="AK144" s="55">
        <f t="shared" ca="1" si="57"/>
        <v>0</v>
      </c>
      <c r="AL144" s="55">
        <f t="shared" ca="1" si="57"/>
        <v>0</v>
      </c>
      <c r="AM144" s="55">
        <f t="shared" ca="1" si="57"/>
        <v>0</v>
      </c>
      <c r="AN144" s="55">
        <f t="shared" ca="1" si="57"/>
        <v>0</v>
      </c>
      <c r="AO144" s="55">
        <f t="shared" ca="1" si="57"/>
        <v>0</v>
      </c>
      <c r="AP144" s="55">
        <f t="shared" ca="1" si="57"/>
        <v>0</v>
      </c>
      <c r="AQ144" s="55">
        <f t="shared" ca="1" si="57"/>
        <v>0</v>
      </c>
      <c r="AR144" s="55">
        <f t="shared" ca="1" si="57"/>
        <v>0</v>
      </c>
      <c r="AS144" s="55">
        <f t="shared" ca="1" si="57"/>
        <v>0</v>
      </c>
      <c r="AT144" s="55">
        <f t="shared" ca="1" si="57"/>
        <v>0</v>
      </c>
      <c r="AU144" s="55">
        <f t="shared" ca="1" si="57"/>
        <v>0</v>
      </c>
      <c r="AV144" s="55">
        <f t="shared" ca="1" si="57"/>
        <v>0</v>
      </c>
      <c r="AW144" s="55">
        <f t="shared" ca="1" si="57"/>
        <v>0</v>
      </c>
      <c r="AX144" s="55">
        <f t="shared" ca="1" si="57"/>
        <v>0</v>
      </c>
    </row>
    <row r="145" spans="1:50" ht="15" customHeight="1" x14ac:dyDescent="0.25">
      <c r="A145" s="86"/>
      <c r="B145" s="175"/>
      <c r="C145" s="88"/>
      <c r="D145" s="162"/>
      <c r="E145" s="55" t="str">
        <f t="shared" ref="E145:AX145" si="58" xml:space="preserve"> E$78</f>
        <v>Operating costs</v>
      </c>
      <c r="F145" s="55">
        <f t="shared" si="58"/>
        <v>0</v>
      </c>
      <c r="G145" s="55" t="str">
        <f t="shared" si="58"/>
        <v>US$ mn 2021</v>
      </c>
      <c r="H145" s="55">
        <f t="shared" si="58"/>
        <v>0</v>
      </c>
      <c r="I145" s="55">
        <f t="shared" ca="1" si="58"/>
        <v>4601</v>
      </c>
      <c r="J145" s="55">
        <f t="shared" si="58"/>
        <v>0</v>
      </c>
      <c r="K145" s="55">
        <f t="shared" ca="1" si="58"/>
        <v>0</v>
      </c>
      <c r="L145" s="55">
        <f t="shared" ca="1" si="58"/>
        <v>0</v>
      </c>
      <c r="M145" s="55">
        <f t="shared" ca="1" si="58"/>
        <v>0</v>
      </c>
      <c r="N145" s="55">
        <f t="shared" ca="1" si="58"/>
        <v>0</v>
      </c>
      <c r="O145" s="55">
        <f t="shared" ca="1" si="58"/>
        <v>50</v>
      </c>
      <c r="P145" s="55">
        <f t="shared" ca="1" si="58"/>
        <v>180</v>
      </c>
      <c r="Q145" s="55">
        <f t="shared" ca="1" si="58"/>
        <v>260</v>
      </c>
      <c r="R145" s="55">
        <f t="shared" ca="1" si="58"/>
        <v>260</v>
      </c>
      <c r="S145" s="55">
        <f t="shared" ca="1" si="58"/>
        <v>260</v>
      </c>
      <c r="T145" s="55">
        <f t="shared" ca="1" si="58"/>
        <v>260</v>
      </c>
      <c r="U145" s="55">
        <f t="shared" ca="1" si="58"/>
        <v>260</v>
      </c>
      <c r="V145" s="55">
        <f t="shared" ca="1" si="58"/>
        <v>260</v>
      </c>
      <c r="W145" s="55">
        <f t="shared" ca="1" si="58"/>
        <v>260</v>
      </c>
      <c r="X145" s="55">
        <f t="shared" ca="1" si="58"/>
        <v>260</v>
      </c>
      <c r="Y145" s="55">
        <f t="shared" ca="1" si="58"/>
        <v>260</v>
      </c>
      <c r="Z145" s="55">
        <f t="shared" ca="1" si="58"/>
        <v>260</v>
      </c>
      <c r="AA145" s="55">
        <f t="shared" ca="1" si="58"/>
        <v>260</v>
      </c>
      <c r="AB145" s="55">
        <f t="shared" ca="1" si="58"/>
        <v>260</v>
      </c>
      <c r="AC145" s="55">
        <f t="shared" ca="1" si="58"/>
        <v>150</v>
      </c>
      <c r="AD145" s="55">
        <f t="shared" ca="1" si="58"/>
        <v>140</v>
      </c>
      <c r="AE145" s="55">
        <f t="shared" ca="1" si="58"/>
        <v>120</v>
      </c>
      <c r="AF145" s="55">
        <f t="shared" ca="1" si="58"/>
        <v>111</v>
      </c>
      <c r="AG145" s="55">
        <f t="shared" ca="1" si="58"/>
        <v>100</v>
      </c>
      <c r="AH145" s="55">
        <f t="shared" ca="1" si="58"/>
        <v>95</v>
      </c>
      <c r="AI145" s="55">
        <f t="shared" ca="1" si="58"/>
        <v>90</v>
      </c>
      <c r="AJ145" s="55">
        <f t="shared" ca="1" si="58"/>
        <v>85</v>
      </c>
      <c r="AK145" s="55">
        <f t="shared" ca="1" si="58"/>
        <v>80</v>
      </c>
      <c r="AL145" s="55">
        <f t="shared" ca="1" si="58"/>
        <v>75</v>
      </c>
      <c r="AM145" s="55">
        <f t="shared" ca="1" si="58"/>
        <v>70</v>
      </c>
      <c r="AN145" s="55">
        <f t="shared" ca="1" si="58"/>
        <v>70</v>
      </c>
      <c r="AO145" s="55">
        <f t="shared" ca="1" si="58"/>
        <v>65</v>
      </c>
      <c r="AP145" s="55">
        <f t="shared" ca="1" si="58"/>
        <v>0</v>
      </c>
      <c r="AQ145" s="55">
        <f t="shared" ca="1" si="58"/>
        <v>0</v>
      </c>
      <c r="AR145" s="55">
        <f t="shared" ca="1" si="58"/>
        <v>0</v>
      </c>
      <c r="AS145" s="55">
        <f t="shared" ca="1" si="58"/>
        <v>0</v>
      </c>
      <c r="AT145" s="55">
        <f t="shared" ca="1" si="58"/>
        <v>0</v>
      </c>
      <c r="AU145" s="55">
        <f t="shared" ca="1" si="58"/>
        <v>0</v>
      </c>
      <c r="AV145" s="55">
        <f t="shared" ca="1" si="58"/>
        <v>0</v>
      </c>
      <c r="AW145" s="55">
        <f t="shared" ca="1" si="58"/>
        <v>0</v>
      </c>
      <c r="AX145" s="55">
        <f t="shared" ca="1" si="58"/>
        <v>0</v>
      </c>
    </row>
    <row r="146" spans="1:50" ht="15" customHeight="1" x14ac:dyDescent="0.25">
      <c r="A146" s="86"/>
      <c r="B146" s="175"/>
      <c r="C146" s="88"/>
      <c r="D146" s="162"/>
      <c r="E146" s="55" t="str">
        <f t="shared" ref="E146:AX146" si="59" xml:space="preserve"> E$79</f>
        <v>Decommissioning costs</v>
      </c>
      <c r="F146" s="55">
        <f t="shared" si="59"/>
        <v>0</v>
      </c>
      <c r="G146" s="55" t="str">
        <f t="shared" si="59"/>
        <v>US$ mn 2021</v>
      </c>
      <c r="H146" s="55">
        <f t="shared" si="59"/>
        <v>0</v>
      </c>
      <c r="I146" s="55">
        <f t="shared" ca="1" si="59"/>
        <v>750</v>
      </c>
      <c r="J146" s="55">
        <f t="shared" si="59"/>
        <v>0</v>
      </c>
      <c r="K146" s="55">
        <f t="shared" ca="1" si="59"/>
        <v>0</v>
      </c>
      <c r="L146" s="55">
        <f t="shared" ca="1" si="59"/>
        <v>0</v>
      </c>
      <c r="M146" s="55">
        <f t="shared" ca="1" si="59"/>
        <v>0</v>
      </c>
      <c r="N146" s="55">
        <f t="shared" ca="1" si="59"/>
        <v>0</v>
      </c>
      <c r="O146" s="55">
        <f t="shared" ca="1" si="59"/>
        <v>0</v>
      </c>
      <c r="P146" s="55">
        <f t="shared" ca="1" si="59"/>
        <v>0</v>
      </c>
      <c r="Q146" s="55">
        <f t="shared" ca="1" si="59"/>
        <v>0</v>
      </c>
      <c r="R146" s="55">
        <f t="shared" ca="1" si="59"/>
        <v>0</v>
      </c>
      <c r="S146" s="55">
        <f t="shared" ca="1" si="59"/>
        <v>0</v>
      </c>
      <c r="T146" s="55">
        <f t="shared" ca="1" si="59"/>
        <v>0</v>
      </c>
      <c r="U146" s="55">
        <f t="shared" ca="1" si="59"/>
        <v>0</v>
      </c>
      <c r="V146" s="55">
        <f t="shared" ca="1" si="59"/>
        <v>0</v>
      </c>
      <c r="W146" s="55">
        <f t="shared" ca="1" si="59"/>
        <v>0</v>
      </c>
      <c r="X146" s="55">
        <f t="shared" ca="1" si="59"/>
        <v>0</v>
      </c>
      <c r="Y146" s="55">
        <f t="shared" ca="1" si="59"/>
        <v>0</v>
      </c>
      <c r="Z146" s="55">
        <f t="shared" ca="1" si="59"/>
        <v>0</v>
      </c>
      <c r="AA146" s="55">
        <f t="shared" ca="1" si="59"/>
        <v>0</v>
      </c>
      <c r="AB146" s="55">
        <f t="shared" ca="1" si="59"/>
        <v>0</v>
      </c>
      <c r="AC146" s="55">
        <f t="shared" ca="1" si="59"/>
        <v>0</v>
      </c>
      <c r="AD146" s="55">
        <f t="shared" ca="1" si="59"/>
        <v>0</v>
      </c>
      <c r="AE146" s="55">
        <f t="shared" ca="1" si="59"/>
        <v>0</v>
      </c>
      <c r="AF146" s="55">
        <f t="shared" ca="1" si="59"/>
        <v>0</v>
      </c>
      <c r="AG146" s="55">
        <f t="shared" ca="1" si="59"/>
        <v>0</v>
      </c>
      <c r="AH146" s="55">
        <f t="shared" ca="1" si="59"/>
        <v>0</v>
      </c>
      <c r="AI146" s="55">
        <f t="shared" ca="1" si="59"/>
        <v>0</v>
      </c>
      <c r="AJ146" s="55">
        <f t="shared" ca="1" si="59"/>
        <v>0</v>
      </c>
      <c r="AK146" s="55">
        <f t="shared" ca="1" si="59"/>
        <v>0</v>
      </c>
      <c r="AL146" s="55">
        <f t="shared" ca="1" si="59"/>
        <v>250</v>
      </c>
      <c r="AM146" s="55">
        <f t="shared" ca="1" si="59"/>
        <v>0</v>
      </c>
      <c r="AN146" s="55">
        <f t="shared" ca="1" si="59"/>
        <v>0</v>
      </c>
      <c r="AO146" s="55">
        <f t="shared" ca="1" si="59"/>
        <v>0</v>
      </c>
      <c r="AP146" s="55">
        <f t="shared" ca="1" si="59"/>
        <v>250</v>
      </c>
      <c r="AQ146" s="55">
        <f t="shared" ca="1" si="59"/>
        <v>250</v>
      </c>
      <c r="AR146" s="55">
        <f t="shared" ca="1" si="59"/>
        <v>0</v>
      </c>
      <c r="AS146" s="55">
        <f t="shared" ca="1" si="59"/>
        <v>0</v>
      </c>
      <c r="AT146" s="55">
        <f t="shared" ca="1" si="59"/>
        <v>0</v>
      </c>
      <c r="AU146" s="55">
        <f t="shared" ca="1" si="59"/>
        <v>0</v>
      </c>
      <c r="AV146" s="55">
        <f t="shared" ca="1" si="59"/>
        <v>0</v>
      </c>
      <c r="AW146" s="55">
        <f t="shared" ca="1" si="59"/>
        <v>0</v>
      </c>
      <c r="AX146" s="55">
        <f t="shared" ca="1" si="59"/>
        <v>0</v>
      </c>
    </row>
    <row r="147" spans="1:50" ht="15" customHeight="1" x14ac:dyDescent="0.25">
      <c r="A147" s="86"/>
      <c r="B147" s="175"/>
      <c r="C147" s="88"/>
      <c r="D147" s="162"/>
      <c r="E147" s="55" t="str">
        <f>Translate!E579</f>
        <v>Project costs</v>
      </c>
      <c r="F147" s="55"/>
      <c r="G147" s="55" t="str">
        <f xml:space="preserve"> Inputs!F$52</f>
        <v>US$ mn 2021</v>
      </c>
      <c r="H147" s="55"/>
      <c r="I147" s="55">
        <f ca="1" xml:space="preserve"> SUM(K147:AX147)</f>
        <v>14821</v>
      </c>
      <c r="J147" s="55"/>
      <c r="K147" s="55">
        <f t="shared" ref="K147:AX147" ca="1" si="60">SUM(K142:K146)</f>
        <v>420</v>
      </c>
      <c r="L147" s="55">
        <f t="shared" ca="1" si="60"/>
        <v>50</v>
      </c>
      <c r="M147" s="55">
        <f t="shared" ca="1" si="60"/>
        <v>300</v>
      </c>
      <c r="N147" s="55">
        <f t="shared" ca="1" si="60"/>
        <v>1200</v>
      </c>
      <c r="O147" s="55">
        <f t="shared" ca="1" si="60"/>
        <v>1250</v>
      </c>
      <c r="P147" s="55">
        <f t="shared" ca="1" si="60"/>
        <v>2280</v>
      </c>
      <c r="Q147" s="55">
        <f t="shared" ca="1" si="60"/>
        <v>1360</v>
      </c>
      <c r="R147" s="55">
        <f t="shared" ca="1" si="60"/>
        <v>710</v>
      </c>
      <c r="S147" s="55">
        <f t="shared" ca="1" si="60"/>
        <v>510</v>
      </c>
      <c r="T147" s="55">
        <f t="shared" ca="1" si="60"/>
        <v>510</v>
      </c>
      <c r="U147" s="55">
        <f t="shared" ca="1" si="60"/>
        <v>510</v>
      </c>
      <c r="V147" s="55">
        <f t="shared" ca="1" si="60"/>
        <v>510</v>
      </c>
      <c r="W147" s="55">
        <f t="shared" ca="1" si="60"/>
        <v>510</v>
      </c>
      <c r="X147" s="55">
        <f t="shared" ca="1" si="60"/>
        <v>510</v>
      </c>
      <c r="Y147" s="55">
        <f t="shared" ca="1" si="60"/>
        <v>510</v>
      </c>
      <c r="Z147" s="55">
        <f t="shared" ca="1" si="60"/>
        <v>510</v>
      </c>
      <c r="AA147" s="55">
        <f t="shared" ca="1" si="60"/>
        <v>510</v>
      </c>
      <c r="AB147" s="55">
        <f t="shared" ca="1" si="60"/>
        <v>260</v>
      </c>
      <c r="AC147" s="55">
        <f t="shared" ca="1" si="60"/>
        <v>150</v>
      </c>
      <c r="AD147" s="55">
        <f t="shared" ca="1" si="60"/>
        <v>340</v>
      </c>
      <c r="AE147" s="55">
        <f t="shared" ca="1" si="60"/>
        <v>320</v>
      </c>
      <c r="AF147" s="55">
        <f t="shared" ca="1" si="60"/>
        <v>111</v>
      </c>
      <c r="AG147" s="55">
        <f t="shared" ca="1" si="60"/>
        <v>100</v>
      </c>
      <c r="AH147" s="55">
        <f t="shared" ca="1" si="60"/>
        <v>95</v>
      </c>
      <c r="AI147" s="55">
        <f t="shared" ca="1" si="60"/>
        <v>90</v>
      </c>
      <c r="AJ147" s="55">
        <f t="shared" ca="1" si="60"/>
        <v>85</v>
      </c>
      <c r="AK147" s="55">
        <f t="shared" ca="1" si="60"/>
        <v>80</v>
      </c>
      <c r="AL147" s="55">
        <f t="shared" ca="1" si="60"/>
        <v>325</v>
      </c>
      <c r="AM147" s="55">
        <f t="shared" ca="1" si="60"/>
        <v>70</v>
      </c>
      <c r="AN147" s="55">
        <f t="shared" ca="1" si="60"/>
        <v>70</v>
      </c>
      <c r="AO147" s="55">
        <f t="shared" ca="1" si="60"/>
        <v>65</v>
      </c>
      <c r="AP147" s="55">
        <f t="shared" ca="1" si="60"/>
        <v>250</v>
      </c>
      <c r="AQ147" s="55">
        <f t="shared" ca="1" si="60"/>
        <v>250</v>
      </c>
      <c r="AR147" s="55">
        <f t="shared" ca="1" si="60"/>
        <v>0</v>
      </c>
      <c r="AS147" s="55">
        <f t="shared" ca="1" si="60"/>
        <v>0</v>
      </c>
      <c r="AT147" s="55">
        <f t="shared" ca="1" si="60"/>
        <v>0</v>
      </c>
      <c r="AU147" s="55">
        <f t="shared" ca="1" si="60"/>
        <v>0</v>
      </c>
      <c r="AV147" s="55">
        <f t="shared" ca="1" si="60"/>
        <v>0</v>
      </c>
      <c r="AW147" s="55">
        <f t="shared" ca="1" si="60"/>
        <v>0</v>
      </c>
      <c r="AX147" s="55">
        <f t="shared" ca="1" si="60"/>
        <v>0</v>
      </c>
    </row>
    <row r="148" spans="1:50" ht="15" customHeight="1" x14ac:dyDescent="0.25">
      <c r="A148" s="86"/>
      <c r="B148" s="175"/>
      <c r="C148" s="88"/>
      <c r="D148" s="162"/>
      <c r="E148" s="55"/>
      <c r="F148" s="55"/>
      <c r="G148" s="55"/>
      <c r="H148" s="55"/>
      <c r="I148" s="55"/>
      <c r="J148" s="55"/>
      <c r="K148" s="55"/>
      <c r="L148" s="55"/>
      <c r="M148" s="55"/>
      <c r="N148" s="55"/>
      <c r="O148" s="55"/>
      <c r="P148" s="55"/>
      <c r="Q148" s="55"/>
      <c r="R148" s="55"/>
      <c r="S148" s="55"/>
      <c r="T148" s="55"/>
      <c r="U148" s="55"/>
      <c r="V148" s="55"/>
      <c r="W148" s="55"/>
      <c r="X148" s="55"/>
      <c r="Y148" s="55"/>
      <c r="Z148" s="55"/>
      <c r="AA148" s="55"/>
      <c r="AB148" s="55"/>
      <c r="AC148" s="55"/>
      <c r="AD148" s="55"/>
      <c r="AE148" s="55"/>
      <c r="AF148" s="55"/>
      <c r="AG148" s="55"/>
      <c r="AH148" s="55"/>
      <c r="AI148" s="55"/>
      <c r="AJ148" s="55"/>
      <c r="AK148" s="55"/>
      <c r="AL148" s="55"/>
      <c r="AM148" s="55"/>
      <c r="AN148" s="55"/>
      <c r="AO148" s="55"/>
      <c r="AP148" s="55"/>
      <c r="AQ148" s="55"/>
      <c r="AR148" s="55"/>
      <c r="AS148" s="55"/>
      <c r="AT148" s="55"/>
      <c r="AU148" s="55"/>
      <c r="AV148" s="55"/>
      <c r="AW148" s="55"/>
      <c r="AX148" s="55"/>
    </row>
    <row r="149" spans="1:50" ht="15" customHeight="1" x14ac:dyDescent="0.25">
      <c r="A149" s="86"/>
      <c r="B149" s="205" t="str">
        <f>Translate!$E$684</f>
        <v>Project cashflows: real after ELT</v>
      </c>
      <c r="C149" s="88"/>
      <c r="D149" s="162"/>
      <c r="E149" s="52"/>
      <c r="F149" s="56"/>
      <c r="G149" s="52"/>
      <c r="H149" s="52"/>
      <c r="I149" s="89"/>
      <c r="J149" s="52"/>
      <c r="K149" s="208"/>
      <c r="L149" s="208"/>
      <c r="M149" s="208"/>
      <c r="N149" s="208"/>
      <c r="O149" s="208"/>
      <c r="P149" s="208"/>
      <c r="Q149" s="208"/>
      <c r="R149" s="208"/>
      <c r="S149" s="208"/>
      <c r="T149" s="208"/>
      <c r="U149" s="208"/>
      <c r="V149" s="208"/>
      <c r="W149" s="208"/>
      <c r="X149" s="208"/>
      <c r="Y149" s="208"/>
      <c r="Z149" s="208"/>
      <c r="AA149" s="208"/>
      <c r="AB149" s="208"/>
      <c r="AC149" s="208"/>
      <c r="AD149" s="208"/>
      <c r="AE149" s="208"/>
      <c r="AF149" s="208"/>
      <c r="AG149" s="208"/>
      <c r="AH149" s="208"/>
      <c r="AI149" s="208"/>
      <c r="AJ149" s="208"/>
      <c r="AK149" s="208"/>
      <c r="AL149" s="208"/>
      <c r="AM149" s="208"/>
      <c r="AN149" s="208"/>
      <c r="AO149" s="208"/>
      <c r="AP149" s="208"/>
      <c r="AQ149" s="208"/>
      <c r="AR149" s="208"/>
      <c r="AS149" s="208"/>
      <c r="AT149" s="208"/>
      <c r="AU149" s="208"/>
      <c r="AV149" s="208"/>
      <c r="AW149" s="208"/>
      <c r="AX149" s="208"/>
    </row>
    <row r="150" spans="1:50" ht="15" customHeight="1" x14ac:dyDescent="0.25">
      <c r="A150" s="86"/>
      <c r="B150" s="175"/>
      <c r="C150" s="88"/>
      <c r="D150" s="162"/>
      <c r="E150" s="55" t="str">
        <f t="shared" ref="E150:AX150" si="61" xml:space="preserve"> E$107</f>
        <v>Project economic limit</v>
      </c>
      <c r="F150" s="55">
        <f t="shared" si="61"/>
        <v>0</v>
      </c>
      <c r="G150" s="55" t="str">
        <f t="shared" si="61"/>
        <v>Flag</v>
      </c>
      <c r="H150" s="55">
        <f t="shared" si="61"/>
        <v>0</v>
      </c>
      <c r="I150" s="55">
        <f t="shared" ca="1" si="61"/>
        <v>31</v>
      </c>
      <c r="J150" s="55">
        <f t="shared" si="61"/>
        <v>0</v>
      </c>
      <c r="K150" s="55">
        <f t="shared" ca="1" si="61"/>
        <v>1</v>
      </c>
      <c r="L150" s="55">
        <f t="shared" ca="1" si="61"/>
        <v>1</v>
      </c>
      <c r="M150" s="55">
        <f t="shared" ca="1" si="61"/>
        <v>1</v>
      </c>
      <c r="N150" s="55">
        <f t="shared" ca="1" si="61"/>
        <v>1</v>
      </c>
      <c r="O150" s="55">
        <f t="shared" ca="1" si="61"/>
        <v>1</v>
      </c>
      <c r="P150" s="55">
        <f t="shared" ca="1" si="61"/>
        <v>1</v>
      </c>
      <c r="Q150" s="55">
        <f t="shared" ca="1" si="61"/>
        <v>1</v>
      </c>
      <c r="R150" s="55">
        <f t="shared" ca="1" si="61"/>
        <v>1</v>
      </c>
      <c r="S150" s="55">
        <f t="shared" ca="1" si="61"/>
        <v>1</v>
      </c>
      <c r="T150" s="55">
        <f t="shared" ca="1" si="61"/>
        <v>1</v>
      </c>
      <c r="U150" s="55">
        <f t="shared" ca="1" si="61"/>
        <v>1</v>
      </c>
      <c r="V150" s="55">
        <f t="shared" ca="1" si="61"/>
        <v>1</v>
      </c>
      <c r="W150" s="55">
        <f t="shared" ca="1" si="61"/>
        <v>1</v>
      </c>
      <c r="X150" s="55">
        <f t="shared" ca="1" si="61"/>
        <v>1</v>
      </c>
      <c r="Y150" s="55">
        <f t="shared" ca="1" si="61"/>
        <v>1</v>
      </c>
      <c r="Z150" s="55">
        <f t="shared" ca="1" si="61"/>
        <v>1</v>
      </c>
      <c r="AA150" s="55">
        <f t="shared" ca="1" si="61"/>
        <v>1</v>
      </c>
      <c r="AB150" s="55">
        <f t="shared" ca="1" si="61"/>
        <v>1</v>
      </c>
      <c r="AC150" s="55">
        <f t="shared" ca="1" si="61"/>
        <v>1</v>
      </c>
      <c r="AD150" s="55">
        <f t="shared" ca="1" si="61"/>
        <v>1</v>
      </c>
      <c r="AE150" s="55">
        <f t="shared" ca="1" si="61"/>
        <v>1</v>
      </c>
      <c r="AF150" s="55">
        <f t="shared" ca="1" si="61"/>
        <v>1</v>
      </c>
      <c r="AG150" s="55">
        <f t="shared" ca="1" si="61"/>
        <v>1</v>
      </c>
      <c r="AH150" s="55">
        <f t="shared" ca="1" si="61"/>
        <v>1</v>
      </c>
      <c r="AI150" s="55">
        <f t="shared" ca="1" si="61"/>
        <v>1</v>
      </c>
      <c r="AJ150" s="55">
        <f t="shared" ca="1" si="61"/>
        <v>1</v>
      </c>
      <c r="AK150" s="55">
        <f t="shared" ca="1" si="61"/>
        <v>1</v>
      </c>
      <c r="AL150" s="55">
        <f t="shared" ca="1" si="61"/>
        <v>1</v>
      </c>
      <c r="AM150" s="55">
        <f t="shared" ca="1" si="61"/>
        <v>1</v>
      </c>
      <c r="AN150" s="55">
        <f t="shared" ca="1" si="61"/>
        <v>1</v>
      </c>
      <c r="AO150" s="55">
        <f t="shared" ca="1" si="61"/>
        <v>1</v>
      </c>
      <c r="AP150" s="55">
        <f t="shared" ca="1" si="61"/>
        <v>0</v>
      </c>
      <c r="AQ150" s="55">
        <f t="shared" ca="1" si="61"/>
        <v>0</v>
      </c>
      <c r="AR150" s="55">
        <f t="shared" ca="1" si="61"/>
        <v>0</v>
      </c>
      <c r="AS150" s="55">
        <f t="shared" ca="1" si="61"/>
        <v>0</v>
      </c>
      <c r="AT150" s="55">
        <f t="shared" ca="1" si="61"/>
        <v>0</v>
      </c>
      <c r="AU150" s="55">
        <f t="shared" ca="1" si="61"/>
        <v>0</v>
      </c>
      <c r="AV150" s="55">
        <f t="shared" ca="1" si="61"/>
        <v>0</v>
      </c>
      <c r="AW150" s="55">
        <f t="shared" ca="1" si="61"/>
        <v>0</v>
      </c>
      <c r="AX150" s="55">
        <f t="shared" ca="1" si="61"/>
        <v>0</v>
      </c>
    </row>
    <row r="151" spans="1:50" ht="15" customHeight="1" x14ac:dyDescent="0.25">
      <c r="A151" s="86"/>
      <c r="B151" s="175"/>
      <c r="C151" s="88"/>
      <c r="D151" s="162"/>
      <c r="E151" s="55"/>
      <c r="F151" s="55"/>
      <c r="G151" s="55"/>
      <c r="H151" s="55"/>
      <c r="I151" s="55"/>
      <c r="J151" s="55"/>
      <c r="K151" s="55"/>
      <c r="L151" s="55"/>
      <c r="M151" s="55"/>
      <c r="N151" s="55"/>
      <c r="O151" s="55"/>
      <c r="P151" s="55"/>
      <c r="Q151" s="55"/>
      <c r="R151" s="55"/>
      <c r="S151" s="55"/>
      <c r="T151" s="55"/>
      <c r="U151" s="55"/>
      <c r="V151" s="55"/>
      <c r="W151" s="55"/>
      <c r="X151" s="55"/>
      <c r="Y151" s="55"/>
      <c r="Z151" s="55"/>
      <c r="AA151" s="55"/>
      <c r="AB151" s="55"/>
      <c r="AC151" s="55"/>
      <c r="AD151" s="55"/>
      <c r="AE151" s="55"/>
      <c r="AF151" s="55"/>
      <c r="AG151" s="55"/>
      <c r="AH151" s="55"/>
      <c r="AI151" s="55"/>
      <c r="AJ151" s="55"/>
      <c r="AK151" s="55"/>
      <c r="AL151" s="55"/>
      <c r="AM151" s="55"/>
      <c r="AN151" s="55"/>
      <c r="AO151" s="55"/>
      <c r="AP151" s="55"/>
      <c r="AQ151" s="55"/>
      <c r="AR151" s="55"/>
      <c r="AS151" s="55"/>
      <c r="AT151" s="55"/>
      <c r="AU151" s="55"/>
      <c r="AV151" s="55"/>
      <c r="AW151" s="55"/>
      <c r="AX151" s="55"/>
    </row>
    <row r="152" spans="1:50" ht="15" customHeight="1" x14ac:dyDescent="0.25">
      <c r="A152" s="86"/>
      <c r="B152" s="205"/>
      <c r="C152" s="88"/>
      <c r="D152" s="162"/>
      <c r="E152" s="55" t="str">
        <f>E136 &amp;  ", " &amp; Translate!E595</f>
        <v>Oil price realized from sales, after ELT</v>
      </c>
      <c r="F152" s="55"/>
      <c r="G152" s="55" t="str">
        <f>G136</f>
        <v>US$ 2021 / bbl</v>
      </c>
      <c r="H152" s="55">
        <f xml:space="preserve"> H$79</f>
        <v>0</v>
      </c>
      <c r="I152" s="55">
        <f ca="1" xml:space="preserve"> SUM(K152:AX152)</f>
        <v>1705</v>
      </c>
      <c r="J152" s="55"/>
      <c r="K152" s="55">
        <f t="shared" ref="K152:AX152" ca="1" si="62">K136 * K$150</f>
        <v>55</v>
      </c>
      <c r="L152" s="55">
        <f t="shared" ca="1" si="62"/>
        <v>55</v>
      </c>
      <c r="M152" s="55">
        <f t="shared" ca="1" si="62"/>
        <v>55</v>
      </c>
      <c r="N152" s="55">
        <f t="shared" ca="1" si="62"/>
        <v>55</v>
      </c>
      <c r="O152" s="55">
        <f t="shared" ca="1" si="62"/>
        <v>55</v>
      </c>
      <c r="P152" s="55">
        <f t="shared" ca="1" si="62"/>
        <v>55</v>
      </c>
      <c r="Q152" s="55">
        <f t="shared" ca="1" si="62"/>
        <v>55</v>
      </c>
      <c r="R152" s="55">
        <f t="shared" ca="1" si="62"/>
        <v>55</v>
      </c>
      <c r="S152" s="55">
        <f t="shared" ca="1" si="62"/>
        <v>55</v>
      </c>
      <c r="T152" s="55">
        <f t="shared" ca="1" si="62"/>
        <v>55</v>
      </c>
      <c r="U152" s="55">
        <f t="shared" ca="1" si="62"/>
        <v>55</v>
      </c>
      <c r="V152" s="55">
        <f t="shared" ca="1" si="62"/>
        <v>55</v>
      </c>
      <c r="W152" s="55">
        <f t="shared" ca="1" si="62"/>
        <v>55</v>
      </c>
      <c r="X152" s="55">
        <f t="shared" ca="1" si="62"/>
        <v>55</v>
      </c>
      <c r="Y152" s="55">
        <f t="shared" ca="1" si="62"/>
        <v>55</v>
      </c>
      <c r="Z152" s="55">
        <f t="shared" ca="1" si="62"/>
        <v>55</v>
      </c>
      <c r="AA152" s="55">
        <f t="shared" ca="1" si="62"/>
        <v>55</v>
      </c>
      <c r="AB152" s="55">
        <f t="shared" ca="1" si="62"/>
        <v>55</v>
      </c>
      <c r="AC152" s="55">
        <f t="shared" ca="1" si="62"/>
        <v>55</v>
      </c>
      <c r="AD152" s="55">
        <f t="shared" ca="1" si="62"/>
        <v>55</v>
      </c>
      <c r="AE152" s="55">
        <f t="shared" ca="1" si="62"/>
        <v>55</v>
      </c>
      <c r="AF152" s="55">
        <f t="shared" ca="1" si="62"/>
        <v>55</v>
      </c>
      <c r="AG152" s="55">
        <f t="shared" ca="1" si="62"/>
        <v>55</v>
      </c>
      <c r="AH152" s="55">
        <f t="shared" ca="1" si="62"/>
        <v>55</v>
      </c>
      <c r="AI152" s="55">
        <f t="shared" ca="1" si="62"/>
        <v>55</v>
      </c>
      <c r="AJ152" s="55">
        <f t="shared" ca="1" si="62"/>
        <v>55</v>
      </c>
      <c r="AK152" s="55">
        <f t="shared" ca="1" si="62"/>
        <v>55</v>
      </c>
      <c r="AL152" s="55">
        <f t="shared" ca="1" si="62"/>
        <v>55</v>
      </c>
      <c r="AM152" s="55">
        <f t="shared" ca="1" si="62"/>
        <v>55</v>
      </c>
      <c r="AN152" s="55">
        <f t="shared" ca="1" si="62"/>
        <v>55</v>
      </c>
      <c r="AO152" s="55">
        <f t="shared" ca="1" si="62"/>
        <v>55</v>
      </c>
      <c r="AP152" s="55">
        <f t="shared" ca="1" si="62"/>
        <v>0</v>
      </c>
      <c r="AQ152" s="55">
        <f t="shared" ca="1" si="62"/>
        <v>0</v>
      </c>
      <c r="AR152" s="55">
        <f t="shared" ca="1" si="62"/>
        <v>0</v>
      </c>
      <c r="AS152" s="55">
        <f t="shared" ca="1" si="62"/>
        <v>0</v>
      </c>
      <c r="AT152" s="55">
        <f t="shared" ca="1" si="62"/>
        <v>0</v>
      </c>
      <c r="AU152" s="55">
        <f t="shared" ca="1" si="62"/>
        <v>0</v>
      </c>
      <c r="AV152" s="55">
        <f t="shared" ca="1" si="62"/>
        <v>0</v>
      </c>
      <c r="AW152" s="55">
        <f t="shared" ca="1" si="62"/>
        <v>0</v>
      </c>
      <c r="AX152" s="55">
        <f t="shared" ca="1" si="62"/>
        <v>0</v>
      </c>
    </row>
    <row r="153" spans="1:50" ht="15" customHeight="1" x14ac:dyDescent="0.25">
      <c r="A153" s="86"/>
      <c r="B153" s="205"/>
      <c r="C153" s="88"/>
      <c r="D153" s="162"/>
      <c r="E153" s="55"/>
      <c r="F153" s="55"/>
      <c r="G153" s="55"/>
      <c r="H153" s="55"/>
      <c r="I153" s="55"/>
      <c r="J153" s="55"/>
      <c r="K153" s="55"/>
      <c r="L153" s="55"/>
      <c r="M153" s="55"/>
      <c r="N153" s="55"/>
      <c r="O153" s="55"/>
      <c r="P153" s="55"/>
      <c r="Q153" s="55"/>
      <c r="R153" s="55"/>
      <c r="S153" s="55"/>
      <c r="T153" s="55"/>
      <c r="U153" s="55"/>
      <c r="V153" s="55"/>
      <c r="W153" s="55"/>
      <c r="X153" s="55"/>
      <c r="Y153" s="55"/>
      <c r="Z153" s="55"/>
      <c r="AA153" s="55"/>
      <c r="AB153" s="55"/>
      <c r="AC153" s="55"/>
      <c r="AD153" s="55"/>
      <c r="AE153" s="55"/>
      <c r="AF153" s="55"/>
      <c r="AG153" s="55"/>
      <c r="AH153" s="55"/>
      <c r="AI153" s="55"/>
      <c r="AJ153" s="55"/>
      <c r="AK153" s="55"/>
      <c r="AL153" s="55"/>
      <c r="AM153" s="55"/>
      <c r="AN153" s="55"/>
      <c r="AO153" s="55"/>
      <c r="AP153" s="55"/>
      <c r="AQ153" s="55"/>
      <c r="AR153" s="55"/>
      <c r="AS153" s="55"/>
      <c r="AT153" s="55"/>
      <c r="AU153" s="55"/>
      <c r="AV153" s="55"/>
      <c r="AW153" s="55"/>
      <c r="AX153" s="55"/>
    </row>
    <row r="154" spans="1:50" ht="15" customHeight="1" x14ac:dyDescent="0.25">
      <c r="A154" s="86"/>
      <c r="B154" s="175"/>
      <c r="C154" s="88"/>
      <c r="D154" s="162"/>
      <c r="E154" s="55" t="str">
        <f>E138 &amp;  ", " &amp; Translate!E595</f>
        <v>Oil revenues gross, after ELT</v>
      </c>
      <c r="F154" s="55"/>
      <c r="G154" s="55" t="str">
        <f>G138</f>
        <v>US$ mn 2021</v>
      </c>
      <c r="H154" s="55">
        <f xml:space="preserve"> H$85</f>
        <v>0</v>
      </c>
      <c r="I154" s="55">
        <f ca="1" xml:space="preserve"> SUM(K154:AX154)</f>
        <v>44103.023863224538</v>
      </c>
      <c r="J154" s="55"/>
      <c r="K154" s="55">
        <f t="shared" ref="K154:AX154" ca="1" si="63">K138 * K$150</f>
        <v>0</v>
      </c>
      <c r="L154" s="55">
        <f t="shared" ca="1" si="63"/>
        <v>0</v>
      </c>
      <c r="M154" s="55">
        <f t="shared" ca="1" si="63"/>
        <v>0</v>
      </c>
      <c r="N154" s="55">
        <f t="shared" ca="1" si="63"/>
        <v>0</v>
      </c>
      <c r="O154" s="55">
        <f t="shared" ca="1" si="63"/>
        <v>191.65835816431044</v>
      </c>
      <c r="P154" s="55">
        <f t="shared" ca="1" si="63"/>
        <v>1505.625</v>
      </c>
      <c r="Q154" s="55">
        <f t="shared" ca="1" si="63"/>
        <v>3011.25</v>
      </c>
      <c r="R154" s="55">
        <f t="shared" ca="1" si="63"/>
        <v>3011.25</v>
      </c>
      <c r="S154" s="55">
        <f t="shared" ca="1" si="63"/>
        <v>3011.25</v>
      </c>
      <c r="T154" s="55">
        <f t="shared" ca="1" si="63"/>
        <v>3011.25</v>
      </c>
      <c r="U154" s="55">
        <f t="shared" ca="1" si="63"/>
        <v>3011.25</v>
      </c>
      <c r="V154" s="55">
        <f t="shared" ca="1" si="63"/>
        <v>3011.25</v>
      </c>
      <c r="W154" s="55">
        <f t="shared" ca="1" si="63"/>
        <v>3011.25</v>
      </c>
      <c r="X154" s="55">
        <f t="shared" ca="1" si="63"/>
        <v>3011.25</v>
      </c>
      <c r="Y154" s="55">
        <f t="shared" ca="1" si="63"/>
        <v>3011.25</v>
      </c>
      <c r="Z154" s="55">
        <f t="shared" ca="1" si="63"/>
        <v>3011.25</v>
      </c>
      <c r="AA154" s="55">
        <f t="shared" ca="1" si="63"/>
        <v>2439.1125000000006</v>
      </c>
      <c r="AB154" s="55">
        <f t="shared" ca="1" si="63"/>
        <v>1975.6811250000005</v>
      </c>
      <c r="AC154" s="55">
        <f t="shared" ca="1" si="63"/>
        <v>1600.3017112500004</v>
      </c>
      <c r="AD154" s="55">
        <f t="shared" ca="1" si="63"/>
        <v>1296.2443861125007</v>
      </c>
      <c r="AE154" s="55">
        <f t="shared" ca="1" si="63"/>
        <v>1049.9579527511255</v>
      </c>
      <c r="AF154" s="55">
        <f t="shared" ca="1" si="63"/>
        <v>850.46594172841174</v>
      </c>
      <c r="AG154" s="55">
        <f t="shared" ca="1" si="63"/>
        <v>688.87741280001364</v>
      </c>
      <c r="AH154" s="55">
        <f t="shared" ca="1" si="63"/>
        <v>557.99070436801105</v>
      </c>
      <c r="AI154" s="55">
        <f t="shared" ca="1" si="63"/>
        <v>451.972470538089</v>
      </c>
      <c r="AJ154" s="55">
        <f t="shared" ca="1" si="63"/>
        <v>366.09770113585205</v>
      </c>
      <c r="AK154" s="55">
        <f t="shared" ca="1" si="63"/>
        <v>296.53913792004022</v>
      </c>
      <c r="AL154" s="55">
        <f t="shared" ca="1" si="63"/>
        <v>240.19670171523254</v>
      </c>
      <c r="AM154" s="55">
        <f t="shared" ca="1" si="63"/>
        <v>194.55932838933836</v>
      </c>
      <c r="AN154" s="55">
        <f t="shared" ca="1" si="63"/>
        <v>157.59305599536407</v>
      </c>
      <c r="AO154" s="55">
        <f t="shared" ca="1" si="63"/>
        <v>127.65037535624494</v>
      </c>
      <c r="AP154" s="55">
        <f t="shared" ca="1" si="63"/>
        <v>0</v>
      </c>
      <c r="AQ154" s="55">
        <f t="shared" ca="1" si="63"/>
        <v>0</v>
      </c>
      <c r="AR154" s="55">
        <f t="shared" ca="1" si="63"/>
        <v>0</v>
      </c>
      <c r="AS154" s="55">
        <f t="shared" ca="1" si="63"/>
        <v>0</v>
      </c>
      <c r="AT154" s="55">
        <f t="shared" ca="1" si="63"/>
        <v>0</v>
      </c>
      <c r="AU154" s="55">
        <f t="shared" ca="1" si="63"/>
        <v>0</v>
      </c>
      <c r="AV154" s="55">
        <f t="shared" ca="1" si="63"/>
        <v>0</v>
      </c>
      <c r="AW154" s="55">
        <f t="shared" ca="1" si="63"/>
        <v>0</v>
      </c>
      <c r="AX154" s="55">
        <f t="shared" ca="1" si="63"/>
        <v>0</v>
      </c>
    </row>
    <row r="155" spans="1:50" ht="15" customHeight="1" x14ac:dyDescent="0.25">
      <c r="A155" s="86"/>
      <c r="B155" s="175"/>
      <c r="C155" s="88"/>
      <c r="D155" s="162"/>
      <c r="E155" s="55" t="str">
        <f>E139 &amp;  ", " &amp; Translate!E595</f>
        <v>Transport costs post-fiscal point, after ELT</v>
      </c>
      <c r="F155" s="55"/>
      <c r="G155" s="55" t="str">
        <f>G139</f>
        <v>US$ mn 2021</v>
      </c>
      <c r="H155" s="55">
        <f xml:space="preserve"> H$63</f>
        <v>0</v>
      </c>
      <c r="I155" s="55">
        <f ca="1" xml:space="preserve"> SUM(K155:AX155)</f>
        <v>0</v>
      </c>
      <c r="J155" s="55"/>
      <c r="K155" s="55">
        <f t="shared" ref="K155:AX155" ca="1" si="64">K139 * K$150</f>
        <v>0</v>
      </c>
      <c r="L155" s="55">
        <f t="shared" ca="1" si="64"/>
        <v>0</v>
      </c>
      <c r="M155" s="55">
        <f t="shared" ca="1" si="64"/>
        <v>0</v>
      </c>
      <c r="N155" s="55">
        <f t="shared" ca="1" si="64"/>
        <v>0</v>
      </c>
      <c r="O155" s="55">
        <f t="shared" ca="1" si="64"/>
        <v>0</v>
      </c>
      <c r="P155" s="55">
        <f t="shared" ca="1" si="64"/>
        <v>0</v>
      </c>
      <c r="Q155" s="55">
        <f t="shared" ca="1" si="64"/>
        <v>0</v>
      </c>
      <c r="R155" s="55">
        <f t="shared" ca="1" si="64"/>
        <v>0</v>
      </c>
      <c r="S155" s="55">
        <f t="shared" ca="1" si="64"/>
        <v>0</v>
      </c>
      <c r="T155" s="55">
        <f t="shared" ca="1" si="64"/>
        <v>0</v>
      </c>
      <c r="U155" s="55">
        <f t="shared" ca="1" si="64"/>
        <v>0</v>
      </c>
      <c r="V155" s="55">
        <f t="shared" ca="1" si="64"/>
        <v>0</v>
      </c>
      <c r="W155" s="55">
        <f t="shared" ca="1" si="64"/>
        <v>0</v>
      </c>
      <c r="X155" s="55">
        <f t="shared" ca="1" si="64"/>
        <v>0</v>
      </c>
      <c r="Y155" s="55">
        <f t="shared" ca="1" si="64"/>
        <v>0</v>
      </c>
      <c r="Z155" s="55">
        <f t="shared" ca="1" si="64"/>
        <v>0</v>
      </c>
      <c r="AA155" s="55">
        <f t="shared" ca="1" si="64"/>
        <v>0</v>
      </c>
      <c r="AB155" s="55">
        <f t="shared" ca="1" si="64"/>
        <v>0</v>
      </c>
      <c r="AC155" s="55">
        <f t="shared" ca="1" si="64"/>
        <v>0</v>
      </c>
      <c r="AD155" s="55">
        <f t="shared" ca="1" si="64"/>
        <v>0</v>
      </c>
      <c r="AE155" s="55">
        <f t="shared" ca="1" si="64"/>
        <v>0</v>
      </c>
      <c r="AF155" s="55">
        <f t="shared" ca="1" si="64"/>
        <v>0</v>
      </c>
      <c r="AG155" s="55">
        <f t="shared" ca="1" si="64"/>
        <v>0</v>
      </c>
      <c r="AH155" s="55">
        <f t="shared" ca="1" si="64"/>
        <v>0</v>
      </c>
      <c r="AI155" s="55">
        <f t="shared" ca="1" si="64"/>
        <v>0</v>
      </c>
      <c r="AJ155" s="55">
        <f t="shared" ca="1" si="64"/>
        <v>0</v>
      </c>
      <c r="AK155" s="55">
        <f t="shared" ca="1" si="64"/>
        <v>0</v>
      </c>
      <c r="AL155" s="55">
        <f t="shared" ca="1" si="64"/>
        <v>0</v>
      </c>
      <c r="AM155" s="55">
        <f t="shared" ca="1" si="64"/>
        <v>0</v>
      </c>
      <c r="AN155" s="55">
        <f t="shared" ca="1" si="64"/>
        <v>0</v>
      </c>
      <c r="AO155" s="55">
        <f t="shared" ca="1" si="64"/>
        <v>0</v>
      </c>
      <c r="AP155" s="55">
        <f t="shared" ca="1" si="64"/>
        <v>0</v>
      </c>
      <c r="AQ155" s="55">
        <f t="shared" ca="1" si="64"/>
        <v>0</v>
      </c>
      <c r="AR155" s="55">
        <f t="shared" ca="1" si="64"/>
        <v>0</v>
      </c>
      <c r="AS155" s="55">
        <f t="shared" ca="1" si="64"/>
        <v>0</v>
      </c>
      <c r="AT155" s="55">
        <f t="shared" ca="1" si="64"/>
        <v>0</v>
      </c>
      <c r="AU155" s="55">
        <f t="shared" ca="1" si="64"/>
        <v>0</v>
      </c>
      <c r="AV155" s="55">
        <f t="shared" ca="1" si="64"/>
        <v>0</v>
      </c>
      <c r="AW155" s="55">
        <f t="shared" ca="1" si="64"/>
        <v>0</v>
      </c>
      <c r="AX155" s="55">
        <f t="shared" ca="1" si="64"/>
        <v>0</v>
      </c>
    </row>
    <row r="156" spans="1:50" s="77" customFormat="1" ht="15" customHeight="1" x14ac:dyDescent="0.25">
      <c r="A156" s="201"/>
      <c r="B156" s="198"/>
      <c r="C156" s="199"/>
      <c r="D156" s="200"/>
      <c r="E156" s="176" t="str">
        <f>E140 &amp;  ", " &amp; Translate!E595</f>
        <v>Oil revenues net, after ELT</v>
      </c>
      <c r="F156" s="176"/>
      <c r="G156" s="176" t="str">
        <f>G140</f>
        <v>US$ mn 2021</v>
      </c>
      <c r="H156" s="176">
        <f xml:space="preserve"> H$87</f>
        <v>0</v>
      </c>
      <c r="I156" s="176">
        <f ca="1" xml:space="preserve"> SUM(K156:AX156)</f>
        <v>44103.023863224538</v>
      </c>
      <c r="J156" s="176"/>
      <c r="K156" s="176">
        <f t="shared" ref="K156:AX156" ca="1" si="65" xml:space="preserve"> K154 - K155</f>
        <v>0</v>
      </c>
      <c r="L156" s="176">
        <f t="shared" ca="1" si="65"/>
        <v>0</v>
      </c>
      <c r="M156" s="176">
        <f t="shared" ca="1" si="65"/>
        <v>0</v>
      </c>
      <c r="N156" s="176">
        <f t="shared" ca="1" si="65"/>
        <v>0</v>
      </c>
      <c r="O156" s="176">
        <f t="shared" ca="1" si="65"/>
        <v>191.65835816431044</v>
      </c>
      <c r="P156" s="176">
        <f t="shared" ca="1" si="65"/>
        <v>1505.625</v>
      </c>
      <c r="Q156" s="176">
        <f t="shared" ca="1" si="65"/>
        <v>3011.25</v>
      </c>
      <c r="R156" s="176">
        <f t="shared" ca="1" si="65"/>
        <v>3011.25</v>
      </c>
      <c r="S156" s="176">
        <f t="shared" ca="1" si="65"/>
        <v>3011.25</v>
      </c>
      <c r="T156" s="176">
        <f t="shared" ca="1" si="65"/>
        <v>3011.25</v>
      </c>
      <c r="U156" s="176">
        <f t="shared" ca="1" si="65"/>
        <v>3011.25</v>
      </c>
      <c r="V156" s="176">
        <f t="shared" ca="1" si="65"/>
        <v>3011.25</v>
      </c>
      <c r="W156" s="176">
        <f t="shared" ca="1" si="65"/>
        <v>3011.25</v>
      </c>
      <c r="X156" s="176">
        <f t="shared" ca="1" si="65"/>
        <v>3011.25</v>
      </c>
      <c r="Y156" s="176">
        <f t="shared" ca="1" si="65"/>
        <v>3011.25</v>
      </c>
      <c r="Z156" s="176">
        <f t="shared" ca="1" si="65"/>
        <v>3011.25</v>
      </c>
      <c r="AA156" s="176">
        <f t="shared" ca="1" si="65"/>
        <v>2439.1125000000006</v>
      </c>
      <c r="AB156" s="176">
        <f t="shared" ca="1" si="65"/>
        <v>1975.6811250000005</v>
      </c>
      <c r="AC156" s="176">
        <f t="shared" ca="1" si="65"/>
        <v>1600.3017112500004</v>
      </c>
      <c r="AD156" s="176">
        <f t="shared" ca="1" si="65"/>
        <v>1296.2443861125007</v>
      </c>
      <c r="AE156" s="176">
        <f t="shared" ca="1" si="65"/>
        <v>1049.9579527511255</v>
      </c>
      <c r="AF156" s="176">
        <f t="shared" ca="1" si="65"/>
        <v>850.46594172841174</v>
      </c>
      <c r="AG156" s="176">
        <f t="shared" ca="1" si="65"/>
        <v>688.87741280001364</v>
      </c>
      <c r="AH156" s="176">
        <f t="shared" ca="1" si="65"/>
        <v>557.99070436801105</v>
      </c>
      <c r="AI156" s="176">
        <f t="shared" ca="1" si="65"/>
        <v>451.972470538089</v>
      </c>
      <c r="AJ156" s="176">
        <f t="shared" ca="1" si="65"/>
        <v>366.09770113585205</v>
      </c>
      <c r="AK156" s="176">
        <f t="shared" ca="1" si="65"/>
        <v>296.53913792004022</v>
      </c>
      <c r="AL156" s="176">
        <f t="shared" ca="1" si="65"/>
        <v>240.19670171523254</v>
      </c>
      <c r="AM156" s="176">
        <f t="shared" ca="1" si="65"/>
        <v>194.55932838933836</v>
      </c>
      <c r="AN156" s="176">
        <f t="shared" ca="1" si="65"/>
        <v>157.59305599536407</v>
      </c>
      <c r="AO156" s="176">
        <f t="shared" ca="1" si="65"/>
        <v>127.65037535624494</v>
      </c>
      <c r="AP156" s="176">
        <f t="shared" ca="1" si="65"/>
        <v>0</v>
      </c>
      <c r="AQ156" s="176">
        <f t="shared" ca="1" si="65"/>
        <v>0</v>
      </c>
      <c r="AR156" s="176">
        <f t="shared" ca="1" si="65"/>
        <v>0</v>
      </c>
      <c r="AS156" s="176">
        <f t="shared" ca="1" si="65"/>
        <v>0</v>
      </c>
      <c r="AT156" s="176">
        <f t="shared" ca="1" si="65"/>
        <v>0</v>
      </c>
      <c r="AU156" s="176">
        <f t="shared" ca="1" si="65"/>
        <v>0</v>
      </c>
      <c r="AV156" s="176">
        <f t="shared" ca="1" si="65"/>
        <v>0</v>
      </c>
      <c r="AW156" s="176">
        <f t="shared" ca="1" si="65"/>
        <v>0</v>
      </c>
      <c r="AX156" s="176">
        <f t="shared" ca="1" si="65"/>
        <v>0</v>
      </c>
    </row>
    <row r="157" spans="1:50" ht="15" customHeight="1" x14ac:dyDescent="0.25">
      <c r="A157" s="86"/>
      <c r="B157" s="175"/>
      <c r="C157" s="88"/>
      <c r="D157" s="162"/>
      <c r="E157" s="55"/>
      <c r="F157" s="55"/>
      <c r="G157" s="55"/>
      <c r="H157" s="55"/>
      <c r="I157" s="55"/>
      <c r="J157" s="55"/>
      <c r="K157" s="55"/>
      <c r="L157" s="55"/>
      <c r="M157" s="55"/>
      <c r="N157" s="55"/>
      <c r="O157" s="55"/>
      <c r="P157" s="55"/>
      <c r="Q157" s="55"/>
      <c r="R157" s="55"/>
      <c r="S157" s="55"/>
      <c r="T157" s="55"/>
      <c r="U157" s="55"/>
      <c r="V157" s="55"/>
      <c r="W157" s="55"/>
      <c r="X157" s="55"/>
      <c r="Y157" s="55"/>
      <c r="Z157" s="55"/>
      <c r="AA157" s="55"/>
      <c r="AB157" s="55"/>
      <c r="AC157" s="55"/>
      <c r="AD157" s="55"/>
      <c r="AE157" s="55"/>
      <c r="AF157" s="55"/>
      <c r="AG157" s="55"/>
      <c r="AH157" s="55"/>
      <c r="AI157" s="55"/>
      <c r="AJ157" s="55"/>
      <c r="AK157" s="55"/>
      <c r="AL157" s="55"/>
      <c r="AM157" s="55"/>
      <c r="AN157" s="55"/>
      <c r="AO157" s="55"/>
      <c r="AP157" s="55"/>
      <c r="AQ157" s="55"/>
      <c r="AR157" s="55"/>
      <c r="AS157" s="55"/>
      <c r="AT157" s="55"/>
      <c r="AU157" s="55"/>
      <c r="AV157" s="55"/>
      <c r="AW157" s="55"/>
      <c r="AX157" s="55"/>
    </row>
    <row r="158" spans="1:50" s="77" customFormat="1" ht="15" customHeight="1" x14ac:dyDescent="0.25">
      <c r="A158" s="201"/>
      <c r="B158" s="198"/>
      <c r="C158" s="199"/>
      <c r="D158" s="200"/>
      <c r="E158" s="176" t="str">
        <f>E142 &amp;  ", " &amp; Translate!E595</f>
        <v>Exploration costs, after ELT</v>
      </c>
      <c r="F158" s="176"/>
      <c r="G158" s="176" t="str">
        <f>G142</f>
        <v>US$ mn 2021</v>
      </c>
      <c r="H158" s="176">
        <f xml:space="preserve"> H$64</f>
        <v>0</v>
      </c>
      <c r="I158" s="176">
        <f ca="1" xml:space="preserve"> SUM(K158:AX158)</f>
        <v>420</v>
      </c>
      <c r="J158" s="176"/>
      <c r="K158" s="176">
        <f t="shared" ref="K158:AX158" ca="1" si="66">K142 * K$150</f>
        <v>420</v>
      </c>
      <c r="L158" s="176">
        <f t="shared" ca="1" si="66"/>
        <v>0</v>
      </c>
      <c r="M158" s="176">
        <f t="shared" ca="1" si="66"/>
        <v>0</v>
      </c>
      <c r="N158" s="176">
        <f t="shared" ca="1" si="66"/>
        <v>0</v>
      </c>
      <c r="O158" s="176">
        <f t="shared" ca="1" si="66"/>
        <v>0</v>
      </c>
      <c r="P158" s="176">
        <f t="shared" ca="1" si="66"/>
        <v>0</v>
      </c>
      <c r="Q158" s="176">
        <f t="shared" ca="1" si="66"/>
        <v>0</v>
      </c>
      <c r="R158" s="176">
        <f t="shared" ca="1" si="66"/>
        <v>0</v>
      </c>
      <c r="S158" s="176">
        <f t="shared" ca="1" si="66"/>
        <v>0</v>
      </c>
      <c r="T158" s="176">
        <f t="shared" ca="1" si="66"/>
        <v>0</v>
      </c>
      <c r="U158" s="176">
        <f t="shared" ca="1" si="66"/>
        <v>0</v>
      </c>
      <c r="V158" s="176">
        <f t="shared" ca="1" si="66"/>
        <v>0</v>
      </c>
      <c r="W158" s="176">
        <f t="shared" ca="1" si="66"/>
        <v>0</v>
      </c>
      <c r="X158" s="176">
        <f t="shared" ca="1" si="66"/>
        <v>0</v>
      </c>
      <c r="Y158" s="176">
        <f t="shared" ca="1" si="66"/>
        <v>0</v>
      </c>
      <c r="Z158" s="176">
        <f t="shared" ca="1" si="66"/>
        <v>0</v>
      </c>
      <c r="AA158" s="176">
        <f t="shared" ca="1" si="66"/>
        <v>0</v>
      </c>
      <c r="AB158" s="176">
        <f t="shared" ca="1" si="66"/>
        <v>0</v>
      </c>
      <c r="AC158" s="176">
        <f t="shared" ca="1" si="66"/>
        <v>0</v>
      </c>
      <c r="AD158" s="176">
        <f t="shared" ca="1" si="66"/>
        <v>0</v>
      </c>
      <c r="AE158" s="176">
        <f t="shared" ca="1" si="66"/>
        <v>0</v>
      </c>
      <c r="AF158" s="176">
        <f t="shared" ca="1" si="66"/>
        <v>0</v>
      </c>
      <c r="AG158" s="176">
        <f t="shared" ca="1" si="66"/>
        <v>0</v>
      </c>
      <c r="AH158" s="176">
        <f t="shared" ca="1" si="66"/>
        <v>0</v>
      </c>
      <c r="AI158" s="176">
        <f t="shared" ca="1" si="66"/>
        <v>0</v>
      </c>
      <c r="AJ158" s="176">
        <f t="shared" ca="1" si="66"/>
        <v>0</v>
      </c>
      <c r="AK158" s="176">
        <f t="shared" ca="1" si="66"/>
        <v>0</v>
      </c>
      <c r="AL158" s="176">
        <f t="shared" ca="1" si="66"/>
        <v>0</v>
      </c>
      <c r="AM158" s="176">
        <f t="shared" ca="1" si="66"/>
        <v>0</v>
      </c>
      <c r="AN158" s="176">
        <f t="shared" ca="1" si="66"/>
        <v>0</v>
      </c>
      <c r="AO158" s="176">
        <f t="shared" ca="1" si="66"/>
        <v>0</v>
      </c>
      <c r="AP158" s="176">
        <f t="shared" ca="1" si="66"/>
        <v>0</v>
      </c>
      <c r="AQ158" s="176">
        <f t="shared" ca="1" si="66"/>
        <v>0</v>
      </c>
      <c r="AR158" s="176">
        <f t="shared" ca="1" si="66"/>
        <v>0</v>
      </c>
      <c r="AS158" s="176">
        <f t="shared" ca="1" si="66"/>
        <v>0</v>
      </c>
      <c r="AT158" s="176">
        <f t="shared" ca="1" si="66"/>
        <v>0</v>
      </c>
      <c r="AU158" s="176">
        <f t="shared" ca="1" si="66"/>
        <v>0</v>
      </c>
      <c r="AV158" s="176">
        <f t="shared" ca="1" si="66"/>
        <v>0</v>
      </c>
      <c r="AW158" s="176">
        <f t="shared" ca="1" si="66"/>
        <v>0</v>
      </c>
      <c r="AX158" s="176">
        <f t="shared" ca="1" si="66"/>
        <v>0</v>
      </c>
    </row>
    <row r="159" spans="1:50" s="77" customFormat="1" ht="15" customHeight="1" x14ac:dyDescent="0.25">
      <c r="A159" s="201"/>
      <c r="B159" s="198"/>
      <c r="C159" s="199"/>
      <c r="D159" s="200"/>
      <c r="E159" s="176" t="str">
        <f>E143 &amp;  ", " &amp; Translate!E595</f>
        <v>Development costs, after ELT</v>
      </c>
      <c r="F159" s="176"/>
      <c r="G159" s="176" t="str">
        <f>G143</f>
        <v>US$ mn 2021</v>
      </c>
      <c r="H159" s="176">
        <f xml:space="preserve"> H$91</f>
        <v>0</v>
      </c>
      <c r="I159" s="176">
        <f ca="1" xml:space="preserve"> SUM(K159:AX159)</f>
        <v>9050</v>
      </c>
      <c r="J159" s="176"/>
      <c r="K159" s="176">
        <f t="shared" ref="K159:AX159" ca="1" si="67">K143 * K$150</f>
        <v>0</v>
      </c>
      <c r="L159" s="176">
        <f t="shared" ca="1" si="67"/>
        <v>50</v>
      </c>
      <c r="M159" s="176">
        <f t="shared" ca="1" si="67"/>
        <v>300</v>
      </c>
      <c r="N159" s="176">
        <f t="shared" ca="1" si="67"/>
        <v>1200</v>
      </c>
      <c r="O159" s="176">
        <f t="shared" ca="1" si="67"/>
        <v>1200</v>
      </c>
      <c r="P159" s="176">
        <f t="shared" ca="1" si="67"/>
        <v>2100</v>
      </c>
      <c r="Q159" s="176">
        <f t="shared" ca="1" si="67"/>
        <v>1100</v>
      </c>
      <c r="R159" s="176">
        <f t="shared" ca="1" si="67"/>
        <v>450</v>
      </c>
      <c r="S159" s="176">
        <f t="shared" ca="1" si="67"/>
        <v>250</v>
      </c>
      <c r="T159" s="176">
        <f t="shared" ca="1" si="67"/>
        <v>250</v>
      </c>
      <c r="U159" s="176">
        <f t="shared" ca="1" si="67"/>
        <v>250</v>
      </c>
      <c r="V159" s="176">
        <f t="shared" ca="1" si="67"/>
        <v>250</v>
      </c>
      <c r="W159" s="176">
        <f t="shared" ca="1" si="67"/>
        <v>250</v>
      </c>
      <c r="X159" s="176">
        <f t="shared" ca="1" si="67"/>
        <v>250</v>
      </c>
      <c r="Y159" s="176">
        <f t="shared" ca="1" si="67"/>
        <v>250</v>
      </c>
      <c r="Z159" s="176">
        <f t="shared" ca="1" si="67"/>
        <v>250</v>
      </c>
      <c r="AA159" s="176">
        <f t="shared" ca="1" si="67"/>
        <v>250</v>
      </c>
      <c r="AB159" s="176">
        <f t="shared" ca="1" si="67"/>
        <v>0</v>
      </c>
      <c r="AC159" s="176">
        <f t="shared" ca="1" si="67"/>
        <v>0</v>
      </c>
      <c r="AD159" s="176">
        <f t="shared" ca="1" si="67"/>
        <v>200</v>
      </c>
      <c r="AE159" s="176">
        <f t="shared" ca="1" si="67"/>
        <v>200</v>
      </c>
      <c r="AF159" s="176">
        <f t="shared" ca="1" si="67"/>
        <v>0</v>
      </c>
      <c r="AG159" s="176">
        <f t="shared" ca="1" si="67"/>
        <v>0</v>
      </c>
      <c r="AH159" s="176">
        <f t="shared" ca="1" si="67"/>
        <v>0</v>
      </c>
      <c r="AI159" s="176">
        <f t="shared" ca="1" si="67"/>
        <v>0</v>
      </c>
      <c r="AJ159" s="176">
        <f t="shared" ca="1" si="67"/>
        <v>0</v>
      </c>
      <c r="AK159" s="176">
        <f t="shared" ca="1" si="67"/>
        <v>0</v>
      </c>
      <c r="AL159" s="176">
        <f t="shared" ca="1" si="67"/>
        <v>0</v>
      </c>
      <c r="AM159" s="176">
        <f t="shared" ca="1" si="67"/>
        <v>0</v>
      </c>
      <c r="AN159" s="176">
        <f t="shared" ca="1" si="67"/>
        <v>0</v>
      </c>
      <c r="AO159" s="176">
        <f t="shared" ca="1" si="67"/>
        <v>0</v>
      </c>
      <c r="AP159" s="176">
        <f t="shared" ca="1" si="67"/>
        <v>0</v>
      </c>
      <c r="AQ159" s="176">
        <f t="shared" ca="1" si="67"/>
        <v>0</v>
      </c>
      <c r="AR159" s="176">
        <f t="shared" ca="1" si="67"/>
        <v>0</v>
      </c>
      <c r="AS159" s="176">
        <f t="shared" ca="1" si="67"/>
        <v>0</v>
      </c>
      <c r="AT159" s="176">
        <f t="shared" ca="1" si="67"/>
        <v>0</v>
      </c>
      <c r="AU159" s="176">
        <f t="shared" ca="1" si="67"/>
        <v>0</v>
      </c>
      <c r="AV159" s="176">
        <f t="shared" ca="1" si="67"/>
        <v>0</v>
      </c>
      <c r="AW159" s="176">
        <f t="shared" ca="1" si="67"/>
        <v>0</v>
      </c>
      <c r="AX159" s="176">
        <f t="shared" ca="1" si="67"/>
        <v>0</v>
      </c>
    </row>
    <row r="160" spans="1:50" s="77" customFormat="1" ht="15" customHeight="1" x14ac:dyDescent="0.25">
      <c r="A160" s="201"/>
      <c r="B160" s="198"/>
      <c r="C160" s="199"/>
      <c r="D160" s="200"/>
      <c r="E160" s="176" t="str">
        <f>E144 &amp;  ", " &amp; Translate!E595</f>
        <v>Replacement capital costs, after ELT</v>
      </c>
      <c r="F160" s="176"/>
      <c r="G160" s="176" t="str">
        <f>G144</f>
        <v>US$ mn 2021</v>
      </c>
      <c r="H160" s="176">
        <f xml:space="preserve"> H$92</f>
        <v>0</v>
      </c>
      <c r="I160" s="176">
        <f ca="1" xml:space="preserve"> SUM(K160:AX160)</f>
        <v>0</v>
      </c>
      <c r="J160" s="176"/>
      <c r="K160" s="176">
        <f t="shared" ref="K160:AX160" ca="1" si="68">K144 * K$150</f>
        <v>0</v>
      </c>
      <c r="L160" s="176">
        <f t="shared" ca="1" si="68"/>
        <v>0</v>
      </c>
      <c r="M160" s="176">
        <f t="shared" ca="1" si="68"/>
        <v>0</v>
      </c>
      <c r="N160" s="176">
        <f t="shared" ca="1" si="68"/>
        <v>0</v>
      </c>
      <c r="O160" s="176">
        <f t="shared" ca="1" si="68"/>
        <v>0</v>
      </c>
      <c r="P160" s="176">
        <f t="shared" ca="1" si="68"/>
        <v>0</v>
      </c>
      <c r="Q160" s="176">
        <f t="shared" ca="1" si="68"/>
        <v>0</v>
      </c>
      <c r="R160" s="176">
        <f t="shared" ca="1" si="68"/>
        <v>0</v>
      </c>
      <c r="S160" s="176">
        <f t="shared" ca="1" si="68"/>
        <v>0</v>
      </c>
      <c r="T160" s="176">
        <f t="shared" ca="1" si="68"/>
        <v>0</v>
      </c>
      <c r="U160" s="176">
        <f t="shared" ca="1" si="68"/>
        <v>0</v>
      </c>
      <c r="V160" s="176">
        <f t="shared" ca="1" si="68"/>
        <v>0</v>
      </c>
      <c r="W160" s="176">
        <f t="shared" ca="1" si="68"/>
        <v>0</v>
      </c>
      <c r="X160" s="176">
        <f t="shared" ca="1" si="68"/>
        <v>0</v>
      </c>
      <c r="Y160" s="176">
        <f t="shared" ca="1" si="68"/>
        <v>0</v>
      </c>
      <c r="Z160" s="176">
        <f t="shared" ca="1" si="68"/>
        <v>0</v>
      </c>
      <c r="AA160" s="176">
        <f t="shared" ca="1" si="68"/>
        <v>0</v>
      </c>
      <c r="AB160" s="176">
        <f t="shared" ca="1" si="68"/>
        <v>0</v>
      </c>
      <c r="AC160" s="176">
        <f t="shared" ca="1" si="68"/>
        <v>0</v>
      </c>
      <c r="AD160" s="176">
        <f t="shared" ca="1" si="68"/>
        <v>0</v>
      </c>
      <c r="AE160" s="176">
        <f t="shared" ca="1" si="68"/>
        <v>0</v>
      </c>
      <c r="AF160" s="176">
        <f t="shared" ca="1" si="68"/>
        <v>0</v>
      </c>
      <c r="AG160" s="176">
        <f t="shared" ca="1" si="68"/>
        <v>0</v>
      </c>
      <c r="AH160" s="176">
        <f t="shared" ca="1" si="68"/>
        <v>0</v>
      </c>
      <c r="AI160" s="176">
        <f t="shared" ca="1" si="68"/>
        <v>0</v>
      </c>
      <c r="AJ160" s="176">
        <f t="shared" ca="1" si="68"/>
        <v>0</v>
      </c>
      <c r="AK160" s="176">
        <f t="shared" ca="1" si="68"/>
        <v>0</v>
      </c>
      <c r="AL160" s="176">
        <f t="shared" ca="1" si="68"/>
        <v>0</v>
      </c>
      <c r="AM160" s="176">
        <f t="shared" ca="1" si="68"/>
        <v>0</v>
      </c>
      <c r="AN160" s="176">
        <f t="shared" ca="1" si="68"/>
        <v>0</v>
      </c>
      <c r="AO160" s="176">
        <f t="shared" ca="1" si="68"/>
        <v>0</v>
      </c>
      <c r="AP160" s="176">
        <f t="shared" ca="1" si="68"/>
        <v>0</v>
      </c>
      <c r="AQ160" s="176">
        <f t="shared" ca="1" si="68"/>
        <v>0</v>
      </c>
      <c r="AR160" s="176">
        <f t="shared" ca="1" si="68"/>
        <v>0</v>
      </c>
      <c r="AS160" s="176">
        <f t="shared" ca="1" si="68"/>
        <v>0</v>
      </c>
      <c r="AT160" s="176">
        <f t="shared" ca="1" si="68"/>
        <v>0</v>
      </c>
      <c r="AU160" s="176">
        <f t="shared" ca="1" si="68"/>
        <v>0</v>
      </c>
      <c r="AV160" s="176">
        <f t="shared" ca="1" si="68"/>
        <v>0</v>
      </c>
      <c r="AW160" s="176">
        <f t="shared" ca="1" si="68"/>
        <v>0</v>
      </c>
      <c r="AX160" s="176">
        <f t="shared" ca="1" si="68"/>
        <v>0</v>
      </c>
    </row>
    <row r="161" spans="1:50" s="77" customFormat="1" ht="15" customHeight="1" x14ac:dyDescent="0.25">
      <c r="A161" s="201"/>
      <c r="B161" s="198"/>
      <c r="C161" s="199"/>
      <c r="D161" s="200"/>
      <c r="E161" s="176" t="str">
        <f>E145 &amp;  ", " &amp; Translate!E595</f>
        <v>Operating costs, after ELT</v>
      </c>
      <c r="F161" s="176"/>
      <c r="G161" s="176" t="str">
        <f>G145</f>
        <v>US$ mn 2021</v>
      </c>
      <c r="H161" s="176">
        <f xml:space="preserve"> H$93</f>
        <v>0</v>
      </c>
      <c r="I161" s="176">
        <f ca="1" xml:space="preserve"> SUM(K161:AX161)</f>
        <v>4601</v>
      </c>
      <c r="J161" s="176"/>
      <c r="K161" s="176">
        <f t="shared" ref="K161:AX161" ca="1" si="69">K145 * K$150</f>
        <v>0</v>
      </c>
      <c r="L161" s="176">
        <f t="shared" ca="1" si="69"/>
        <v>0</v>
      </c>
      <c r="M161" s="176">
        <f t="shared" ca="1" si="69"/>
        <v>0</v>
      </c>
      <c r="N161" s="176">
        <f t="shared" ca="1" si="69"/>
        <v>0</v>
      </c>
      <c r="O161" s="176">
        <f t="shared" ca="1" si="69"/>
        <v>50</v>
      </c>
      <c r="P161" s="176">
        <f t="shared" ca="1" si="69"/>
        <v>180</v>
      </c>
      <c r="Q161" s="176">
        <f t="shared" ca="1" si="69"/>
        <v>260</v>
      </c>
      <c r="R161" s="176">
        <f t="shared" ca="1" si="69"/>
        <v>260</v>
      </c>
      <c r="S161" s="176">
        <f t="shared" ca="1" si="69"/>
        <v>260</v>
      </c>
      <c r="T161" s="176">
        <f t="shared" ca="1" si="69"/>
        <v>260</v>
      </c>
      <c r="U161" s="176">
        <f t="shared" ca="1" si="69"/>
        <v>260</v>
      </c>
      <c r="V161" s="176">
        <f t="shared" ca="1" si="69"/>
        <v>260</v>
      </c>
      <c r="W161" s="176">
        <f t="shared" ca="1" si="69"/>
        <v>260</v>
      </c>
      <c r="X161" s="176">
        <f t="shared" ca="1" si="69"/>
        <v>260</v>
      </c>
      <c r="Y161" s="176">
        <f t="shared" ca="1" si="69"/>
        <v>260</v>
      </c>
      <c r="Z161" s="176">
        <f t="shared" ca="1" si="69"/>
        <v>260</v>
      </c>
      <c r="AA161" s="176">
        <f t="shared" ca="1" si="69"/>
        <v>260</v>
      </c>
      <c r="AB161" s="176">
        <f t="shared" ca="1" si="69"/>
        <v>260</v>
      </c>
      <c r="AC161" s="176">
        <f t="shared" ca="1" si="69"/>
        <v>150</v>
      </c>
      <c r="AD161" s="176">
        <f t="shared" ca="1" si="69"/>
        <v>140</v>
      </c>
      <c r="AE161" s="176">
        <f t="shared" ca="1" si="69"/>
        <v>120</v>
      </c>
      <c r="AF161" s="176">
        <f t="shared" ca="1" si="69"/>
        <v>111</v>
      </c>
      <c r="AG161" s="176">
        <f t="shared" ca="1" si="69"/>
        <v>100</v>
      </c>
      <c r="AH161" s="176">
        <f t="shared" ca="1" si="69"/>
        <v>95</v>
      </c>
      <c r="AI161" s="176">
        <f t="shared" ca="1" si="69"/>
        <v>90</v>
      </c>
      <c r="AJ161" s="176">
        <f t="shared" ca="1" si="69"/>
        <v>85</v>
      </c>
      <c r="AK161" s="176">
        <f t="shared" ca="1" si="69"/>
        <v>80</v>
      </c>
      <c r="AL161" s="176">
        <f t="shared" ca="1" si="69"/>
        <v>75</v>
      </c>
      <c r="AM161" s="176">
        <f t="shared" ca="1" si="69"/>
        <v>70</v>
      </c>
      <c r="AN161" s="176">
        <f t="shared" ca="1" si="69"/>
        <v>70</v>
      </c>
      <c r="AO161" s="176">
        <f t="shared" ca="1" si="69"/>
        <v>65</v>
      </c>
      <c r="AP161" s="176">
        <f t="shared" ca="1" si="69"/>
        <v>0</v>
      </c>
      <c r="AQ161" s="176">
        <f t="shared" ca="1" si="69"/>
        <v>0</v>
      </c>
      <c r="AR161" s="176">
        <f t="shared" ca="1" si="69"/>
        <v>0</v>
      </c>
      <c r="AS161" s="176">
        <f t="shared" ca="1" si="69"/>
        <v>0</v>
      </c>
      <c r="AT161" s="176">
        <f t="shared" ca="1" si="69"/>
        <v>0</v>
      </c>
      <c r="AU161" s="176">
        <f t="shared" ca="1" si="69"/>
        <v>0</v>
      </c>
      <c r="AV161" s="176">
        <f t="shared" ca="1" si="69"/>
        <v>0</v>
      </c>
      <c r="AW161" s="176">
        <f t="shared" ca="1" si="69"/>
        <v>0</v>
      </c>
      <c r="AX161" s="176">
        <f t="shared" ca="1" si="69"/>
        <v>0</v>
      </c>
    </row>
    <row r="162" spans="1:50" s="77" customFormat="1" ht="15" customHeight="1" x14ac:dyDescent="0.25">
      <c r="A162" s="201"/>
      <c r="B162" s="198"/>
      <c r="C162" s="199"/>
      <c r="D162" s="200"/>
      <c r="E162" s="176" t="str">
        <f t="shared" ref="E162:AX162" si="70" xml:space="preserve"> E$123</f>
        <v>Decommissioning costs, after ELT</v>
      </c>
      <c r="F162" s="176">
        <f t="shared" si="70"/>
        <v>0</v>
      </c>
      <c r="G162" s="176" t="str">
        <f t="shared" si="70"/>
        <v>US$ mn 2021</v>
      </c>
      <c r="H162" s="176">
        <f t="shared" si="70"/>
        <v>0</v>
      </c>
      <c r="I162" s="176">
        <f t="shared" ca="1" si="70"/>
        <v>750</v>
      </c>
      <c r="J162" s="176">
        <f t="shared" si="70"/>
        <v>0</v>
      </c>
      <c r="K162" s="176">
        <f t="shared" ca="1" si="70"/>
        <v>0</v>
      </c>
      <c r="L162" s="176">
        <f t="shared" ca="1" si="70"/>
        <v>0</v>
      </c>
      <c r="M162" s="176">
        <f t="shared" ca="1" si="70"/>
        <v>0</v>
      </c>
      <c r="N162" s="176">
        <f t="shared" ca="1" si="70"/>
        <v>0</v>
      </c>
      <c r="O162" s="176">
        <f t="shared" ca="1" si="70"/>
        <v>0</v>
      </c>
      <c r="P162" s="176">
        <f t="shared" ca="1" si="70"/>
        <v>0</v>
      </c>
      <c r="Q162" s="176">
        <f t="shared" ca="1" si="70"/>
        <v>0</v>
      </c>
      <c r="R162" s="176">
        <f t="shared" ca="1" si="70"/>
        <v>0</v>
      </c>
      <c r="S162" s="176">
        <f t="shared" ca="1" si="70"/>
        <v>0</v>
      </c>
      <c r="T162" s="176">
        <f t="shared" ca="1" si="70"/>
        <v>0</v>
      </c>
      <c r="U162" s="176">
        <f t="shared" ca="1" si="70"/>
        <v>0</v>
      </c>
      <c r="V162" s="176">
        <f t="shared" ca="1" si="70"/>
        <v>0</v>
      </c>
      <c r="W162" s="176">
        <f t="shared" ca="1" si="70"/>
        <v>0</v>
      </c>
      <c r="X162" s="176">
        <f t="shared" ca="1" si="70"/>
        <v>0</v>
      </c>
      <c r="Y162" s="176">
        <f t="shared" ca="1" si="70"/>
        <v>0</v>
      </c>
      <c r="Z162" s="176">
        <f t="shared" ca="1" si="70"/>
        <v>0</v>
      </c>
      <c r="AA162" s="176">
        <f t="shared" ca="1" si="70"/>
        <v>0</v>
      </c>
      <c r="AB162" s="176">
        <f t="shared" ca="1" si="70"/>
        <v>0</v>
      </c>
      <c r="AC162" s="176">
        <f t="shared" ca="1" si="70"/>
        <v>0</v>
      </c>
      <c r="AD162" s="176">
        <f t="shared" ca="1" si="70"/>
        <v>0</v>
      </c>
      <c r="AE162" s="176">
        <f t="shared" ca="1" si="70"/>
        <v>0</v>
      </c>
      <c r="AF162" s="176">
        <f t="shared" ca="1" si="70"/>
        <v>0</v>
      </c>
      <c r="AG162" s="176">
        <f t="shared" ca="1" si="70"/>
        <v>0</v>
      </c>
      <c r="AH162" s="176">
        <f t="shared" ca="1" si="70"/>
        <v>0</v>
      </c>
      <c r="AI162" s="176">
        <f t="shared" ca="1" si="70"/>
        <v>0</v>
      </c>
      <c r="AJ162" s="176">
        <f t="shared" ca="1" si="70"/>
        <v>0</v>
      </c>
      <c r="AK162" s="176">
        <f t="shared" ca="1" si="70"/>
        <v>0</v>
      </c>
      <c r="AL162" s="176">
        <f t="shared" ca="1" si="70"/>
        <v>250</v>
      </c>
      <c r="AM162" s="176">
        <f t="shared" ca="1" si="70"/>
        <v>0</v>
      </c>
      <c r="AN162" s="176">
        <f t="shared" ca="1" si="70"/>
        <v>0</v>
      </c>
      <c r="AO162" s="176">
        <f t="shared" ca="1" si="70"/>
        <v>0</v>
      </c>
      <c r="AP162" s="176">
        <f t="shared" ca="1" si="70"/>
        <v>250</v>
      </c>
      <c r="AQ162" s="176">
        <f t="shared" ca="1" si="70"/>
        <v>250</v>
      </c>
      <c r="AR162" s="176">
        <f t="shared" ca="1" si="70"/>
        <v>0</v>
      </c>
      <c r="AS162" s="176">
        <f t="shared" ca="1" si="70"/>
        <v>0</v>
      </c>
      <c r="AT162" s="176">
        <f t="shared" ca="1" si="70"/>
        <v>0</v>
      </c>
      <c r="AU162" s="176">
        <f t="shared" ca="1" si="70"/>
        <v>0</v>
      </c>
      <c r="AV162" s="176">
        <f t="shared" ca="1" si="70"/>
        <v>0</v>
      </c>
      <c r="AW162" s="176">
        <f t="shared" ca="1" si="70"/>
        <v>0</v>
      </c>
      <c r="AX162" s="176">
        <f t="shared" ca="1" si="70"/>
        <v>0</v>
      </c>
    </row>
    <row r="163" spans="1:50" s="77" customFormat="1" ht="15" customHeight="1" x14ac:dyDescent="0.25">
      <c r="A163" s="201"/>
      <c r="B163" s="198"/>
      <c r="C163" s="199"/>
      <c r="D163" s="200"/>
      <c r="E163" s="176" t="str">
        <f>E147 &amp;  ", " &amp; Translate!E595</f>
        <v>Project costs, after ELT</v>
      </c>
      <c r="F163" s="176"/>
      <c r="G163" s="176" t="str">
        <f>G147</f>
        <v>US$ mn 2021</v>
      </c>
      <c r="H163" s="176"/>
      <c r="I163" s="176">
        <f ca="1" xml:space="preserve"> SUM(K163:AX163)</f>
        <v>14821</v>
      </c>
      <c r="J163" s="176"/>
      <c r="K163" s="176">
        <f t="shared" ref="K163:AX163" ca="1" si="71">SUM(K158:K162)</f>
        <v>420</v>
      </c>
      <c r="L163" s="176">
        <f t="shared" ca="1" si="71"/>
        <v>50</v>
      </c>
      <c r="M163" s="176">
        <f t="shared" ca="1" si="71"/>
        <v>300</v>
      </c>
      <c r="N163" s="176">
        <f t="shared" ca="1" si="71"/>
        <v>1200</v>
      </c>
      <c r="O163" s="176">
        <f t="shared" ca="1" si="71"/>
        <v>1250</v>
      </c>
      <c r="P163" s="176">
        <f t="shared" ca="1" si="71"/>
        <v>2280</v>
      </c>
      <c r="Q163" s="176">
        <f t="shared" ca="1" si="71"/>
        <v>1360</v>
      </c>
      <c r="R163" s="176">
        <f t="shared" ca="1" si="71"/>
        <v>710</v>
      </c>
      <c r="S163" s="176">
        <f t="shared" ca="1" si="71"/>
        <v>510</v>
      </c>
      <c r="T163" s="176">
        <f t="shared" ca="1" si="71"/>
        <v>510</v>
      </c>
      <c r="U163" s="176">
        <f t="shared" ca="1" si="71"/>
        <v>510</v>
      </c>
      <c r="V163" s="176">
        <f t="shared" ca="1" si="71"/>
        <v>510</v>
      </c>
      <c r="W163" s="176">
        <f t="shared" ca="1" si="71"/>
        <v>510</v>
      </c>
      <c r="X163" s="176">
        <f t="shared" ca="1" si="71"/>
        <v>510</v>
      </c>
      <c r="Y163" s="176">
        <f t="shared" ca="1" si="71"/>
        <v>510</v>
      </c>
      <c r="Z163" s="176">
        <f t="shared" ca="1" si="71"/>
        <v>510</v>
      </c>
      <c r="AA163" s="176">
        <f t="shared" ca="1" si="71"/>
        <v>510</v>
      </c>
      <c r="AB163" s="176">
        <f t="shared" ca="1" si="71"/>
        <v>260</v>
      </c>
      <c r="AC163" s="176">
        <f t="shared" ca="1" si="71"/>
        <v>150</v>
      </c>
      <c r="AD163" s="176">
        <f t="shared" ca="1" si="71"/>
        <v>340</v>
      </c>
      <c r="AE163" s="176">
        <f t="shared" ca="1" si="71"/>
        <v>320</v>
      </c>
      <c r="AF163" s="176">
        <f t="shared" ca="1" si="71"/>
        <v>111</v>
      </c>
      <c r="AG163" s="176">
        <f t="shared" ca="1" si="71"/>
        <v>100</v>
      </c>
      <c r="AH163" s="176">
        <f t="shared" ca="1" si="71"/>
        <v>95</v>
      </c>
      <c r="AI163" s="176">
        <f t="shared" ca="1" si="71"/>
        <v>90</v>
      </c>
      <c r="AJ163" s="176">
        <f t="shared" ca="1" si="71"/>
        <v>85</v>
      </c>
      <c r="AK163" s="176">
        <f t="shared" ca="1" si="71"/>
        <v>80</v>
      </c>
      <c r="AL163" s="176">
        <f t="shared" ca="1" si="71"/>
        <v>325</v>
      </c>
      <c r="AM163" s="176">
        <f t="shared" ca="1" si="71"/>
        <v>70</v>
      </c>
      <c r="AN163" s="176">
        <f t="shared" ca="1" si="71"/>
        <v>70</v>
      </c>
      <c r="AO163" s="176">
        <f t="shared" ca="1" si="71"/>
        <v>65</v>
      </c>
      <c r="AP163" s="176">
        <f t="shared" ca="1" si="71"/>
        <v>250</v>
      </c>
      <c r="AQ163" s="176">
        <f t="shared" ca="1" si="71"/>
        <v>250</v>
      </c>
      <c r="AR163" s="176">
        <f t="shared" ca="1" si="71"/>
        <v>0</v>
      </c>
      <c r="AS163" s="176">
        <f t="shared" ca="1" si="71"/>
        <v>0</v>
      </c>
      <c r="AT163" s="176">
        <f t="shared" ca="1" si="71"/>
        <v>0</v>
      </c>
      <c r="AU163" s="176">
        <f t="shared" ca="1" si="71"/>
        <v>0</v>
      </c>
      <c r="AV163" s="176">
        <f t="shared" ca="1" si="71"/>
        <v>0</v>
      </c>
      <c r="AW163" s="176">
        <f t="shared" ca="1" si="71"/>
        <v>0</v>
      </c>
      <c r="AX163" s="176">
        <f t="shared" ca="1" si="71"/>
        <v>0</v>
      </c>
    </row>
    <row r="164" spans="1:50" ht="15" customHeight="1" x14ac:dyDescent="0.25">
      <c r="A164" s="86"/>
      <c r="B164" s="175"/>
      <c r="C164" s="88"/>
      <c r="D164" s="162"/>
      <c r="E164" s="55"/>
      <c r="F164" s="55"/>
      <c r="G164" s="55"/>
      <c r="H164" s="55"/>
      <c r="I164" s="55"/>
      <c r="J164" s="55"/>
      <c r="K164" s="55"/>
      <c r="L164" s="55"/>
      <c r="M164" s="55"/>
      <c r="N164" s="55"/>
      <c r="O164" s="55"/>
      <c r="P164" s="55"/>
      <c r="Q164" s="55"/>
      <c r="R164" s="55"/>
      <c r="S164" s="55"/>
      <c r="T164" s="55"/>
      <c r="U164" s="55"/>
      <c r="V164" s="55"/>
      <c r="W164" s="55"/>
      <c r="X164" s="55"/>
      <c r="Y164" s="55"/>
      <c r="Z164" s="55"/>
      <c r="AA164" s="55"/>
      <c r="AB164" s="55"/>
      <c r="AC164" s="55"/>
      <c r="AD164" s="55"/>
      <c r="AE164" s="55"/>
      <c r="AF164" s="55"/>
      <c r="AG164" s="55"/>
      <c r="AH164" s="55"/>
      <c r="AI164" s="55"/>
      <c r="AJ164" s="55"/>
      <c r="AK164" s="55"/>
      <c r="AL164" s="55"/>
      <c r="AM164" s="55"/>
      <c r="AN164" s="55"/>
      <c r="AO164" s="55"/>
      <c r="AP164" s="55"/>
      <c r="AQ164" s="55"/>
      <c r="AR164" s="55"/>
      <c r="AS164" s="55"/>
      <c r="AT164" s="55"/>
      <c r="AU164" s="55"/>
      <c r="AV164" s="55"/>
      <c r="AW164" s="55"/>
      <c r="AX164" s="55"/>
    </row>
    <row r="165" spans="1:50" ht="15" customHeight="1" x14ac:dyDescent="0.25">
      <c r="A165" s="86"/>
      <c r="B165" s="205"/>
      <c r="C165" s="88"/>
      <c r="D165" s="162" t="str">
        <f>Translate!E529</f>
        <v>add</v>
      </c>
      <c r="E165" s="55" t="str">
        <f t="shared" ref="E165:AX165" si="72" xml:space="preserve"> E$156</f>
        <v>Oil revenues net, after ELT</v>
      </c>
      <c r="F165" s="55">
        <f t="shared" si="72"/>
        <v>0</v>
      </c>
      <c r="G165" s="55" t="str">
        <f t="shared" si="72"/>
        <v>US$ mn 2021</v>
      </c>
      <c r="H165" s="55">
        <f t="shared" si="72"/>
        <v>0</v>
      </c>
      <c r="I165" s="55">
        <f t="shared" ca="1" si="72"/>
        <v>44103.023863224538</v>
      </c>
      <c r="J165" s="55">
        <f t="shared" si="72"/>
        <v>0</v>
      </c>
      <c r="K165" s="55">
        <f t="shared" ca="1" si="72"/>
        <v>0</v>
      </c>
      <c r="L165" s="55">
        <f t="shared" ca="1" si="72"/>
        <v>0</v>
      </c>
      <c r="M165" s="55">
        <f t="shared" ca="1" si="72"/>
        <v>0</v>
      </c>
      <c r="N165" s="55">
        <f t="shared" ca="1" si="72"/>
        <v>0</v>
      </c>
      <c r="O165" s="55">
        <f t="shared" ca="1" si="72"/>
        <v>191.65835816431044</v>
      </c>
      <c r="P165" s="55">
        <f t="shared" ca="1" si="72"/>
        <v>1505.625</v>
      </c>
      <c r="Q165" s="55">
        <f t="shared" ca="1" si="72"/>
        <v>3011.25</v>
      </c>
      <c r="R165" s="55">
        <f t="shared" ca="1" si="72"/>
        <v>3011.25</v>
      </c>
      <c r="S165" s="55">
        <f t="shared" ca="1" si="72"/>
        <v>3011.25</v>
      </c>
      <c r="T165" s="55">
        <f t="shared" ca="1" si="72"/>
        <v>3011.25</v>
      </c>
      <c r="U165" s="55">
        <f t="shared" ca="1" si="72"/>
        <v>3011.25</v>
      </c>
      <c r="V165" s="55">
        <f t="shared" ca="1" si="72"/>
        <v>3011.25</v>
      </c>
      <c r="W165" s="55">
        <f t="shared" ca="1" si="72"/>
        <v>3011.25</v>
      </c>
      <c r="X165" s="55">
        <f t="shared" ca="1" si="72"/>
        <v>3011.25</v>
      </c>
      <c r="Y165" s="55">
        <f t="shared" ca="1" si="72"/>
        <v>3011.25</v>
      </c>
      <c r="Z165" s="55">
        <f t="shared" ca="1" si="72"/>
        <v>3011.25</v>
      </c>
      <c r="AA165" s="55">
        <f t="shared" ca="1" si="72"/>
        <v>2439.1125000000006</v>
      </c>
      <c r="AB165" s="55">
        <f t="shared" ca="1" si="72"/>
        <v>1975.6811250000005</v>
      </c>
      <c r="AC165" s="55">
        <f t="shared" ca="1" si="72"/>
        <v>1600.3017112500004</v>
      </c>
      <c r="AD165" s="55">
        <f t="shared" ca="1" si="72"/>
        <v>1296.2443861125007</v>
      </c>
      <c r="AE165" s="55">
        <f t="shared" ca="1" si="72"/>
        <v>1049.9579527511255</v>
      </c>
      <c r="AF165" s="55">
        <f t="shared" ca="1" si="72"/>
        <v>850.46594172841174</v>
      </c>
      <c r="AG165" s="55">
        <f t="shared" ca="1" si="72"/>
        <v>688.87741280001364</v>
      </c>
      <c r="AH165" s="55">
        <f t="shared" ca="1" si="72"/>
        <v>557.99070436801105</v>
      </c>
      <c r="AI165" s="55">
        <f t="shared" ca="1" si="72"/>
        <v>451.972470538089</v>
      </c>
      <c r="AJ165" s="55">
        <f t="shared" ca="1" si="72"/>
        <v>366.09770113585205</v>
      </c>
      <c r="AK165" s="55">
        <f t="shared" ca="1" si="72"/>
        <v>296.53913792004022</v>
      </c>
      <c r="AL165" s="55">
        <f t="shared" ca="1" si="72"/>
        <v>240.19670171523254</v>
      </c>
      <c r="AM165" s="55">
        <f t="shared" ca="1" si="72"/>
        <v>194.55932838933836</v>
      </c>
      <c r="AN165" s="55">
        <f t="shared" ca="1" si="72"/>
        <v>157.59305599536407</v>
      </c>
      <c r="AO165" s="55">
        <f t="shared" ca="1" si="72"/>
        <v>127.65037535624494</v>
      </c>
      <c r="AP165" s="55">
        <f t="shared" ca="1" si="72"/>
        <v>0</v>
      </c>
      <c r="AQ165" s="55">
        <f t="shared" ca="1" si="72"/>
        <v>0</v>
      </c>
      <c r="AR165" s="55">
        <f t="shared" ca="1" si="72"/>
        <v>0</v>
      </c>
      <c r="AS165" s="55">
        <f t="shared" ca="1" si="72"/>
        <v>0</v>
      </c>
      <c r="AT165" s="55">
        <f t="shared" ca="1" si="72"/>
        <v>0</v>
      </c>
      <c r="AU165" s="55">
        <f t="shared" ca="1" si="72"/>
        <v>0</v>
      </c>
      <c r="AV165" s="55">
        <f t="shared" ca="1" si="72"/>
        <v>0</v>
      </c>
      <c r="AW165" s="55">
        <f t="shared" ca="1" si="72"/>
        <v>0</v>
      </c>
      <c r="AX165" s="55">
        <f t="shared" ca="1" si="72"/>
        <v>0</v>
      </c>
    </row>
    <row r="166" spans="1:50" ht="15" customHeight="1" x14ac:dyDescent="0.25">
      <c r="A166" s="86"/>
      <c r="B166" s="205"/>
      <c r="C166" s="88"/>
      <c r="D166" s="162" t="str">
        <f>Translate!E530</f>
        <v>less</v>
      </c>
      <c r="E166" s="55" t="str">
        <f t="shared" ref="E166:AX166" si="73" xml:space="preserve"> E$163</f>
        <v>Project costs, after ELT</v>
      </c>
      <c r="F166" s="55">
        <f t="shared" si="73"/>
        <v>0</v>
      </c>
      <c r="G166" s="55" t="str">
        <f t="shared" si="73"/>
        <v>US$ mn 2021</v>
      </c>
      <c r="H166" s="55">
        <f t="shared" si="73"/>
        <v>0</v>
      </c>
      <c r="I166" s="55">
        <f t="shared" ca="1" si="73"/>
        <v>14821</v>
      </c>
      <c r="J166" s="55">
        <f t="shared" si="73"/>
        <v>0</v>
      </c>
      <c r="K166" s="55">
        <f t="shared" ca="1" si="73"/>
        <v>420</v>
      </c>
      <c r="L166" s="55">
        <f t="shared" ca="1" si="73"/>
        <v>50</v>
      </c>
      <c r="M166" s="55">
        <f t="shared" ca="1" si="73"/>
        <v>300</v>
      </c>
      <c r="N166" s="55">
        <f t="shared" ca="1" si="73"/>
        <v>1200</v>
      </c>
      <c r="O166" s="55">
        <f t="shared" ca="1" si="73"/>
        <v>1250</v>
      </c>
      <c r="P166" s="55">
        <f t="shared" ca="1" si="73"/>
        <v>2280</v>
      </c>
      <c r="Q166" s="55">
        <f t="shared" ca="1" si="73"/>
        <v>1360</v>
      </c>
      <c r="R166" s="55">
        <f t="shared" ca="1" si="73"/>
        <v>710</v>
      </c>
      <c r="S166" s="55">
        <f t="shared" ca="1" si="73"/>
        <v>510</v>
      </c>
      <c r="T166" s="55">
        <f t="shared" ca="1" si="73"/>
        <v>510</v>
      </c>
      <c r="U166" s="55">
        <f t="shared" ca="1" si="73"/>
        <v>510</v>
      </c>
      <c r="V166" s="55">
        <f t="shared" ca="1" si="73"/>
        <v>510</v>
      </c>
      <c r="W166" s="55">
        <f t="shared" ca="1" si="73"/>
        <v>510</v>
      </c>
      <c r="X166" s="55">
        <f t="shared" ca="1" si="73"/>
        <v>510</v>
      </c>
      <c r="Y166" s="55">
        <f t="shared" ca="1" si="73"/>
        <v>510</v>
      </c>
      <c r="Z166" s="55">
        <f t="shared" ca="1" si="73"/>
        <v>510</v>
      </c>
      <c r="AA166" s="55">
        <f t="shared" ca="1" si="73"/>
        <v>510</v>
      </c>
      <c r="AB166" s="55">
        <f t="shared" ca="1" si="73"/>
        <v>260</v>
      </c>
      <c r="AC166" s="55">
        <f t="shared" ca="1" si="73"/>
        <v>150</v>
      </c>
      <c r="AD166" s="55">
        <f t="shared" ca="1" si="73"/>
        <v>340</v>
      </c>
      <c r="AE166" s="55">
        <f t="shared" ca="1" si="73"/>
        <v>320</v>
      </c>
      <c r="AF166" s="55">
        <f t="shared" ca="1" si="73"/>
        <v>111</v>
      </c>
      <c r="AG166" s="55">
        <f t="shared" ca="1" si="73"/>
        <v>100</v>
      </c>
      <c r="AH166" s="55">
        <f t="shared" ca="1" si="73"/>
        <v>95</v>
      </c>
      <c r="AI166" s="55">
        <f t="shared" ca="1" si="73"/>
        <v>90</v>
      </c>
      <c r="AJ166" s="55">
        <f t="shared" ca="1" si="73"/>
        <v>85</v>
      </c>
      <c r="AK166" s="55">
        <f t="shared" ca="1" si="73"/>
        <v>80</v>
      </c>
      <c r="AL166" s="55">
        <f t="shared" ca="1" si="73"/>
        <v>325</v>
      </c>
      <c r="AM166" s="55">
        <f t="shared" ca="1" si="73"/>
        <v>70</v>
      </c>
      <c r="AN166" s="55">
        <f t="shared" ca="1" si="73"/>
        <v>70</v>
      </c>
      <c r="AO166" s="55">
        <f t="shared" ca="1" si="73"/>
        <v>65</v>
      </c>
      <c r="AP166" s="55">
        <f t="shared" ca="1" si="73"/>
        <v>250</v>
      </c>
      <c r="AQ166" s="55">
        <f t="shared" ca="1" si="73"/>
        <v>250</v>
      </c>
      <c r="AR166" s="55">
        <f t="shared" ca="1" si="73"/>
        <v>0</v>
      </c>
      <c r="AS166" s="55">
        <f t="shared" ca="1" si="73"/>
        <v>0</v>
      </c>
      <c r="AT166" s="55">
        <f t="shared" ca="1" si="73"/>
        <v>0</v>
      </c>
      <c r="AU166" s="55">
        <f t="shared" ca="1" si="73"/>
        <v>0</v>
      </c>
      <c r="AV166" s="55">
        <f t="shared" ca="1" si="73"/>
        <v>0</v>
      </c>
      <c r="AW166" s="55">
        <f t="shared" ca="1" si="73"/>
        <v>0</v>
      </c>
      <c r="AX166" s="55">
        <f t="shared" ca="1" si="73"/>
        <v>0</v>
      </c>
    </row>
    <row r="167" spans="1:50" s="518" customFormat="1" ht="15" customHeight="1" x14ac:dyDescent="0.25">
      <c r="A167" s="500"/>
      <c r="B167" s="525"/>
      <c r="C167" s="497"/>
      <c r="D167" s="498"/>
      <c r="E167" s="500" t="str">
        <f>Translate!E684</f>
        <v>Project cashflows: real after ELT</v>
      </c>
      <c r="F167" s="500"/>
      <c r="G167" s="500" t="str">
        <f xml:space="preserve"> Inputs!F$52</f>
        <v>US$ mn 2021</v>
      </c>
      <c r="H167" s="500"/>
      <c r="I167" s="500">
        <f ca="1" xml:space="preserve"> SUM(K167:AX167)</f>
        <v>29282.023863224538</v>
      </c>
      <c r="J167" s="500"/>
      <c r="K167" s="500">
        <f t="shared" ref="K167:AX167" ca="1" si="74" xml:space="preserve"> K165 - K166</f>
        <v>-420</v>
      </c>
      <c r="L167" s="500">
        <f t="shared" ca="1" si="74"/>
        <v>-50</v>
      </c>
      <c r="M167" s="500">
        <f t="shared" ca="1" si="74"/>
        <v>-300</v>
      </c>
      <c r="N167" s="500">
        <f t="shared" ca="1" si="74"/>
        <v>-1200</v>
      </c>
      <c r="O167" s="500">
        <f t="shared" ca="1" si="74"/>
        <v>-1058.3416418356896</v>
      </c>
      <c r="P167" s="500">
        <f t="shared" ca="1" si="74"/>
        <v>-774.375</v>
      </c>
      <c r="Q167" s="500">
        <f t="shared" ca="1" si="74"/>
        <v>1651.25</v>
      </c>
      <c r="R167" s="500">
        <f t="shared" ca="1" si="74"/>
        <v>2301.25</v>
      </c>
      <c r="S167" s="500">
        <f t="shared" ca="1" si="74"/>
        <v>2501.25</v>
      </c>
      <c r="T167" s="500">
        <f t="shared" ca="1" si="74"/>
        <v>2501.25</v>
      </c>
      <c r="U167" s="500">
        <f t="shared" ca="1" si="74"/>
        <v>2501.25</v>
      </c>
      <c r="V167" s="500">
        <f t="shared" ca="1" si="74"/>
        <v>2501.25</v>
      </c>
      <c r="W167" s="500">
        <f t="shared" ca="1" si="74"/>
        <v>2501.25</v>
      </c>
      <c r="X167" s="500">
        <f t="shared" ca="1" si="74"/>
        <v>2501.25</v>
      </c>
      <c r="Y167" s="500">
        <f t="shared" ca="1" si="74"/>
        <v>2501.25</v>
      </c>
      <c r="Z167" s="500">
        <f t="shared" ca="1" si="74"/>
        <v>2501.25</v>
      </c>
      <c r="AA167" s="500">
        <f t="shared" ca="1" si="74"/>
        <v>1929.1125000000006</v>
      </c>
      <c r="AB167" s="500">
        <f t="shared" ca="1" si="74"/>
        <v>1715.6811250000005</v>
      </c>
      <c r="AC167" s="500">
        <f t="shared" ca="1" si="74"/>
        <v>1450.3017112500004</v>
      </c>
      <c r="AD167" s="500">
        <f t="shared" ca="1" si="74"/>
        <v>956.24438611250071</v>
      </c>
      <c r="AE167" s="500">
        <f t="shared" ca="1" si="74"/>
        <v>729.9579527511255</v>
      </c>
      <c r="AF167" s="500">
        <f t="shared" ca="1" si="74"/>
        <v>739.46594172841174</v>
      </c>
      <c r="AG167" s="500">
        <f t="shared" ca="1" si="74"/>
        <v>588.87741280001364</v>
      </c>
      <c r="AH167" s="500">
        <f t="shared" ca="1" si="74"/>
        <v>462.99070436801105</v>
      </c>
      <c r="AI167" s="500">
        <f t="shared" ca="1" si="74"/>
        <v>361.972470538089</v>
      </c>
      <c r="AJ167" s="500">
        <f t="shared" ca="1" si="74"/>
        <v>281.09770113585205</v>
      </c>
      <c r="AK167" s="500">
        <f t="shared" ca="1" si="74"/>
        <v>216.53913792004022</v>
      </c>
      <c r="AL167" s="500">
        <f t="shared" ca="1" si="74"/>
        <v>-84.803298284767465</v>
      </c>
      <c r="AM167" s="500">
        <f t="shared" ca="1" si="74"/>
        <v>124.55932838933836</v>
      </c>
      <c r="AN167" s="500">
        <f t="shared" ca="1" si="74"/>
        <v>87.593055995364068</v>
      </c>
      <c r="AO167" s="500">
        <f t="shared" ca="1" si="74"/>
        <v>62.650375356244936</v>
      </c>
      <c r="AP167" s="500">
        <f t="shared" ca="1" si="74"/>
        <v>-250</v>
      </c>
      <c r="AQ167" s="500">
        <f t="shared" ca="1" si="74"/>
        <v>-250</v>
      </c>
      <c r="AR167" s="500">
        <f t="shared" ca="1" si="74"/>
        <v>0</v>
      </c>
      <c r="AS167" s="500">
        <f t="shared" ca="1" si="74"/>
        <v>0</v>
      </c>
      <c r="AT167" s="500">
        <f t="shared" ca="1" si="74"/>
        <v>0</v>
      </c>
      <c r="AU167" s="500">
        <f t="shared" ca="1" si="74"/>
        <v>0</v>
      </c>
      <c r="AV167" s="500">
        <f t="shared" ca="1" si="74"/>
        <v>0</v>
      </c>
      <c r="AW167" s="500">
        <f t="shared" ca="1" si="74"/>
        <v>0</v>
      </c>
      <c r="AX167" s="500">
        <f t="shared" ca="1" si="74"/>
        <v>0</v>
      </c>
    </row>
    <row r="168" spans="1:50" ht="15" customHeight="1" x14ac:dyDescent="0.25">
      <c r="A168" s="86"/>
      <c r="B168" s="175"/>
      <c r="C168" s="88"/>
      <c r="D168" s="162"/>
      <c r="E168" s="55"/>
      <c r="F168" s="55"/>
      <c r="G168" s="55"/>
      <c r="H168" s="55"/>
      <c r="I168" s="55"/>
      <c r="J168" s="55"/>
      <c r="K168" s="55"/>
      <c r="L168" s="55"/>
      <c r="M168" s="55"/>
      <c r="N168" s="55"/>
      <c r="O168" s="55"/>
      <c r="P168" s="55"/>
      <c r="Q168" s="55"/>
      <c r="R168" s="55"/>
      <c r="S168" s="55"/>
      <c r="T168" s="55"/>
      <c r="U168" s="55"/>
      <c r="V168" s="55"/>
      <c r="W168" s="55"/>
      <c r="X168" s="55"/>
      <c r="Y168" s="55"/>
      <c r="Z168" s="55"/>
      <c r="AA168" s="55"/>
      <c r="AB168" s="55"/>
      <c r="AC168" s="55"/>
      <c r="AD168" s="55"/>
      <c r="AE168" s="55"/>
      <c r="AF168" s="55"/>
      <c r="AG168" s="55"/>
      <c r="AH168" s="55"/>
      <c r="AI168" s="55"/>
      <c r="AJ168" s="55"/>
      <c r="AK168" s="55"/>
      <c r="AL168" s="55"/>
      <c r="AM168" s="55"/>
      <c r="AN168" s="55"/>
      <c r="AO168" s="55"/>
      <c r="AP168" s="55"/>
      <c r="AQ168" s="55"/>
      <c r="AR168" s="55"/>
      <c r="AS168" s="55"/>
      <c r="AT168" s="55"/>
      <c r="AU168" s="55"/>
      <c r="AV168" s="55"/>
      <c r="AW168" s="55"/>
      <c r="AX168" s="55"/>
    </row>
    <row r="169" spans="1:50" ht="15" customHeight="1" x14ac:dyDescent="0.25">
      <c r="A169" s="181" t="str">
        <f>Translate!$E$676</f>
        <v>Flags</v>
      </c>
      <c r="B169" s="181"/>
      <c r="C169" s="182"/>
      <c r="D169" s="183"/>
      <c r="E169" s="181"/>
      <c r="F169" s="181"/>
      <c r="G169" s="181"/>
      <c r="H169" s="181"/>
      <c r="I169" s="181"/>
      <c r="J169" s="181"/>
      <c r="K169" s="181"/>
      <c r="L169" s="181"/>
      <c r="M169" s="181"/>
      <c r="N169" s="181"/>
      <c r="O169" s="181"/>
      <c r="P169" s="181"/>
      <c r="Q169" s="181"/>
      <c r="R169" s="181"/>
      <c r="S169" s="181"/>
      <c r="T169" s="181"/>
      <c r="U169" s="181"/>
      <c r="V169" s="181"/>
      <c r="W169" s="181"/>
      <c r="X169" s="181"/>
      <c r="Y169" s="181"/>
      <c r="Z169" s="181"/>
      <c r="AA169" s="181"/>
      <c r="AB169" s="181"/>
      <c r="AC169" s="181"/>
      <c r="AD169" s="181"/>
      <c r="AE169" s="181"/>
      <c r="AF169" s="181"/>
      <c r="AG169" s="181"/>
      <c r="AH169" s="181"/>
      <c r="AI169" s="181"/>
      <c r="AJ169" s="181"/>
      <c r="AK169" s="181"/>
      <c r="AL169" s="181"/>
      <c r="AM169" s="181"/>
      <c r="AN169" s="181"/>
      <c r="AO169" s="181"/>
      <c r="AP169" s="181"/>
      <c r="AQ169" s="181"/>
      <c r="AR169" s="181"/>
      <c r="AS169" s="181"/>
      <c r="AT169" s="181"/>
      <c r="AU169" s="181"/>
      <c r="AV169" s="181"/>
      <c r="AW169" s="181"/>
      <c r="AX169" s="181"/>
    </row>
    <row r="170" spans="1:50" ht="15" customHeight="1" x14ac:dyDescent="0.25">
      <c r="A170" s="184"/>
      <c r="B170" s="184"/>
      <c r="C170" s="185"/>
      <c r="D170" s="186"/>
      <c r="E170" s="184"/>
      <c r="F170" s="184"/>
      <c r="G170" s="184"/>
      <c r="H170" s="184"/>
      <c r="I170" s="184"/>
      <c r="J170" s="184"/>
      <c r="K170" s="184"/>
      <c r="L170" s="184"/>
      <c r="M170" s="184"/>
      <c r="N170" s="184"/>
      <c r="O170" s="184"/>
      <c r="P170" s="184"/>
      <c r="Q170" s="184"/>
      <c r="R170" s="184"/>
      <c r="S170" s="184"/>
      <c r="T170" s="184"/>
      <c r="U170" s="184"/>
      <c r="V170" s="184"/>
      <c r="W170" s="184"/>
      <c r="X170" s="184"/>
      <c r="Y170" s="184"/>
      <c r="Z170" s="184"/>
      <c r="AA170" s="184"/>
      <c r="AB170" s="184"/>
      <c r="AC170" s="184"/>
      <c r="AD170" s="184"/>
      <c r="AE170" s="184"/>
      <c r="AF170" s="184"/>
      <c r="AG170" s="184"/>
      <c r="AH170" s="184"/>
      <c r="AI170" s="184"/>
      <c r="AJ170" s="184"/>
      <c r="AK170" s="184"/>
      <c r="AL170" s="184"/>
      <c r="AM170" s="184"/>
      <c r="AN170" s="184"/>
      <c r="AO170" s="184"/>
      <c r="AP170" s="184"/>
      <c r="AQ170" s="184"/>
      <c r="AR170" s="184"/>
      <c r="AS170" s="184"/>
      <c r="AT170" s="184"/>
      <c r="AU170" s="184"/>
      <c r="AV170" s="184"/>
      <c r="AW170" s="184"/>
      <c r="AX170" s="184"/>
    </row>
    <row r="171" spans="1:50" ht="15" customHeight="1" x14ac:dyDescent="0.25">
      <c r="A171" s="184"/>
      <c r="B171" s="188" t="str">
        <f>Translate!$E$685</f>
        <v>Project period</v>
      </c>
      <c r="C171" s="185"/>
      <c r="D171" s="186"/>
      <c r="E171" s="184"/>
      <c r="F171" s="184"/>
      <c r="G171" s="184"/>
      <c r="H171" s="184"/>
      <c r="I171" s="184"/>
      <c r="J171" s="184"/>
      <c r="K171" s="184"/>
      <c r="L171" s="184"/>
      <c r="M171" s="184"/>
      <c r="N171" s="184"/>
      <c r="O171" s="184"/>
      <c r="P171" s="184"/>
      <c r="Q171" s="184"/>
      <c r="R171" s="184"/>
      <c r="S171" s="184"/>
      <c r="T171" s="184"/>
      <c r="U171" s="184"/>
      <c r="V171" s="184"/>
      <c r="W171" s="184"/>
      <c r="X171" s="184"/>
      <c r="Y171" s="184"/>
      <c r="Z171" s="184"/>
      <c r="AA171" s="184"/>
      <c r="AB171" s="184"/>
      <c r="AC171" s="184"/>
      <c r="AD171" s="184"/>
      <c r="AE171" s="184"/>
      <c r="AF171" s="184"/>
      <c r="AG171" s="184"/>
      <c r="AH171" s="184"/>
      <c r="AI171" s="184"/>
      <c r="AJ171" s="184"/>
      <c r="AK171" s="184"/>
      <c r="AL171" s="184"/>
      <c r="AM171" s="184"/>
      <c r="AN171" s="184"/>
      <c r="AO171" s="184"/>
      <c r="AP171" s="184"/>
      <c r="AQ171" s="184"/>
      <c r="AR171" s="184"/>
      <c r="AS171" s="184"/>
      <c r="AT171" s="184"/>
      <c r="AU171" s="184"/>
      <c r="AV171" s="184"/>
      <c r="AW171" s="184"/>
      <c r="AX171" s="184"/>
    </row>
    <row r="172" spans="1:50" s="741" customFormat="1" ht="15" customHeight="1" x14ac:dyDescent="0.25">
      <c r="A172" s="874"/>
      <c r="B172" s="739"/>
      <c r="C172" s="740"/>
      <c r="E172" s="835" t="str">
        <f t="shared" ref="E172:AX172" si="75" xml:space="preserve"> E$34</f>
        <v>Model calendar years</v>
      </c>
      <c r="F172" s="835">
        <f t="shared" si="75"/>
        <v>0</v>
      </c>
      <c r="G172" s="835" t="str">
        <f t="shared" si="75"/>
        <v>Year</v>
      </c>
      <c r="H172" s="835">
        <f t="shared" si="75"/>
        <v>0</v>
      </c>
      <c r="I172" s="835">
        <f t="shared" si="75"/>
        <v>0</v>
      </c>
      <c r="J172" s="835">
        <f t="shared" si="75"/>
        <v>0</v>
      </c>
      <c r="K172" s="835">
        <f t="shared" si="75"/>
        <v>2021</v>
      </c>
      <c r="L172" s="835">
        <f t="shared" si="75"/>
        <v>2022</v>
      </c>
      <c r="M172" s="835">
        <f t="shared" si="75"/>
        <v>2023</v>
      </c>
      <c r="N172" s="835">
        <f t="shared" si="75"/>
        <v>2024</v>
      </c>
      <c r="O172" s="835">
        <f t="shared" si="75"/>
        <v>2025</v>
      </c>
      <c r="P172" s="835">
        <f t="shared" si="75"/>
        <v>2026</v>
      </c>
      <c r="Q172" s="835">
        <f t="shared" si="75"/>
        <v>2027</v>
      </c>
      <c r="R172" s="835">
        <f t="shared" si="75"/>
        <v>2028</v>
      </c>
      <c r="S172" s="835">
        <f t="shared" si="75"/>
        <v>2029</v>
      </c>
      <c r="T172" s="835">
        <f t="shared" si="75"/>
        <v>2030</v>
      </c>
      <c r="U172" s="835">
        <f t="shared" si="75"/>
        <v>2031</v>
      </c>
      <c r="V172" s="835">
        <f t="shared" si="75"/>
        <v>2032</v>
      </c>
      <c r="W172" s="835">
        <f t="shared" si="75"/>
        <v>2033</v>
      </c>
      <c r="X172" s="835">
        <f t="shared" si="75"/>
        <v>2034</v>
      </c>
      <c r="Y172" s="835">
        <f t="shared" si="75"/>
        <v>2035</v>
      </c>
      <c r="Z172" s="835">
        <f t="shared" si="75"/>
        <v>2036</v>
      </c>
      <c r="AA172" s="835">
        <f t="shared" si="75"/>
        <v>2037</v>
      </c>
      <c r="AB172" s="835">
        <f t="shared" si="75"/>
        <v>2038</v>
      </c>
      <c r="AC172" s="835">
        <f t="shared" si="75"/>
        <v>2039</v>
      </c>
      <c r="AD172" s="835">
        <f t="shared" si="75"/>
        <v>2040</v>
      </c>
      <c r="AE172" s="835">
        <f t="shared" si="75"/>
        <v>2041</v>
      </c>
      <c r="AF172" s="835">
        <f t="shared" si="75"/>
        <v>2042</v>
      </c>
      <c r="AG172" s="835">
        <f t="shared" si="75"/>
        <v>2043</v>
      </c>
      <c r="AH172" s="835">
        <f t="shared" si="75"/>
        <v>2044</v>
      </c>
      <c r="AI172" s="835">
        <f t="shared" si="75"/>
        <v>2045</v>
      </c>
      <c r="AJ172" s="835">
        <f t="shared" si="75"/>
        <v>2046</v>
      </c>
      <c r="AK172" s="835">
        <f t="shared" si="75"/>
        <v>2047</v>
      </c>
      <c r="AL172" s="835">
        <f t="shared" si="75"/>
        <v>2048</v>
      </c>
      <c r="AM172" s="835">
        <f t="shared" si="75"/>
        <v>2049</v>
      </c>
      <c r="AN172" s="835">
        <f t="shared" si="75"/>
        <v>2050</v>
      </c>
      <c r="AO172" s="835">
        <f t="shared" si="75"/>
        <v>2051</v>
      </c>
      <c r="AP172" s="835">
        <f t="shared" si="75"/>
        <v>2052</v>
      </c>
      <c r="AQ172" s="835">
        <f t="shared" si="75"/>
        <v>2053</v>
      </c>
      <c r="AR172" s="835">
        <f t="shared" si="75"/>
        <v>2054</v>
      </c>
      <c r="AS172" s="835">
        <f t="shared" si="75"/>
        <v>2055</v>
      </c>
      <c r="AT172" s="835">
        <f t="shared" si="75"/>
        <v>2056</v>
      </c>
      <c r="AU172" s="835">
        <f t="shared" si="75"/>
        <v>2057</v>
      </c>
      <c r="AV172" s="835">
        <f t="shared" si="75"/>
        <v>2058</v>
      </c>
      <c r="AW172" s="835">
        <f t="shared" si="75"/>
        <v>2059</v>
      </c>
      <c r="AX172" s="835">
        <f t="shared" si="75"/>
        <v>2060</v>
      </c>
    </row>
    <row r="173" spans="1:50" s="77" customFormat="1" ht="15" customHeight="1" x14ac:dyDescent="0.25">
      <c r="A173" s="358"/>
      <c r="B173" s="358"/>
      <c r="C173" s="359"/>
      <c r="D173" s="360"/>
      <c r="E173" s="358" t="str">
        <f>Translate!E657</f>
        <v>Project activity</v>
      </c>
      <c r="F173" s="358"/>
      <c r="G173" s="358" t="str">
        <f>Translate!E405</f>
        <v>Flag</v>
      </c>
      <c r="H173" s="358"/>
      <c r="I173" s="177">
        <f ca="1" xml:space="preserve"> SUM(K173:AX173)</f>
        <v>33</v>
      </c>
      <c r="J173" s="358"/>
      <c r="K173" s="176">
        <f ca="1" xml:space="preserve"> AND( SUM($K154:K163) &gt; 0, SUM(K154:$AX163) &gt; 0 ) * 1</f>
        <v>1</v>
      </c>
      <c r="L173" s="176">
        <f ca="1" xml:space="preserve"> AND( SUM($K154:L163) &gt; 0, SUM(L154:$AX163) &gt; 0 ) * 1</f>
        <v>1</v>
      </c>
      <c r="M173" s="176">
        <f ca="1" xml:space="preserve"> AND( SUM($K154:M163) &gt; 0, SUM(M154:$AX163) &gt; 0 ) * 1</f>
        <v>1</v>
      </c>
      <c r="N173" s="176">
        <f ca="1" xml:space="preserve"> AND( SUM($K154:N163) &gt; 0, SUM(N154:$AX163) &gt; 0 ) * 1</f>
        <v>1</v>
      </c>
      <c r="O173" s="176">
        <f ca="1" xml:space="preserve"> AND( SUM($K154:O163) &gt; 0, SUM(O154:$AX163) &gt; 0 ) * 1</f>
        <v>1</v>
      </c>
      <c r="P173" s="176">
        <f ca="1" xml:space="preserve"> AND( SUM($K154:P163) &gt; 0, SUM(P154:$AX163) &gt; 0 ) * 1</f>
        <v>1</v>
      </c>
      <c r="Q173" s="176">
        <f ca="1" xml:space="preserve"> AND( SUM($K154:Q163) &gt; 0, SUM(Q154:$AX163) &gt; 0 ) * 1</f>
        <v>1</v>
      </c>
      <c r="R173" s="176">
        <f ca="1" xml:space="preserve"> AND( SUM($K154:R163) &gt; 0, SUM(R154:$AX163) &gt; 0 ) * 1</f>
        <v>1</v>
      </c>
      <c r="S173" s="176">
        <f ca="1" xml:space="preserve"> AND( SUM($K154:S163) &gt; 0, SUM(S154:$AX163) &gt; 0 ) * 1</f>
        <v>1</v>
      </c>
      <c r="T173" s="176">
        <f ca="1" xml:space="preserve"> AND( SUM($K154:T163) &gt; 0, SUM(T154:$AX163) &gt; 0 ) * 1</f>
        <v>1</v>
      </c>
      <c r="U173" s="176">
        <f ca="1" xml:space="preserve"> AND( SUM($K154:U163) &gt; 0, SUM(U154:$AX163) &gt; 0 ) * 1</f>
        <v>1</v>
      </c>
      <c r="V173" s="176">
        <f ca="1" xml:space="preserve"> AND( SUM($K154:V163) &gt; 0, SUM(V154:$AX163) &gt; 0 ) * 1</f>
        <v>1</v>
      </c>
      <c r="W173" s="176">
        <f ca="1" xml:space="preserve"> AND( SUM($K154:W163) &gt; 0, SUM(W154:$AX163) &gt; 0 ) * 1</f>
        <v>1</v>
      </c>
      <c r="X173" s="176">
        <f ca="1" xml:space="preserve"> AND( SUM($K154:X163) &gt; 0, SUM(X154:$AX163) &gt; 0 ) * 1</f>
        <v>1</v>
      </c>
      <c r="Y173" s="176">
        <f ca="1" xml:space="preserve"> AND( SUM($K154:Y163) &gt; 0, SUM(Y154:$AX163) &gt; 0 ) * 1</f>
        <v>1</v>
      </c>
      <c r="Z173" s="176">
        <f ca="1" xml:space="preserve"> AND( SUM($K154:Z163) &gt; 0, SUM(Z154:$AX163) &gt; 0 ) * 1</f>
        <v>1</v>
      </c>
      <c r="AA173" s="176">
        <f ca="1" xml:space="preserve"> AND( SUM($K154:AA163) &gt; 0, SUM(AA154:$AX163) &gt; 0 ) * 1</f>
        <v>1</v>
      </c>
      <c r="AB173" s="176">
        <f ca="1" xml:space="preserve"> AND( SUM($K154:AB163) &gt; 0, SUM(AB154:$AX163) &gt; 0 ) * 1</f>
        <v>1</v>
      </c>
      <c r="AC173" s="176">
        <f ca="1" xml:space="preserve"> AND( SUM($K154:AC163) &gt; 0, SUM(AC154:$AX163) &gt; 0 ) * 1</f>
        <v>1</v>
      </c>
      <c r="AD173" s="176">
        <f ca="1" xml:space="preserve"> AND( SUM($K154:AD163) &gt; 0, SUM(AD154:$AX163) &gt; 0 ) * 1</f>
        <v>1</v>
      </c>
      <c r="AE173" s="176">
        <f ca="1" xml:space="preserve"> AND( SUM($K154:AE163) &gt; 0, SUM(AE154:$AX163) &gt; 0 ) * 1</f>
        <v>1</v>
      </c>
      <c r="AF173" s="176">
        <f ca="1" xml:space="preserve"> AND( SUM($K154:AF163) &gt; 0, SUM(AF154:$AX163) &gt; 0 ) * 1</f>
        <v>1</v>
      </c>
      <c r="AG173" s="176">
        <f ca="1" xml:space="preserve"> AND( SUM($K154:AG163) &gt; 0, SUM(AG154:$AX163) &gt; 0 ) * 1</f>
        <v>1</v>
      </c>
      <c r="AH173" s="176">
        <f ca="1" xml:space="preserve"> AND( SUM($K154:AH163) &gt; 0, SUM(AH154:$AX163) &gt; 0 ) * 1</f>
        <v>1</v>
      </c>
      <c r="AI173" s="176">
        <f ca="1" xml:space="preserve"> AND( SUM($K154:AI163) &gt; 0, SUM(AI154:$AX163) &gt; 0 ) * 1</f>
        <v>1</v>
      </c>
      <c r="AJ173" s="176">
        <f ca="1" xml:space="preserve"> AND( SUM($K154:AJ163) &gt; 0, SUM(AJ154:$AX163) &gt; 0 ) * 1</f>
        <v>1</v>
      </c>
      <c r="AK173" s="176">
        <f ca="1" xml:space="preserve"> AND( SUM($K154:AK163) &gt; 0, SUM(AK154:$AX163) &gt; 0 ) * 1</f>
        <v>1</v>
      </c>
      <c r="AL173" s="176">
        <f ca="1" xml:space="preserve"> AND( SUM($K154:AL163) &gt; 0, SUM(AL154:$AX163) &gt; 0 ) * 1</f>
        <v>1</v>
      </c>
      <c r="AM173" s="176">
        <f ca="1" xml:space="preserve"> AND( SUM($K154:AM163) &gt; 0, SUM(AM154:$AX163) &gt; 0 ) * 1</f>
        <v>1</v>
      </c>
      <c r="AN173" s="176">
        <f ca="1" xml:space="preserve"> AND( SUM($K154:AN163) &gt; 0, SUM(AN154:$AX163) &gt; 0 ) * 1</f>
        <v>1</v>
      </c>
      <c r="AO173" s="176">
        <f ca="1" xml:space="preserve"> AND( SUM($K154:AO163) &gt; 0, SUM(AO154:$AX163) &gt; 0 ) * 1</f>
        <v>1</v>
      </c>
      <c r="AP173" s="176">
        <f ca="1" xml:space="preserve"> AND( SUM($K154:AP163) &gt; 0, SUM(AP154:$AX163) &gt; 0 ) * 1</f>
        <v>1</v>
      </c>
      <c r="AQ173" s="176">
        <f ca="1" xml:space="preserve"> AND( SUM($K154:AQ163) &gt; 0, SUM(AQ154:$AX163) &gt; 0 ) * 1</f>
        <v>1</v>
      </c>
      <c r="AR173" s="176">
        <f ca="1" xml:space="preserve"> AND( SUM($K154:AR163) &gt; 0, SUM(AR154:$AX163) &gt; 0 ) * 1</f>
        <v>0</v>
      </c>
      <c r="AS173" s="176">
        <f ca="1" xml:space="preserve"> AND( SUM($K154:AS163) &gt; 0, SUM(AS154:$AX163) &gt; 0 ) * 1</f>
        <v>0</v>
      </c>
      <c r="AT173" s="176">
        <f ca="1" xml:space="preserve"> AND( SUM($K154:AT163) &gt; 0, SUM(AT154:$AX163) &gt; 0 ) * 1</f>
        <v>0</v>
      </c>
      <c r="AU173" s="176">
        <f ca="1" xml:space="preserve"> AND( SUM($K154:AU163) &gt; 0, SUM(AU154:$AX163) &gt; 0 ) * 1</f>
        <v>0</v>
      </c>
      <c r="AV173" s="176">
        <f ca="1" xml:space="preserve"> AND( SUM($K154:AV163) &gt; 0, SUM(AV154:$AX163) &gt; 0 ) * 1</f>
        <v>0</v>
      </c>
      <c r="AW173" s="176">
        <f ca="1" xml:space="preserve"> AND( SUM($K154:AW163) &gt; 0, SUM(AW154:$AX163) &gt; 0 ) * 1</f>
        <v>0</v>
      </c>
      <c r="AX173" s="176">
        <f ca="1" xml:space="preserve"> AND( SUM($K154:AX163) &gt; 0, SUM(AX154:$AX163) &gt; 0 ) * 1</f>
        <v>0</v>
      </c>
    </row>
    <row r="174" spans="1:50" ht="15" customHeight="1" x14ac:dyDescent="0.25">
      <c r="A174" s="191"/>
      <c r="B174" s="192"/>
      <c r="C174" s="193"/>
      <c r="D174" s="194"/>
      <c r="E174" s="195" t="str">
        <f>Translate!E658</f>
        <v>Cumulative project years</v>
      </c>
      <c r="F174" s="177"/>
      <c r="G174" s="195" t="str">
        <f xml:space="preserve"> Translate!E$608</f>
        <v>Year</v>
      </c>
      <c r="H174" s="195"/>
      <c r="I174" s="191"/>
      <c r="J174" s="196"/>
      <c r="K174" s="176">
        <f t="shared" ref="K174:AX174" ca="1" si="76" xml:space="preserve"> ( J174 + K173 ) * K173</f>
        <v>1</v>
      </c>
      <c r="L174" s="176">
        <f t="shared" ca="1" si="76"/>
        <v>2</v>
      </c>
      <c r="M174" s="176">
        <f t="shared" ca="1" si="76"/>
        <v>3</v>
      </c>
      <c r="N174" s="176">
        <f t="shared" ca="1" si="76"/>
        <v>4</v>
      </c>
      <c r="O174" s="176">
        <f t="shared" ca="1" si="76"/>
        <v>5</v>
      </c>
      <c r="P174" s="176">
        <f t="shared" ca="1" si="76"/>
        <v>6</v>
      </c>
      <c r="Q174" s="176">
        <f t="shared" ca="1" si="76"/>
        <v>7</v>
      </c>
      <c r="R174" s="176">
        <f t="shared" ca="1" si="76"/>
        <v>8</v>
      </c>
      <c r="S174" s="176">
        <f t="shared" ca="1" si="76"/>
        <v>9</v>
      </c>
      <c r="T174" s="176">
        <f t="shared" ca="1" si="76"/>
        <v>10</v>
      </c>
      <c r="U174" s="176">
        <f t="shared" ca="1" si="76"/>
        <v>11</v>
      </c>
      <c r="V174" s="176">
        <f t="shared" ca="1" si="76"/>
        <v>12</v>
      </c>
      <c r="W174" s="176">
        <f t="shared" ca="1" si="76"/>
        <v>13</v>
      </c>
      <c r="X174" s="176">
        <f t="shared" ca="1" si="76"/>
        <v>14</v>
      </c>
      <c r="Y174" s="176">
        <f t="shared" ca="1" si="76"/>
        <v>15</v>
      </c>
      <c r="Z174" s="176">
        <f t="shared" ca="1" si="76"/>
        <v>16</v>
      </c>
      <c r="AA174" s="176">
        <f t="shared" ca="1" si="76"/>
        <v>17</v>
      </c>
      <c r="AB174" s="176">
        <f t="shared" ca="1" si="76"/>
        <v>18</v>
      </c>
      <c r="AC174" s="176">
        <f t="shared" ca="1" si="76"/>
        <v>19</v>
      </c>
      <c r="AD174" s="176">
        <f t="shared" ca="1" si="76"/>
        <v>20</v>
      </c>
      <c r="AE174" s="176">
        <f t="shared" ca="1" si="76"/>
        <v>21</v>
      </c>
      <c r="AF174" s="176">
        <f t="shared" ca="1" si="76"/>
        <v>22</v>
      </c>
      <c r="AG174" s="176">
        <f t="shared" ca="1" si="76"/>
        <v>23</v>
      </c>
      <c r="AH174" s="176">
        <f t="shared" ca="1" si="76"/>
        <v>24</v>
      </c>
      <c r="AI174" s="176">
        <f t="shared" ca="1" si="76"/>
        <v>25</v>
      </c>
      <c r="AJ174" s="176">
        <f t="shared" ca="1" si="76"/>
        <v>26</v>
      </c>
      <c r="AK174" s="176">
        <f t="shared" ca="1" si="76"/>
        <v>27</v>
      </c>
      <c r="AL174" s="176">
        <f t="shared" ca="1" si="76"/>
        <v>28</v>
      </c>
      <c r="AM174" s="176">
        <f t="shared" ca="1" si="76"/>
        <v>29</v>
      </c>
      <c r="AN174" s="176">
        <f t="shared" ca="1" si="76"/>
        <v>30</v>
      </c>
      <c r="AO174" s="176">
        <f t="shared" ca="1" si="76"/>
        <v>31</v>
      </c>
      <c r="AP174" s="176">
        <f t="shared" ca="1" si="76"/>
        <v>32</v>
      </c>
      <c r="AQ174" s="176">
        <f t="shared" ca="1" si="76"/>
        <v>33</v>
      </c>
      <c r="AR174" s="176">
        <f t="shared" ca="1" si="76"/>
        <v>0</v>
      </c>
      <c r="AS174" s="176">
        <f t="shared" ca="1" si="76"/>
        <v>0</v>
      </c>
      <c r="AT174" s="176">
        <f t="shared" ca="1" si="76"/>
        <v>0</v>
      </c>
      <c r="AU174" s="176">
        <f t="shared" ca="1" si="76"/>
        <v>0</v>
      </c>
      <c r="AV174" s="176">
        <f t="shared" ca="1" si="76"/>
        <v>0</v>
      </c>
      <c r="AW174" s="176">
        <f t="shared" ca="1" si="76"/>
        <v>0</v>
      </c>
      <c r="AX174" s="176">
        <f t="shared" ca="1" si="76"/>
        <v>0</v>
      </c>
    </row>
    <row r="175" spans="1:50" ht="15" customHeight="1" x14ac:dyDescent="0.25">
      <c r="A175" s="106"/>
      <c r="B175" s="168"/>
      <c r="C175" s="108"/>
      <c r="D175" s="117"/>
      <c r="E175" s="52"/>
      <c r="F175" s="56"/>
      <c r="G175" s="52"/>
      <c r="H175" s="52"/>
      <c r="I175" s="109"/>
      <c r="K175" s="55"/>
      <c r="L175" s="55"/>
      <c r="M175" s="55"/>
      <c r="N175" s="55"/>
      <c r="O175" s="55"/>
      <c r="P175" s="55"/>
      <c r="Q175" s="55"/>
      <c r="R175" s="55"/>
      <c r="S175" s="55"/>
      <c r="T175" s="55"/>
      <c r="U175" s="55"/>
      <c r="V175" s="55"/>
      <c r="W175" s="55"/>
      <c r="X175" s="55"/>
      <c r="Y175" s="55"/>
      <c r="Z175" s="55"/>
      <c r="AA175" s="55"/>
      <c r="AB175" s="55"/>
      <c r="AC175" s="55"/>
      <c r="AD175" s="55"/>
      <c r="AE175" s="55"/>
      <c r="AF175" s="55"/>
      <c r="AG175" s="55"/>
      <c r="AH175" s="55"/>
      <c r="AI175" s="55"/>
      <c r="AJ175" s="55"/>
      <c r="AK175" s="55"/>
      <c r="AL175" s="55"/>
      <c r="AM175" s="55"/>
      <c r="AN175" s="55"/>
      <c r="AO175" s="55"/>
      <c r="AP175" s="55"/>
      <c r="AQ175" s="55"/>
      <c r="AR175" s="55"/>
      <c r="AS175" s="55"/>
      <c r="AT175" s="55"/>
      <c r="AU175" s="55"/>
      <c r="AV175" s="55"/>
      <c r="AW175" s="55"/>
      <c r="AX175" s="55"/>
    </row>
    <row r="176" spans="1:50" ht="15" customHeight="1" x14ac:dyDescent="0.25">
      <c r="A176" s="106"/>
      <c r="B176" s="168"/>
      <c r="C176" s="108" t="str">
        <f>Translate!$E$693</f>
        <v>Project activity excluding decommissioning</v>
      </c>
      <c r="D176" s="117"/>
      <c r="E176" s="52"/>
      <c r="F176" s="56"/>
      <c r="G176" s="52"/>
      <c r="H176" s="52" t="str">
        <f>Translate!E695</f>
        <v>used in depreciation calculations</v>
      </c>
      <c r="I176" s="109"/>
      <c r="K176" s="55"/>
      <c r="L176" s="55"/>
      <c r="M176" s="55"/>
      <c r="N176" s="55"/>
      <c r="O176" s="55"/>
      <c r="P176" s="55"/>
      <c r="Q176" s="55"/>
      <c r="R176" s="55"/>
      <c r="S176" s="55"/>
      <c r="T176" s="55"/>
      <c r="U176" s="55"/>
      <c r="V176" s="55"/>
      <c r="W176" s="55"/>
      <c r="X176" s="55"/>
      <c r="Y176" s="55"/>
      <c r="Z176" s="55"/>
      <c r="AA176" s="55"/>
      <c r="AB176" s="55"/>
      <c r="AC176" s="55"/>
      <c r="AD176" s="55"/>
      <c r="AE176" s="55"/>
      <c r="AF176" s="55"/>
      <c r="AG176" s="55"/>
      <c r="AH176" s="55"/>
      <c r="AI176" s="55"/>
      <c r="AJ176" s="55"/>
      <c r="AK176" s="55"/>
      <c r="AL176" s="55"/>
      <c r="AM176" s="55"/>
      <c r="AN176" s="55"/>
      <c r="AO176" s="55"/>
      <c r="AP176" s="55"/>
      <c r="AQ176" s="55"/>
      <c r="AR176" s="55"/>
      <c r="AS176" s="55"/>
      <c r="AT176" s="55"/>
      <c r="AU176" s="55"/>
      <c r="AV176" s="55"/>
      <c r="AW176" s="55"/>
      <c r="AX176" s="55"/>
    </row>
    <row r="177" spans="1:50" s="77" customFormat="1" ht="15" customHeight="1" x14ac:dyDescent="0.25">
      <c r="A177" s="191"/>
      <c r="B177" s="192"/>
      <c r="C177" s="193"/>
      <c r="D177" s="194"/>
      <c r="E177" s="195" t="str">
        <f>Translate!E660</f>
        <v>Project activity (excl. decommissioning)</v>
      </c>
      <c r="F177" s="177"/>
      <c r="G177" s="195" t="str">
        <f>Translate!E405</f>
        <v>Flag</v>
      </c>
      <c r="H177" s="195"/>
      <c r="I177" s="191">
        <f ca="1" xml:space="preserve"> SUM(K177:AX177)</f>
        <v>31</v>
      </c>
      <c r="K177" s="176">
        <f ca="1" xml:space="preserve"> AND( SUM($K154:K161) &gt; 0, SUM(K154:$AX161) &gt; 0 ) * 1</f>
        <v>1</v>
      </c>
      <c r="L177" s="176">
        <f ca="1" xml:space="preserve"> AND( SUM($K154:L161) &gt; 0, SUM(L154:$AX161) &gt; 0 ) * 1</f>
        <v>1</v>
      </c>
      <c r="M177" s="176">
        <f ca="1" xml:space="preserve"> AND( SUM($K154:M161) &gt; 0, SUM(M154:$AX161) &gt; 0 ) * 1</f>
        <v>1</v>
      </c>
      <c r="N177" s="176">
        <f ca="1" xml:space="preserve"> AND( SUM($K154:N161) &gt; 0, SUM(N154:$AX161) &gt; 0 ) * 1</f>
        <v>1</v>
      </c>
      <c r="O177" s="176">
        <f ca="1" xml:space="preserve"> AND( SUM($K154:O161) &gt; 0, SUM(O154:$AX161) &gt; 0 ) * 1</f>
        <v>1</v>
      </c>
      <c r="P177" s="176">
        <f ca="1" xml:space="preserve"> AND( SUM($K154:P161) &gt; 0, SUM(P154:$AX161) &gt; 0 ) * 1</f>
        <v>1</v>
      </c>
      <c r="Q177" s="176">
        <f ca="1" xml:space="preserve"> AND( SUM($K154:Q161) &gt; 0, SUM(Q154:$AX161) &gt; 0 ) * 1</f>
        <v>1</v>
      </c>
      <c r="R177" s="176">
        <f ca="1" xml:space="preserve"> AND( SUM($K154:R161) &gt; 0, SUM(R154:$AX161) &gt; 0 ) * 1</f>
        <v>1</v>
      </c>
      <c r="S177" s="176">
        <f ca="1" xml:space="preserve"> AND( SUM($K154:S161) &gt; 0, SUM(S154:$AX161) &gt; 0 ) * 1</f>
        <v>1</v>
      </c>
      <c r="T177" s="176">
        <f ca="1" xml:space="preserve"> AND( SUM($K154:T161) &gt; 0, SUM(T154:$AX161) &gt; 0 ) * 1</f>
        <v>1</v>
      </c>
      <c r="U177" s="176">
        <f ca="1" xml:space="preserve"> AND( SUM($K154:U161) &gt; 0, SUM(U154:$AX161) &gt; 0 ) * 1</f>
        <v>1</v>
      </c>
      <c r="V177" s="176">
        <f ca="1" xml:space="preserve"> AND( SUM($K154:V161) &gt; 0, SUM(V154:$AX161) &gt; 0 ) * 1</f>
        <v>1</v>
      </c>
      <c r="W177" s="176">
        <f ca="1" xml:space="preserve"> AND( SUM($K154:W161) &gt; 0, SUM(W154:$AX161) &gt; 0 ) * 1</f>
        <v>1</v>
      </c>
      <c r="X177" s="176">
        <f ca="1" xml:space="preserve"> AND( SUM($K154:X161) &gt; 0, SUM(X154:$AX161) &gt; 0 ) * 1</f>
        <v>1</v>
      </c>
      <c r="Y177" s="176">
        <f ca="1" xml:space="preserve"> AND( SUM($K154:Y161) &gt; 0, SUM(Y154:$AX161) &gt; 0 ) * 1</f>
        <v>1</v>
      </c>
      <c r="Z177" s="176">
        <f ca="1" xml:space="preserve"> AND( SUM($K154:Z161) &gt; 0, SUM(Z154:$AX161) &gt; 0 ) * 1</f>
        <v>1</v>
      </c>
      <c r="AA177" s="176">
        <f ca="1" xml:space="preserve"> AND( SUM($K154:AA161) &gt; 0, SUM(AA154:$AX161) &gt; 0 ) * 1</f>
        <v>1</v>
      </c>
      <c r="AB177" s="176">
        <f ca="1" xml:space="preserve"> AND( SUM($K154:AB161) &gt; 0, SUM(AB154:$AX161) &gt; 0 ) * 1</f>
        <v>1</v>
      </c>
      <c r="AC177" s="176">
        <f ca="1" xml:space="preserve"> AND( SUM($K154:AC161) &gt; 0, SUM(AC154:$AX161) &gt; 0 ) * 1</f>
        <v>1</v>
      </c>
      <c r="AD177" s="176">
        <f ca="1" xml:space="preserve"> AND( SUM($K154:AD161) &gt; 0, SUM(AD154:$AX161) &gt; 0 ) * 1</f>
        <v>1</v>
      </c>
      <c r="AE177" s="176">
        <f ca="1" xml:space="preserve"> AND( SUM($K154:AE161) &gt; 0, SUM(AE154:$AX161) &gt; 0 ) * 1</f>
        <v>1</v>
      </c>
      <c r="AF177" s="176">
        <f ca="1" xml:space="preserve"> AND( SUM($K154:AF161) &gt; 0, SUM(AF154:$AX161) &gt; 0 ) * 1</f>
        <v>1</v>
      </c>
      <c r="AG177" s="176">
        <f ca="1" xml:space="preserve"> AND( SUM($K154:AG161) &gt; 0, SUM(AG154:$AX161) &gt; 0 ) * 1</f>
        <v>1</v>
      </c>
      <c r="AH177" s="176">
        <f ca="1" xml:space="preserve"> AND( SUM($K154:AH161) &gt; 0, SUM(AH154:$AX161) &gt; 0 ) * 1</f>
        <v>1</v>
      </c>
      <c r="AI177" s="176">
        <f ca="1" xml:space="preserve"> AND( SUM($K154:AI161) &gt; 0, SUM(AI154:$AX161) &gt; 0 ) * 1</f>
        <v>1</v>
      </c>
      <c r="AJ177" s="176">
        <f ca="1" xml:space="preserve"> AND( SUM($K154:AJ161) &gt; 0, SUM(AJ154:$AX161) &gt; 0 ) * 1</f>
        <v>1</v>
      </c>
      <c r="AK177" s="176">
        <f ca="1" xml:space="preserve"> AND( SUM($K154:AK161) &gt; 0, SUM(AK154:$AX161) &gt; 0 ) * 1</f>
        <v>1</v>
      </c>
      <c r="AL177" s="176">
        <f ca="1" xml:space="preserve"> AND( SUM($K154:AL161) &gt; 0, SUM(AL154:$AX161) &gt; 0 ) * 1</f>
        <v>1</v>
      </c>
      <c r="AM177" s="176">
        <f ca="1" xml:space="preserve"> AND( SUM($K154:AM161) &gt; 0, SUM(AM154:$AX161) &gt; 0 ) * 1</f>
        <v>1</v>
      </c>
      <c r="AN177" s="176">
        <f ca="1" xml:space="preserve"> AND( SUM($K154:AN161) &gt; 0, SUM(AN154:$AX161) &gt; 0 ) * 1</f>
        <v>1</v>
      </c>
      <c r="AO177" s="176">
        <f ca="1" xml:space="preserve"> AND( SUM($K154:AO161) &gt; 0, SUM(AO154:$AX161) &gt; 0 ) * 1</f>
        <v>1</v>
      </c>
      <c r="AP177" s="176">
        <f ca="1" xml:space="preserve"> AND( SUM($K154:AP161) &gt; 0, SUM(AP154:$AX161) &gt; 0 ) * 1</f>
        <v>0</v>
      </c>
      <c r="AQ177" s="176">
        <f ca="1" xml:space="preserve"> AND( SUM($K154:AQ161) &gt; 0, SUM(AQ154:$AX161) &gt; 0 ) * 1</f>
        <v>0</v>
      </c>
      <c r="AR177" s="176">
        <f ca="1" xml:space="preserve"> AND( SUM($K154:AR161) &gt; 0, SUM(AR154:$AX161) &gt; 0 ) * 1</f>
        <v>0</v>
      </c>
      <c r="AS177" s="176">
        <f ca="1" xml:space="preserve"> AND( SUM($K154:AS161) &gt; 0, SUM(AS154:$AX161) &gt; 0 ) * 1</f>
        <v>0</v>
      </c>
      <c r="AT177" s="176">
        <f ca="1" xml:space="preserve"> AND( SUM($K154:AT161) &gt; 0, SUM(AT154:$AX161) &gt; 0 ) * 1</f>
        <v>0</v>
      </c>
      <c r="AU177" s="176">
        <f ca="1" xml:space="preserve"> AND( SUM($K154:AU161) &gt; 0, SUM(AU154:$AX161) &gt; 0 ) * 1</f>
        <v>0</v>
      </c>
      <c r="AV177" s="176">
        <f ca="1" xml:space="preserve"> AND( SUM($K154:AV161) &gt; 0, SUM(AV154:$AX161) &gt; 0 ) * 1</f>
        <v>0</v>
      </c>
      <c r="AW177" s="176">
        <f ca="1" xml:space="preserve"> AND( SUM($K154:AW161) &gt; 0, SUM(AW154:$AX161) &gt; 0 ) * 1</f>
        <v>0</v>
      </c>
      <c r="AX177" s="176">
        <f ca="1" xml:space="preserve"> AND( SUM($K154:AX161) &gt; 0, SUM(AX154:$AX161) &gt; 0 ) * 1</f>
        <v>0</v>
      </c>
    </row>
    <row r="178" spans="1:50" ht="15" customHeight="1" x14ac:dyDescent="0.25">
      <c r="A178" s="106"/>
      <c r="B178" s="168"/>
      <c r="C178" s="108"/>
      <c r="D178" s="117"/>
      <c r="E178" s="52"/>
      <c r="F178" s="56"/>
      <c r="G178" s="52"/>
      <c r="H178" s="52"/>
      <c r="I178" s="109"/>
      <c r="K178" s="55"/>
      <c r="L178" s="55"/>
      <c r="M178" s="55"/>
      <c r="N178" s="55"/>
      <c r="O178" s="55"/>
      <c r="P178" s="55"/>
      <c r="Q178" s="55"/>
      <c r="R178" s="55"/>
      <c r="S178" s="55"/>
      <c r="T178" s="55"/>
      <c r="U178" s="55"/>
      <c r="V178" s="55"/>
      <c r="W178" s="55"/>
      <c r="X178" s="55"/>
      <c r="Y178" s="55"/>
      <c r="Z178" s="55"/>
      <c r="AA178" s="55"/>
      <c r="AB178" s="55"/>
      <c r="AC178" s="55"/>
      <c r="AD178" s="55"/>
      <c r="AE178" s="55"/>
      <c r="AF178" s="55"/>
      <c r="AG178" s="55"/>
      <c r="AH178" s="55"/>
      <c r="AI178" s="55"/>
      <c r="AJ178" s="55"/>
      <c r="AK178" s="55"/>
      <c r="AL178" s="55"/>
      <c r="AM178" s="55"/>
      <c r="AN178" s="55"/>
      <c r="AO178" s="55"/>
      <c r="AP178" s="55"/>
      <c r="AQ178" s="55"/>
      <c r="AR178" s="55"/>
      <c r="AS178" s="55"/>
      <c r="AT178" s="55"/>
      <c r="AU178" s="55"/>
      <c r="AV178" s="55"/>
      <c r="AW178" s="55"/>
      <c r="AX178" s="55"/>
    </row>
    <row r="179" spans="1:50" ht="15" customHeight="1" x14ac:dyDescent="0.25">
      <c r="A179" s="106"/>
      <c r="B179" s="197" t="str">
        <f>Translate!$E$686</f>
        <v>Production period</v>
      </c>
      <c r="C179" s="108"/>
      <c r="D179" s="117"/>
      <c r="E179" s="52"/>
      <c r="F179" s="56"/>
      <c r="G179" s="52"/>
      <c r="H179" s="52"/>
      <c r="I179" s="109"/>
      <c r="K179" s="55"/>
      <c r="L179" s="55"/>
      <c r="M179" s="55"/>
      <c r="N179" s="55"/>
      <c r="O179" s="55"/>
      <c r="P179" s="55"/>
      <c r="Q179" s="55"/>
      <c r="R179" s="55"/>
      <c r="S179" s="55"/>
      <c r="T179" s="55"/>
      <c r="U179" s="55"/>
      <c r="V179" s="55"/>
      <c r="W179" s="55"/>
      <c r="X179" s="55"/>
      <c r="Y179" s="55"/>
      <c r="Z179" s="55"/>
      <c r="AA179" s="55"/>
      <c r="AB179" s="55"/>
      <c r="AC179" s="55"/>
      <c r="AD179" s="55"/>
      <c r="AE179" s="55"/>
      <c r="AF179" s="55"/>
      <c r="AG179" s="55"/>
      <c r="AH179" s="55"/>
      <c r="AI179" s="55"/>
      <c r="AJ179" s="55"/>
      <c r="AK179" s="55"/>
      <c r="AL179" s="55"/>
      <c r="AM179" s="55"/>
      <c r="AN179" s="55"/>
      <c r="AO179" s="55"/>
      <c r="AP179" s="55"/>
      <c r="AQ179" s="55"/>
      <c r="AR179" s="55"/>
      <c r="AS179" s="55"/>
      <c r="AT179" s="55"/>
      <c r="AU179" s="55"/>
      <c r="AV179" s="55"/>
      <c r="AW179" s="55"/>
      <c r="AX179" s="55"/>
    </row>
    <row r="180" spans="1:50" s="77" customFormat="1" ht="15" customHeight="1" x14ac:dyDescent="0.25">
      <c r="A180" s="191"/>
      <c r="B180" s="192"/>
      <c r="C180" s="193"/>
      <c r="D180" s="194"/>
      <c r="E180" s="176" t="str">
        <f>Translate!E$661  &amp;  ", " &amp; Translate!E$595</f>
        <v>Production years, after ELT</v>
      </c>
      <c r="F180" s="176"/>
      <c r="G180" s="176" t="str">
        <f xml:space="preserve"> Translate!E$608</f>
        <v>Year</v>
      </c>
      <c r="H180" s="176"/>
      <c r="I180" s="176"/>
      <c r="J180" s="176"/>
      <c r="K180" s="176">
        <f ca="1" xml:space="preserve"> AND( SUM($K154:K154) &gt; 0, SUM(K154:$AX154) &gt; 0 ) * 1</f>
        <v>0</v>
      </c>
      <c r="L180" s="176">
        <f ca="1" xml:space="preserve"> AND( SUM($K154:L154) &gt; 0, SUM(L154:$AX154) &gt; 0 ) * 1</f>
        <v>0</v>
      </c>
      <c r="M180" s="176">
        <f ca="1" xml:space="preserve"> AND( SUM($K154:M154) &gt; 0, SUM(M154:$AX154) &gt; 0 ) * 1</f>
        <v>0</v>
      </c>
      <c r="N180" s="176">
        <f ca="1" xml:space="preserve"> AND( SUM($K154:N154) &gt; 0, SUM(N154:$AX154) &gt; 0 ) * 1</f>
        <v>0</v>
      </c>
      <c r="O180" s="176">
        <f ca="1" xml:space="preserve"> AND( SUM($K154:O154) &gt; 0, SUM(O154:$AX154) &gt; 0 ) * 1</f>
        <v>1</v>
      </c>
      <c r="P180" s="176">
        <f ca="1" xml:space="preserve"> AND( SUM($K154:P154) &gt; 0, SUM(P154:$AX154) &gt; 0 ) * 1</f>
        <v>1</v>
      </c>
      <c r="Q180" s="176">
        <f ca="1" xml:space="preserve"> AND( SUM($K154:Q154) &gt; 0, SUM(Q154:$AX154) &gt; 0 ) * 1</f>
        <v>1</v>
      </c>
      <c r="R180" s="176">
        <f ca="1" xml:space="preserve"> AND( SUM($K154:R154) &gt; 0, SUM(R154:$AX154) &gt; 0 ) * 1</f>
        <v>1</v>
      </c>
      <c r="S180" s="176">
        <f ca="1" xml:space="preserve"> AND( SUM($K154:S154) &gt; 0, SUM(S154:$AX154) &gt; 0 ) * 1</f>
        <v>1</v>
      </c>
      <c r="T180" s="176">
        <f ca="1" xml:space="preserve"> AND( SUM($K154:T154) &gt; 0, SUM(T154:$AX154) &gt; 0 ) * 1</f>
        <v>1</v>
      </c>
      <c r="U180" s="176">
        <f ca="1" xml:space="preserve"> AND( SUM($K154:U154) &gt; 0, SUM(U154:$AX154) &gt; 0 ) * 1</f>
        <v>1</v>
      </c>
      <c r="V180" s="176">
        <f ca="1" xml:space="preserve"> AND( SUM($K154:V154) &gt; 0, SUM(V154:$AX154) &gt; 0 ) * 1</f>
        <v>1</v>
      </c>
      <c r="W180" s="176">
        <f ca="1" xml:space="preserve"> AND( SUM($K154:W154) &gt; 0, SUM(W154:$AX154) &gt; 0 ) * 1</f>
        <v>1</v>
      </c>
      <c r="X180" s="176">
        <f ca="1" xml:space="preserve"> AND( SUM($K154:X154) &gt; 0, SUM(X154:$AX154) &gt; 0 ) * 1</f>
        <v>1</v>
      </c>
      <c r="Y180" s="176">
        <f ca="1" xml:space="preserve"> AND( SUM($K154:Y154) &gt; 0, SUM(Y154:$AX154) &gt; 0 ) * 1</f>
        <v>1</v>
      </c>
      <c r="Z180" s="176">
        <f ca="1" xml:space="preserve"> AND( SUM($K154:Z154) &gt; 0, SUM(Z154:$AX154) &gt; 0 ) * 1</f>
        <v>1</v>
      </c>
      <c r="AA180" s="176">
        <f ca="1" xml:space="preserve"> AND( SUM($K154:AA154) &gt; 0, SUM(AA154:$AX154) &gt; 0 ) * 1</f>
        <v>1</v>
      </c>
      <c r="AB180" s="176">
        <f ca="1" xml:space="preserve"> AND( SUM($K154:AB154) &gt; 0, SUM(AB154:$AX154) &gt; 0 ) * 1</f>
        <v>1</v>
      </c>
      <c r="AC180" s="176">
        <f ca="1" xml:space="preserve"> AND( SUM($K154:AC154) &gt; 0, SUM(AC154:$AX154) &gt; 0 ) * 1</f>
        <v>1</v>
      </c>
      <c r="AD180" s="176">
        <f ca="1" xml:space="preserve"> AND( SUM($K154:AD154) &gt; 0, SUM(AD154:$AX154) &gt; 0 ) * 1</f>
        <v>1</v>
      </c>
      <c r="AE180" s="176">
        <f ca="1" xml:space="preserve"> AND( SUM($K154:AE154) &gt; 0, SUM(AE154:$AX154) &gt; 0 ) * 1</f>
        <v>1</v>
      </c>
      <c r="AF180" s="176">
        <f ca="1" xml:space="preserve"> AND( SUM($K154:AF154) &gt; 0, SUM(AF154:$AX154) &gt; 0 ) * 1</f>
        <v>1</v>
      </c>
      <c r="AG180" s="176">
        <f ca="1" xml:space="preserve"> AND( SUM($K154:AG154) &gt; 0, SUM(AG154:$AX154) &gt; 0 ) * 1</f>
        <v>1</v>
      </c>
      <c r="AH180" s="176">
        <f ca="1" xml:space="preserve"> AND( SUM($K154:AH154) &gt; 0, SUM(AH154:$AX154) &gt; 0 ) * 1</f>
        <v>1</v>
      </c>
      <c r="AI180" s="176">
        <f ca="1" xml:space="preserve"> AND( SUM($K154:AI154) &gt; 0, SUM(AI154:$AX154) &gt; 0 ) * 1</f>
        <v>1</v>
      </c>
      <c r="AJ180" s="176">
        <f ca="1" xml:space="preserve"> AND( SUM($K154:AJ154) &gt; 0, SUM(AJ154:$AX154) &gt; 0 ) * 1</f>
        <v>1</v>
      </c>
      <c r="AK180" s="176">
        <f ca="1" xml:space="preserve"> AND( SUM($K154:AK154) &gt; 0, SUM(AK154:$AX154) &gt; 0 ) * 1</f>
        <v>1</v>
      </c>
      <c r="AL180" s="176">
        <f ca="1" xml:space="preserve"> AND( SUM($K154:AL154) &gt; 0, SUM(AL154:$AX154) &gt; 0 ) * 1</f>
        <v>1</v>
      </c>
      <c r="AM180" s="176">
        <f ca="1" xml:space="preserve"> AND( SUM($K154:AM154) &gt; 0, SUM(AM154:$AX154) &gt; 0 ) * 1</f>
        <v>1</v>
      </c>
      <c r="AN180" s="176">
        <f ca="1" xml:space="preserve"> AND( SUM($K154:AN154) &gt; 0, SUM(AN154:$AX154) &gt; 0 ) * 1</f>
        <v>1</v>
      </c>
      <c r="AO180" s="176">
        <f ca="1" xml:space="preserve"> AND( SUM($K154:AO154) &gt; 0, SUM(AO154:$AX154) &gt; 0 ) * 1</f>
        <v>1</v>
      </c>
      <c r="AP180" s="176">
        <f ca="1" xml:space="preserve"> AND( SUM($K154:AP154) &gt; 0, SUM(AP154:$AX154) &gt; 0 ) * 1</f>
        <v>0</v>
      </c>
      <c r="AQ180" s="176">
        <f ca="1" xml:space="preserve"> AND( SUM($K154:AQ154) &gt; 0, SUM(AQ154:$AX154) &gt; 0 ) * 1</f>
        <v>0</v>
      </c>
      <c r="AR180" s="176">
        <f ca="1" xml:space="preserve"> AND( SUM($K154:AR154) &gt; 0, SUM(AR154:$AX154) &gt; 0 ) * 1</f>
        <v>0</v>
      </c>
      <c r="AS180" s="176">
        <f ca="1" xml:space="preserve"> AND( SUM($K154:AS154) &gt; 0, SUM(AS154:$AX154) &gt; 0 ) * 1</f>
        <v>0</v>
      </c>
      <c r="AT180" s="176">
        <f ca="1" xml:space="preserve"> AND( SUM($K154:AT154) &gt; 0, SUM(AT154:$AX154) &gt; 0 ) * 1</f>
        <v>0</v>
      </c>
      <c r="AU180" s="176">
        <f ca="1" xml:space="preserve"> AND( SUM($K154:AU154) &gt; 0, SUM(AU154:$AX154) &gt; 0 ) * 1</f>
        <v>0</v>
      </c>
      <c r="AV180" s="176">
        <f ca="1" xml:space="preserve"> AND( SUM($K154:AV154) &gt; 0, SUM(AV154:$AX154) &gt; 0 ) * 1</f>
        <v>0</v>
      </c>
      <c r="AW180" s="176">
        <f ca="1" xml:space="preserve"> AND( SUM($K154:AW154) &gt; 0, SUM(AW154:$AX154) &gt; 0 ) * 1</f>
        <v>0</v>
      </c>
      <c r="AX180" s="176">
        <f ca="1" xml:space="preserve"> AND( SUM($K154:AX154) &gt; 0, SUM(AX154:$AX154) &gt; 0 ) * 1</f>
        <v>0</v>
      </c>
    </row>
    <row r="181" spans="1:50" s="77" customFormat="1" ht="15" customHeight="1" x14ac:dyDescent="0.25">
      <c r="A181" s="191"/>
      <c r="B181" s="192"/>
      <c r="C181" s="193"/>
      <c r="D181" s="194"/>
      <c r="E181" s="195" t="str">
        <f>Translate!E662</f>
        <v>Cumulative production years</v>
      </c>
      <c r="F181" s="177"/>
      <c r="G181" s="195" t="str">
        <f xml:space="preserve"> Translate!E$608</f>
        <v>Year</v>
      </c>
      <c r="H181" s="195"/>
      <c r="I181" s="191"/>
      <c r="J181" s="196"/>
      <c r="K181" s="176">
        <f t="shared" ref="K181:AX181" ca="1" si="77" xml:space="preserve"> ( J181 + K180 ) * K180</f>
        <v>0</v>
      </c>
      <c r="L181" s="176">
        <f t="shared" ca="1" si="77"/>
        <v>0</v>
      </c>
      <c r="M181" s="176">
        <f t="shared" ca="1" si="77"/>
        <v>0</v>
      </c>
      <c r="N181" s="176">
        <f t="shared" ca="1" si="77"/>
        <v>0</v>
      </c>
      <c r="O181" s="176">
        <f t="shared" ca="1" si="77"/>
        <v>1</v>
      </c>
      <c r="P181" s="176">
        <f t="shared" ca="1" si="77"/>
        <v>2</v>
      </c>
      <c r="Q181" s="176">
        <f t="shared" ca="1" si="77"/>
        <v>3</v>
      </c>
      <c r="R181" s="176">
        <f t="shared" ca="1" si="77"/>
        <v>4</v>
      </c>
      <c r="S181" s="176">
        <f t="shared" ca="1" si="77"/>
        <v>5</v>
      </c>
      <c r="T181" s="176">
        <f t="shared" ca="1" si="77"/>
        <v>6</v>
      </c>
      <c r="U181" s="176">
        <f t="shared" ca="1" si="77"/>
        <v>7</v>
      </c>
      <c r="V181" s="176">
        <f t="shared" ca="1" si="77"/>
        <v>8</v>
      </c>
      <c r="W181" s="176">
        <f t="shared" ca="1" si="77"/>
        <v>9</v>
      </c>
      <c r="X181" s="176">
        <f t="shared" ca="1" si="77"/>
        <v>10</v>
      </c>
      <c r="Y181" s="176">
        <f t="shared" ca="1" si="77"/>
        <v>11</v>
      </c>
      <c r="Z181" s="176">
        <f t="shared" ca="1" si="77"/>
        <v>12</v>
      </c>
      <c r="AA181" s="176">
        <f t="shared" ca="1" si="77"/>
        <v>13</v>
      </c>
      <c r="AB181" s="176">
        <f t="shared" ca="1" si="77"/>
        <v>14</v>
      </c>
      <c r="AC181" s="176">
        <f t="shared" ca="1" si="77"/>
        <v>15</v>
      </c>
      <c r="AD181" s="176">
        <f t="shared" ca="1" si="77"/>
        <v>16</v>
      </c>
      <c r="AE181" s="176">
        <f t="shared" ca="1" si="77"/>
        <v>17</v>
      </c>
      <c r="AF181" s="176">
        <f t="shared" ca="1" si="77"/>
        <v>18</v>
      </c>
      <c r="AG181" s="176">
        <f t="shared" ca="1" si="77"/>
        <v>19</v>
      </c>
      <c r="AH181" s="176">
        <f t="shared" ca="1" si="77"/>
        <v>20</v>
      </c>
      <c r="AI181" s="176">
        <f t="shared" ca="1" si="77"/>
        <v>21</v>
      </c>
      <c r="AJ181" s="176">
        <f t="shared" ca="1" si="77"/>
        <v>22</v>
      </c>
      <c r="AK181" s="176">
        <f t="shared" ca="1" si="77"/>
        <v>23</v>
      </c>
      <c r="AL181" s="176">
        <f t="shared" ca="1" si="77"/>
        <v>24</v>
      </c>
      <c r="AM181" s="176">
        <f t="shared" ca="1" si="77"/>
        <v>25</v>
      </c>
      <c r="AN181" s="176">
        <f t="shared" ca="1" si="77"/>
        <v>26</v>
      </c>
      <c r="AO181" s="176">
        <f t="shared" ca="1" si="77"/>
        <v>27</v>
      </c>
      <c r="AP181" s="176">
        <f t="shared" ca="1" si="77"/>
        <v>0</v>
      </c>
      <c r="AQ181" s="176">
        <f t="shared" ca="1" si="77"/>
        <v>0</v>
      </c>
      <c r="AR181" s="176">
        <f t="shared" ca="1" si="77"/>
        <v>0</v>
      </c>
      <c r="AS181" s="176">
        <f t="shared" ca="1" si="77"/>
        <v>0</v>
      </c>
      <c r="AT181" s="176">
        <f t="shared" ca="1" si="77"/>
        <v>0</v>
      </c>
      <c r="AU181" s="176">
        <f t="shared" ca="1" si="77"/>
        <v>0</v>
      </c>
      <c r="AV181" s="176">
        <f t="shared" ca="1" si="77"/>
        <v>0</v>
      </c>
      <c r="AW181" s="176">
        <f t="shared" ca="1" si="77"/>
        <v>0</v>
      </c>
      <c r="AX181" s="176">
        <f t="shared" ca="1" si="77"/>
        <v>0</v>
      </c>
    </row>
    <row r="182" spans="1:50" s="77" customFormat="1" ht="15" customHeight="1" x14ac:dyDescent="0.25">
      <c r="A182" s="191"/>
      <c r="B182" s="192"/>
      <c r="C182" s="193"/>
      <c r="D182" s="194"/>
      <c r="E182" s="195" t="str">
        <f>Translate!E663</f>
        <v>Remaining production years</v>
      </c>
      <c r="F182" s="177"/>
      <c r="G182" s="195" t="str">
        <f xml:space="preserve"> Translate!E$608</f>
        <v>Year</v>
      </c>
      <c r="H182" s="195"/>
      <c r="I182" s="191"/>
      <c r="J182" s="177"/>
      <c r="K182" s="176">
        <f ca="1" xml:space="preserve"> SUM(K180:$AX180) * K180</f>
        <v>0</v>
      </c>
      <c r="L182" s="176">
        <f ca="1" xml:space="preserve"> SUM(L180:$AX180) * L180</f>
        <v>0</v>
      </c>
      <c r="M182" s="176">
        <f ca="1" xml:space="preserve"> SUM(M180:$AX180) * M180</f>
        <v>0</v>
      </c>
      <c r="N182" s="176">
        <f ca="1" xml:space="preserve"> SUM(N180:$AX180) * N180</f>
        <v>0</v>
      </c>
      <c r="O182" s="176">
        <f ca="1" xml:space="preserve"> SUM(O180:$AX180) * O180</f>
        <v>27</v>
      </c>
      <c r="P182" s="176">
        <f ca="1" xml:space="preserve"> SUM(P180:$AX180) * P180</f>
        <v>26</v>
      </c>
      <c r="Q182" s="176">
        <f ca="1" xml:space="preserve"> SUM(Q180:$AX180) * Q180</f>
        <v>25</v>
      </c>
      <c r="R182" s="176">
        <f ca="1" xml:space="preserve"> SUM(R180:$AX180) * R180</f>
        <v>24</v>
      </c>
      <c r="S182" s="176">
        <f ca="1" xml:space="preserve"> SUM(S180:$AX180) * S180</f>
        <v>23</v>
      </c>
      <c r="T182" s="176">
        <f ca="1" xml:space="preserve"> SUM(T180:$AX180) * T180</f>
        <v>22</v>
      </c>
      <c r="U182" s="176">
        <f ca="1" xml:space="preserve"> SUM(U180:$AX180) * U180</f>
        <v>21</v>
      </c>
      <c r="V182" s="176">
        <f ca="1" xml:space="preserve"> SUM(V180:$AX180) * V180</f>
        <v>20</v>
      </c>
      <c r="W182" s="176">
        <f ca="1" xml:space="preserve"> SUM(W180:$AX180) * W180</f>
        <v>19</v>
      </c>
      <c r="X182" s="176">
        <f ca="1" xml:space="preserve"> SUM(X180:$AX180) * X180</f>
        <v>18</v>
      </c>
      <c r="Y182" s="176">
        <f ca="1" xml:space="preserve"> SUM(Y180:$AX180) * Y180</f>
        <v>17</v>
      </c>
      <c r="Z182" s="176">
        <f ca="1" xml:space="preserve"> SUM(Z180:$AX180) * Z180</f>
        <v>16</v>
      </c>
      <c r="AA182" s="176">
        <f ca="1" xml:space="preserve"> SUM(AA180:$AX180) * AA180</f>
        <v>15</v>
      </c>
      <c r="AB182" s="176">
        <f ca="1" xml:space="preserve"> SUM(AB180:$AX180) * AB180</f>
        <v>14</v>
      </c>
      <c r="AC182" s="176">
        <f ca="1" xml:space="preserve"> SUM(AC180:$AX180) * AC180</f>
        <v>13</v>
      </c>
      <c r="AD182" s="176">
        <f ca="1" xml:space="preserve"> SUM(AD180:$AX180) * AD180</f>
        <v>12</v>
      </c>
      <c r="AE182" s="176">
        <f ca="1" xml:space="preserve"> SUM(AE180:$AX180) * AE180</f>
        <v>11</v>
      </c>
      <c r="AF182" s="176">
        <f ca="1" xml:space="preserve"> SUM(AF180:$AX180) * AF180</f>
        <v>10</v>
      </c>
      <c r="AG182" s="176">
        <f ca="1" xml:space="preserve"> SUM(AG180:$AX180) * AG180</f>
        <v>9</v>
      </c>
      <c r="AH182" s="176">
        <f ca="1" xml:space="preserve"> SUM(AH180:$AX180) * AH180</f>
        <v>8</v>
      </c>
      <c r="AI182" s="176">
        <f ca="1" xml:space="preserve"> SUM(AI180:$AX180) * AI180</f>
        <v>7</v>
      </c>
      <c r="AJ182" s="176">
        <f ca="1" xml:space="preserve"> SUM(AJ180:$AX180) * AJ180</f>
        <v>6</v>
      </c>
      <c r="AK182" s="176">
        <f ca="1" xml:space="preserve"> SUM(AK180:$AX180) * AK180</f>
        <v>5</v>
      </c>
      <c r="AL182" s="176">
        <f ca="1" xml:space="preserve"> SUM(AL180:$AX180) * AL180</f>
        <v>4</v>
      </c>
      <c r="AM182" s="176">
        <f ca="1" xml:space="preserve"> SUM(AM180:$AX180) * AM180</f>
        <v>3</v>
      </c>
      <c r="AN182" s="176">
        <f ca="1" xml:space="preserve"> SUM(AN180:$AX180) * AN180</f>
        <v>2</v>
      </c>
      <c r="AO182" s="176">
        <f ca="1" xml:space="preserve"> SUM(AO180:$AX180) * AO180</f>
        <v>1</v>
      </c>
      <c r="AP182" s="176">
        <f ca="1" xml:space="preserve"> SUM(AP180:$AX180) * AP180</f>
        <v>0</v>
      </c>
      <c r="AQ182" s="176">
        <f ca="1" xml:space="preserve"> SUM(AQ180:$AX180) * AQ180</f>
        <v>0</v>
      </c>
      <c r="AR182" s="176">
        <f ca="1" xml:space="preserve"> SUM(AR180:$AX180) * AR180</f>
        <v>0</v>
      </c>
      <c r="AS182" s="176">
        <f ca="1" xml:space="preserve"> SUM(AS180:$AX180) * AS180</f>
        <v>0</v>
      </c>
      <c r="AT182" s="176">
        <f ca="1" xml:space="preserve"> SUM(AT180:$AX180) * AT180</f>
        <v>0</v>
      </c>
      <c r="AU182" s="176">
        <f ca="1" xml:space="preserve"> SUM(AU180:$AX180) * AU180</f>
        <v>0</v>
      </c>
      <c r="AV182" s="176">
        <f ca="1" xml:space="preserve"> SUM(AV180:$AX180) * AV180</f>
        <v>0</v>
      </c>
      <c r="AW182" s="176">
        <f ca="1" xml:space="preserve"> SUM(AW180:$AX180) * AW180</f>
        <v>0</v>
      </c>
      <c r="AX182" s="176">
        <f ca="1" xml:space="preserve"> SUM(AX180:$AX180) * AX180</f>
        <v>0</v>
      </c>
    </row>
    <row r="183" spans="1:50" ht="15" customHeight="1" x14ac:dyDescent="0.25">
      <c r="A183" s="106"/>
      <c r="B183" s="168"/>
      <c r="C183" s="108"/>
      <c r="D183" s="117"/>
      <c r="E183" s="176" t="str">
        <f xml:space="preserve"> E180</f>
        <v>Production years, after ELT</v>
      </c>
      <c r="F183" s="177">
        <f ca="1" xml:space="preserve"> SUM(K180:AX180)</f>
        <v>27</v>
      </c>
      <c r="G183" s="176" t="str">
        <f xml:space="preserve"> Translate!E$608</f>
        <v>Year</v>
      </c>
      <c r="H183" s="52"/>
      <c r="I183" s="109"/>
      <c r="J183" s="56"/>
      <c r="K183" s="55"/>
      <c r="L183" s="55"/>
      <c r="M183" s="55"/>
      <c r="N183" s="55"/>
      <c r="O183" s="55"/>
      <c r="P183" s="55"/>
      <c r="Q183" s="55"/>
      <c r="R183" s="55"/>
      <c r="S183" s="55"/>
      <c r="T183" s="55"/>
      <c r="U183" s="55"/>
      <c r="V183" s="55"/>
      <c r="W183" s="55"/>
      <c r="X183" s="55"/>
      <c r="Y183" s="55"/>
      <c r="Z183" s="55"/>
      <c r="AA183" s="55"/>
      <c r="AB183" s="55"/>
      <c r="AC183" s="55"/>
      <c r="AD183" s="55"/>
      <c r="AE183" s="55"/>
      <c r="AF183" s="55"/>
      <c r="AG183" s="55"/>
      <c r="AH183" s="55"/>
      <c r="AI183" s="55"/>
      <c r="AJ183" s="55"/>
      <c r="AK183" s="55"/>
      <c r="AL183" s="55"/>
      <c r="AM183" s="55"/>
      <c r="AN183" s="55"/>
      <c r="AO183" s="55"/>
      <c r="AP183" s="55"/>
      <c r="AQ183" s="55"/>
      <c r="AR183" s="55"/>
      <c r="AS183" s="55"/>
      <c r="AT183" s="55"/>
      <c r="AU183" s="55"/>
      <c r="AV183" s="55"/>
      <c r="AW183" s="55"/>
      <c r="AX183" s="55"/>
    </row>
    <row r="184" spans="1:50" ht="15" customHeight="1" x14ac:dyDescent="0.25">
      <c r="A184" s="106"/>
      <c r="B184" s="168"/>
      <c r="C184" s="108"/>
      <c r="D184" s="117"/>
      <c r="H184" s="52"/>
      <c r="I184" s="109"/>
      <c r="J184" s="56"/>
      <c r="K184" s="55"/>
      <c r="L184" s="55"/>
      <c r="M184" s="55"/>
      <c r="N184" s="55"/>
      <c r="O184" s="55"/>
      <c r="P184" s="55"/>
      <c r="Q184" s="55"/>
      <c r="R184" s="55"/>
      <c r="S184" s="55"/>
      <c r="T184" s="55"/>
      <c r="U184" s="55"/>
      <c r="V184" s="55"/>
      <c r="W184" s="55"/>
      <c r="X184" s="55"/>
      <c r="Y184" s="55"/>
      <c r="Z184" s="55"/>
      <c r="AA184" s="55"/>
      <c r="AB184" s="55"/>
      <c r="AC184" s="55"/>
      <c r="AD184" s="55"/>
      <c r="AE184" s="55"/>
      <c r="AF184" s="55"/>
      <c r="AG184" s="55"/>
      <c r="AH184" s="55"/>
      <c r="AI184" s="55"/>
      <c r="AJ184" s="55"/>
      <c r="AK184" s="55"/>
      <c r="AL184" s="55"/>
      <c r="AM184" s="55"/>
      <c r="AN184" s="55"/>
      <c r="AO184" s="55"/>
      <c r="AP184" s="55"/>
      <c r="AQ184" s="55"/>
      <c r="AR184" s="55"/>
      <c r="AS184" s="55"/>
      <c r="AT184" s="55"/>
      <c r="AU184" s="55"/>
      <c r="AV184" s="55"/>
      <c r="AW184" s="55"/>
      <c r="AX184" s="55"/>
    </row>
    <row r="185" spans="1:50" ht="15" customHeight="1" x14ac:dyDescent="0.25">
      <c r="A185" s="106"/>
      <c r="B185" s="189" t="str">
        <f>Translate!$E$687</f>
        <v>Development period (used for depreciation calculations)</v>
      </c>
      <c r="C185" s="108"/>
      <c r="D185" s="117"/>
      <c r="E185" s="52"/>
      <c r="F185" s="56"/>
      <c r="G185" s="52"/>
      <c r="H185" s="52"/>
      <c r="I185" s="109"/>
      <c r="J185" s="56"/>
      <c r="K185" s="55"/>
      <c r="L185" s="55"/>
      <c r="M185" s="55"/>
      <c r="N185" s="55"/>
      <c r="O185" s="55"/>
      <c r="P185" s="55"/>
      <c r="Q185" s="55"/>
      <c r="R185" s="55"/>
      <c r="S185" s="55"/>
      <c r="T185" s="55"/>
      <c r="U185" s="55"/>
      <c r="V185" s="55"/>
      <c r="W185" s="55"/>
      <c r="X185" s="55"/>
      <c r="Y185" s="55"/>
      <c r="Z185" s="55"/>
      <c r="AA185" s="55"/>
      <c r="AB185" s="55"/>
      <c r="AC185" s="55"/>
      <c r="AD185" s="55"/>
      <c r="AE185" s="55"/>
      <c r="AF185" s="55"/>
      <c r="AG185" s="55"/>
      <c r="AH185" s="55"/>
      <c r="AI185" s="55"/>
      <c r="AJ185" s="55"/>
      <c r="AK185" s="55"/>
      <c r="AL185" s="55"/>
      <c r="AM185" s="55"/>
      <c r="AN185" s="55"/>
      <c r="AO185" s="55"/>
      <c r="AP185" s="55"/>
      <c r="AQ185" s="55"/>
      <c r="AR185" s="55"/>
      <c r="AS185" s="55"/>
      <c r="AT185" s="55"/>
      <c r="AU185" s="55"/>
      <c r="AV185" s="55"/>
      <c r="AW185" s="55"/>
      <c r="AX185" s="55"/>
    </row>
    <row r="186" spans="1:50" ht="15" customHeight="1" x14ac:dyDescent="0.25">
      <c r="A186" s="86"/>
      <c r="B186" s="189"/>
      <c r="C186" s="108"/>
      <c r="D186" s="117"/>
      <c r="E186" s="45" t="str">
        <f t="shared" ref="E186:AX186" si="78" xml:space="preserve"> E$34</f>
        <v>Model calendar years</v>
      </c>
      <c r="F186" s="45">
        <f t="shared" si="78"/>
        <v>0</v>
      </c>
      <c r="G186" s="45" t="str">
        <f t="shared" si="78"/>
        <v>Year</v>
      </c>
      <c r="H186" s="45">
        <f t="shared" si="78"/>
        <v>0</v>
      </c>
      <c r="I186" s="45">
        <f t="shared" si="78"/>
        <v>0</v>
      </c>
      <c r="J186" s="45">
        <f t="shared" si="78"/>
        <v>0</v>
      </c>
      <c r="K186" s="316">
        <f t="shared" si="78"/>
        <v>2021</v>
      </c>
      <c r="L186" s="316">
        <f t="shared" si="78"/>
        <v>2022</v>
      </c>
      <c r="M186" s="316">
        <f t="shared" si="78"/>
        <v>2023</v>
      </c>
      <c r="N186" s="316">
        <f t="shared" si="78"/>
        <v>2024</v>
      </c>
      <c r="O186" s="316">
        <f t="shared" si="78"/>
        <v>2025</v>
      </c>
      <c r="P186" s="316">
        <f t="shared" si="78"/>
        <v>2026</v>
      </c>
      <c r="Q186" s="316">
        <f t="shared" si="78"/>
        <v>2027</v>
      </c>
      <c r="R186" s="316">
        <f t="shared" si="78"/>
        <v>2028</v>
      </c>
      <c r="S186" s="316">
        <f t="shared" si="78"/>
        <v>2029</v>
      </c>
      <c r="T186" s="316">
        <f t="shared" si="78"/>
        <v>2030</v>
      </c>
      <c r="U186" s="316">
        <f t="shared" si="78"/>
        <v>2031</v>
      </c>
      <c r="V186" s="316">
        <f t="shared" si="78"/>
        <v>2032</v>
      </c>
      <c r="W186" s="316">
        <f t="shared" si="78"/>
        <v>2033</v>
      </c>
      <c r="X186" s="316">
        <f t="shared" si="78"/>
        <v>2034</v>
      </c>
      <c r="Y186" s="316">
        <f t="shared" si="78"/>
        <v>2035</v>
      </c>
      <c r="Z186" s="316">
        <f t="shared" si="78"/>
        <v>2036</v>
      </c>
      <c r="AA186" s="316">
        <f t="shared" si="78"/>
        <v>2037</v>
      </c>
      <c r="AB186" s="316">
        <f t="shared" si="78"/>
        <v>2038</v>
      </c>
      <c r="AC186" s="316">
        <f t="shared" si="78"/>
        <v>2039</v>
      </c>
      <c r="AD186" s="316">
        <f t="shared" si="78"/>
        <v>2040</v>
      </c>
      <c r="AE186" s="316">
        <f t="shared" si="78"/>
        <v>2041</v>
      </c>
      <c r="AF186" s="316">
        <f t="shared" si="78"/>
        <v>2042</v>
      </c>
      <c r="AG186" s="316">
        <f t="shared" si="78"/>
        <v>2043</v>
      </c>
      <c r="AH186" s="316">
        <f t="shared" si="78"/>
        <v>2044</v>
      </c>
      <c r="AI186" s="316">
        <f t="shared" si="78"/>
        <v>2045</v>
      </c>
      <c r="AJ186" s="316">
        <f t="shared" si="78"/>
        <v>2046</v>
      </c>
      <c r="AK186" s="316">
        <f t="shared" si="78"/>
        <v>2047</v>
      </c>
      <c r="AL186" s="316">
        <f t="shared" si="78"/>
        <v>2048</v>
      </c>
      <c r="AM186" s="316">
        <f t="shared" si="78"/>
        <v>2049</v>
      </c>
      <c r="AN186" s="316">
        <f t="shared" si="78"/>
        <v>2050</v>
      </c>
      <c r="AO186" s="316">
        <f t="shared" si="78"/>
        <v>2051</v>
      </c>
      <c r="AP186" s="316">
        <f t="shared" si="78"/>
        <v>2052</v>
      </c>
      <c r="AQ186" s="316">
        <f t="shared" si="78"/>
        <v>2053</v>
      </c>
      <c r="AR186" s="316">
        <f t="shared" si="78"/>
        <v>2054</v>
      </c>
      <c r="AS186" s="316">
        <f t="shared" si="78"/>
        <v>2055</v>
      </c>
      <c r="AT186" s="316">
        <f t="shared" si="78"/>
        <v>2056</v>
      </c>
      <c r="AU186" s="316">
        <f t="shared" si="78"/>
        <v>2057</v>
      </c>
      <c r="AV186" s="316">
        <f t="shared" si="78"/>
        <v>2058</v>
      </c>
      <c r="AW186" s="316">
        <f t="shared" si="78"/>
        <v>2059</v>
      </c>
      <c r="AX186" s="316">
        <f t="shared" si="78"/>
        <v>2060</v>
      </c>
    </row>
    <row r="187" spans="1:50" ht="15" customHeight="1" x14ac:dyDescent="0.25">
      <c r="A187" s="86"/>
      <c r="B187" s="189"/>
      <c r="C187" s="108"/>
      <c r="D187" s="117"/>
      <c r="E187" s="45" t="str">
        <f t="shared" ref="E187:AX187" si="79" xml:space="preserve"> E$50</f>
        <v>Development costs</v>
      </c>
      <c r="F187" s="45">
        <f t="shared" si="79"/>
        <v>0</v>
      </c>
      <c r="G187" s="45" t="str">
        <f t="shared" si="79"/>
        <v>US$ mn 2021</v>
      </c>
      <c r="H187" s="45">
        <f t="shared" si="79"/>
        <v>0</v>
      </c>
      <c r="I187" s="45">
        <f t="shared" ca="1" si="79"/>
        <v>9050</v>
      </c>
      <c r="J187" s="154">
        <f t="shared" si="79"/>
        <v>0</v>
      </c>
      <c r="K187" s="45">
        <f t="shared" ca="1" si="79"/>
        <v>0</v>
      </c>
      <c r="L187" s="45">
        <f t="shared" ca="1" si="79"/>
        <v>50</v>
      </c>
      <c r="M187" s="45">
        <f t="shared" ca="1" si="79"/>
        <v>300</v>
      </c>
      <c r="N187" s="45">
        <f t="shared" ca="1" si="79"/>
        <v>1200</v>
      </c>
      <c r="O187" s="45">
        <f t="shared" ca="1" si="79"/>
        <v>1200</v>
      </c>
      <c r="P187" s="45">
        <f t="shared" ca="1" si="79"/>
        <v>2100</v>
      </c>
      <c r="Q187" s="45">
        <f t="shared" ca="1" si="79"/>
        <v>1100</v>
      </c>
      <c r="R187" s="45">
        <f t="shared" ca="1" si="79"/>
        <v>450</v>
      </c>
      <c r="S187" s="45">
        <f t="shared" ca="1" si="79"/>
        <v>250</v>
      </c>
      <c r="T187" s="45">
        <f t="shared" ca="1" si="79"/>
        <v>250</v>
      </c>
      <c r="U187" s="45">
        <f t="shared" ca="1" si="79"/>
        <v>250</v>
      </c>
      <c r="V187" s="45">
        <f t="shared" ca="1" si="79"/>
        <v>250</v>
      </c>
      <c r="W187" s="45">
        <f t="shared" ca="1" si="79"/>
        <v>250</v>
      </c>
      <c r="X187" s="45">
        <f t="shared" ca="1" si="79"/>
        <v>250</v>
      </c>
      <c r="Y187" s="45">
        <f t="shared" ca="1" si="79"/>
        <v>250</v>
      </c>
      <c r="Z187" s="45">
        <f t="shared" ca="1" si="79"/>
        <v>250</v>
      </c>
      <c r="AA187" s="45">
        <f t="shared" ca="1" si="79"/>
        <v>250</v>
      </c>
      <c r="AB187" s="45">
        <f t="shared" ca="1" si="79"/>
        <v>0</v>
      </c>
      <c r="AC187" s="45">
        <f t="shared" ca="1" si="79"/>
        <v>0</v>
      </c>
      <c r="AD187" s="45">
        <f t="shared" ca="1" si="79"/>
        <v>200</v>
      </c>
      <c r="AE187" s="45">
        <f t="shared" ca="1" si="79"/>
        <v>200</v>
      </c>
      <c r="AF187" s="45">
        <f t="shared" ca="1" si="79"/>
        <v>0</v>
      </c>
      <c r="AG187" s="45">
        <f t="shared" ca="1" si="79"/>
        <v>0</v>
      </c>
      <c r="AH187" s="45">
        <f t="shared" ca="1" si="79"/>
        <v>0</v>
      </c>
      <c r="AI187" s="45">
        <f t="shared" ca="1" si="79"/>
        <v>0</v>
      </c>
      <c r="AJ187" s="45">
        <f t="shared" ca="1" si="79"/>
        <v>0</v>
      </c>
      <c r="AK187" s="45">
        <f t="shared" ca="1" si="79"/>
        <v>0</v>
      </c>
      <c r="AL187" s="45">
        <f t="shared" ca="1" si="79"/>
        <v>0</v>
      </c>
      <c r="AM187" s="45">
        <f t="shared" ca="1" si="79"/>
        <v>0</v>
      </c>
      <c r="AN187" s="45">
        <f t="shared" ca="1" si="79"/>
        <v>0</v>
      </c>
      <c r="AO187" s="45">
        <f t="shared" ca="1" si="79"/>
        <v>0</v>
      </c>
      <c r="AP187" s="45">
        <f t="shared" ca="1" si="79"/>
        <v>0</v>
      </c>
      <c r="AQ187" s="45">
        <f t="shared" ca="1" si="79"/>
        <v>0</v>
      </c>
      <c r="AR187" s="45">
        <f t="shared" ca="1" si="79"/>
        <v>0</v>
      </c>
      <c r="AS187" s="45">
        <f t="shared" ca="1" si="79"/>
        <v>0</v>
      </c>
      <c r="AT187" s="45">
        <f t="shared" ca="1" si="79"/>
        <v>0</v>
      </c>
      <c r="AU187" s="45">
        <f t="shared" ca="1" si="79"/>
        <v>0</v>
      </c>
      <c r="AV187" s="45">
        <f t="shared" ca="1" si="79"/>
        <v>0</v>
      </c>
      <c r="AW187" s="45">
        <f t="shared" ca="1" si="79"/>
        <v>0</v>
      </c>
      <c r="AX187" s="45">
        <f t="shared" ca="1" si="79"/>
        <v>0</v>
      </c>
    </row>
    <row r="188" spans="1:50" s="741" customFormat="1" ht="15" customHeight="1" x14ac:dyDescent="0.25">
      <c r="A188" s="738"/>
      <c r="C188" s="740"/>
      <c r="E188" s="775" t="str">
        <f>Translate!E664</f>
        <v>First Development Year (FID)</v>
      </c>
      <c r="F188" s="775"/>
      <c r="G188" s="775" t="str">
        <f>Translate!E405</f>
        <v>Flag</v>
      </c>
      <c r="H188" s="775"/>
      <c r="J188" s="889"/>
      <c r="K188" s="775">
        <f ca="1" xml:space="preserve"> AND( J187 = 0, K187 &gt; 0, (SUM($J188:J188) = 0)) * K186</f>
        <v>0</v>
      </c>
      <c r="L188" s="775">
        <f ca="1" xml:space="preserve"> AND( K187 = 0, L187 &gt; 0, (SUM($J188:K188) = 0)) * L186</f>
        <v>2022</v>
      </c>
      <c r="M188" s="775">
        <f ca="1" xml:space="preserve"> AND( L187 = 0, M187 &gt; 0, (SUM($J188:L188) = 0)) * M186</f>
        <v>0</v>
      </c>
      <c r="N188" s="775">
        <f ca="1" xml:space="preserve"> AND( M187 = 0, N187 &gt; 0, (SUM($J188:M188) = 0)) * N186</f>
        <v>0</v>
      </c>
      <c r="O188" s="775">
        <f ca="1" xml:space="preserve"> AND( N187 = 0, O187 &gt; 0, (SUM($J188:N188) = 0)) * O186</f>
        <v>0</v>
      </c>
      <c r="P188" s="775">
        <f ca="1" xml:space="preserve"> AND( O187 = 0, P187 &gt; 0, (SUM($J188:O188) = 0)) * P186</f>
        <v>0</v>
      </c>
      <c r="Q188" s="775">
        <f ca="1" xml:space="preserve"> AND( P187 = 0, Q187 &gt; 0, (SUM($J188:P188) = 0)) * Q186</f>
        <v>0</v>
      </c>
      <c r="R188" s="775">
        <f ca="1" xml:space="preserve"> AND( Q187 = 0, R187 &gt; 0, (SUM($J188:Q188) = 0)) * R186</f>
        <v>0</v>
      </c>
      <c r="S188" s="775">
        <f ca="1" xml:space="preserve"> AND( R187 = 0, S187 &gt; 0, (SUM($J188:R188) = 0)) * S186</f>
        <v>0</v>
      </c>
      <c r="T188" s="775">
        <f ca="1" xml:space="preserve"> AND( S187 = 0, T187 &gt; 0, (SUM($J188:S188) = 0)) * T186</f>
        <v>0</v>
      </c>
      <c r="U188" s="775">
        <f ca="1" xml:space="preserve"> AND( T187 = 0, U187 &gt; 0, (SUM($J188:T188) = 0)) * U186</f>
        <v>0</v>
      </c>
      <c r="V188" s="775">
        <f ca="1" xml:space="preserve"> AND( U187 = 0, V187 &gt; 0, (SUM($J188:U188) = 0)) * V186</f>
        <v>0</v>
      </c>
      <c r="W188" s="775">
        <f ca="1" xml:space="preserve"> AND( V187 = 0, W187 &gt; 0, (SUM($J188:V188) = 0)) * W186</f>
        <v>0</v>
      </c>
      <c r="X188" s="775">
        <f ca="1" xml:space="preserve"> AND( W187 = 0, X187 &gt; 0, (SUM($J188:W188) = 0)) * X186</f>
        <v>0</v>
      </c>
      <c r="Y188" s="775">
        <f ca="1" xml:space="preserve"> AND( X187 = 0, Y187 &gt; 0, (SUM($J188:X188) = 0)) * Y186</f>
        <v>0</v>
      </c>
      <c r="Z188" s="775">
        <f ca="1" xml:space="preserve"> AND( Y187 = 0, Z187 &gt; 0, (SUM($J188:Y188) = 0)) * Z186</f>
        <v>0</v>
      </c>
      <c r="AA188" s="775">
        <f ca="1" xml:space="preserve"> AND( Z187 = 0, AA187 &gt; 0, (SUM($J188:Z188) = 0)) * AA186</f>
        <v>0</v>
      </c>
      <c r="AB188" s="775">
        <f ca="1" xml:space="preserve"> AND( AA187 = 0, AB187 &gt; 0, (SUM($J188:AA188) = 0)) * AB186</f>
        <v>0</v>
      </c>
      <c r="AC188" s="775">
        <f ca="1" xml:space="preserve"> AND( AB187 = 0, AC187 &gt; 0, (SUM($J188:AB188) = 0)) * AC186</f>
        <v>0</v>
      </c>
      <c r="AD188" s="775">
        <f ca="1" xml:space="preserve"> AND( AC187 = 0, AD187 &gt; 0, (SUM($J188:AC188) = 0)) * AD186</f>
        <v>0</v>
      </c>
      <c r="AE188" s="775">
        <f ca="1" xml:space="preserve"> AND( AD187 = 0, AE187 &gt; 0, (SUM($J188:AD188) = 0)) * AE186</f>
        <v>0</v>
      </c>
      <c r="AF188" s="775">
        <f ca="1" xml:space="preserve"> AND( AE187 = 0, AF187 &gt; 0, (SUM($J188:AE188) = 0)) * AF186</f>
        <v>0</v>
      </c>
      <c r="AG188" s="775">
        <f ca="1" xml:space="preserve"> AND( AF187 = 0, AG187 &gt; 0, (SUM($J188:AF188) = 0)) * AG186</f>
        <v>0</v>
      </c>
      <c r="AH188" s="775">
        <f ca="1" xml:space="preserve"> AND( AG187 = 0, AH187 &gt; 0, (SUM($J188:AG188) = 0)) * AH186</f>
        <v>0</v>
      </c>
      <c r="AI188" s="775">
        <f ca="1" xml:space="preserve"> AND( AH187 = 0, AI187 &gt; 0, (SUM($J188:AH188) = 0)) * AI186</f>
        <v>0</v>
      </c>
      <c r="AJ188" s="775">
        <f ca="1" xml:space="preserve"> AND( AI187 = 0, AJ187 &gt; 0, (SUM($J188:AI188) = 0)) * AJ186</f>
        <v>0</v>
      </c>
      <c r="AK188" s="775">
        <f ca="1" xml:space="preserve"> AND( AJ187 = 0, AK187 &gt; 0, (SUM($J188:AJ188) = 0)) * AK186</f>
        <v>0</v>
      </c>
      <c r="AL188" s="775">
        <f ca="1" xml:space="preserve"> AND( AK187 = 0, AL187 &gt; 0, (SUM($J188:AK188) = 0)) * AL186</f>
        <v>0</v>
      </c>
      <c r="AM188" s="775">
        <f ca="1" xml:space="preserve"> AND( AL187 = 0, AM187 &gt; 0, (SUM($J188:AL188) = 0)) * AM186</f>
        <v>0</v>
      </c>
      <c r="AN188" s="775">
        <f ca="1" xml:space="preserve"> AND( AM187 = 0, AN187 &gt; 0, (SUM($J188:AM188) = 0)) * AN186</f>
        <v>0</v>
      </c>
      <c r="AO188" s="775">
        <f ca="1" xml:space="preserve"> AND( AN187 = 0, AO187 &gt; 0, (SUM($J188:AN188) = 0)) * AO186</f>
        <v>0</v>
      </c>
      <c r="AP188" s="775">
        <f ca="1" xml:space="preserve"> AND( AO187 = 0, AP187 &gt; 0, (SUM($J188:AO188) = 0)) * AP186</f>
        <v>0</v>
      </c>
      <c r="AQ188" s="775">
        <f ca="1" xml:space="preserve"> AND( AP187 = 0, AQ187 &gt; 0, (SUM($J188:AP188) = 0)) * AQ186</f>
        <v>0</v>
      </c>
      <c r="AR188" s="775">
        <f ca="1" xml:space="preserve"> AND( AQ187 = 0, AR187 &gt; 0, (SUM($J188:AQ188) = 0)) * AR186</f>
        <v>0</v>
      </c>
      <c r="AS188" s="775">
        <f ca="1" xml:space="preserve"> AND( AR187 = 0, AS187 &gt; 0, (SUM($J188:AR188) = 0)) * AS186</f>
        <v>0</v>
      </c>
      <c r="AT188" s="775">
        <f ca="1" xml:space="preserve"> AND( AS187 = 0, AT187 &gt; 0, (SUM($J188:AS188) = 0)) * AT186</f>
        <v>0</v>
      </c>
      <c r="AU188" s="775">
        <f ca="1" xml:space="preserve"> AND( AT187 = 0, AU187 &gt; 0, (SUM($J188:AT188) = 0)) * AU186</f>
        <v>0</v>
      </c>
      <c r="AV188" s="775">
        <f ca="1" xml:space="preserve"> AND( AU187 = 0, AV187 &gt; 0, (SUM($J188:AU188) = 0)) * AV186</f>
        <v>0</v>
      </c>
      <c r="AW188" s="775">
        <f ca="1" xml:space="preserve"> AND( AV187 = 0, AW187 &gt; 0, (SUM($J188:AV188) = 0)) * AW186</f>
        <v>0</v>
      </c>
      <c r="AX188" s="775">
        <f ca="1" xml:space="preserve"> AND( AW187 = 0, AX187 &gt; 0, (SUM($J188:AW188) = 0)) * AX186</f>
        <v>0</v>
      </c>
    </row>
    <row r="189" spans="1:50" s="741" customFormat="1" ht="15" customHeight="1" x14ac:dyDescent="0.25">
      <c r="A189" s="738"/>
      <c r="C189" s="740"/>
      <c r="E189" s="775" t="str">
        <f xml:space="preserve"> Translate!E$664</f>
        <v>First Development Year (FID)</v>
      </c>
      <c r="F189" s="775">
        <f ca="1" xml:space="preserve"> SUM(K188:AX188)</f>
        <v>2022</v>
      </c>
      <c r="G189" s="741" t="str">
        <f>Translate!E$608</f>
        <v>Year</v>
      </c>
      <c r="H189" s="775"/>
      <c r="J189" s="775"/>
      <c r="K189" s="775"/>
      <c r="L189" s="775"/>
      <c r="M189" s="775"/>
      <c r="N189" s="775"/>
      <c r="O189" s="775"/>
      <c r="P189" s="775"/>
      <c r="Q189" s="775"/>
      <c r="R189" s="775"/>
      <c r="S189" s="775"/>
      <c r="T189" s="775"/>
      <c r="U189" s="775"/>
      <c r="V189" s="775"/>
      <c r="W189" s="775"/>
      <c r="X189" s="775"/>
      <c r="Y189" s="775"/>
      <c r="Z189" s="775"/>
      <c r="AA189" s="775"/>
      <c r="AB189" s="775"/>
      <c r="AC189" s="775"/>
      <c r="AD189" s="775"/>
      <c r="AE189" s="775"/>
      <c r="AF189" s="775"/>
      <c r="AG189" s="775"/>
      <c r="AH189" s="775"/>
      <c r="AI189" s="775"/>
      <c r="AJ189" s="775"/>
      <c r="AK189" s="775"/>
      <c r="AL189" s="775"/>
      <c r="AM189" s="775"/>
      <c r="AN189" s="775"/>
      <c r="AO189" s="775"/>
      <c r="AP189" s="775"/>
      <c r="AQ189" s="775"/>
      <c r="AR189" s="775"/>
      <c r="AS189" s="775"/>
      <c r="AT189" s="775"/>
      <c r="AU189" s="775"/>
      <c r="AV189" s="775"/>
      <c r="AW189" s="775"/>
      <c r="AX189" s="775"/>
    </row>
    <row r="190" spans="1:50" ht="15" customHeight="1" x14ac:dyDescent="0.25">
      <c r="A190" s="86"/>
      <c r="B190" s="168"/>
      <c r="C190" s="108"/>
      <c r="D190" s="117"/>
      <c r="E190" s="52"/>
      <c r="F190" s="56"/>
      <c r="G190" s="52"/>
      <c r="H190" s="52"/>
      <c r="I190" s="109"/>
      <c r="J190" s="56"/>
      <c r="K190" s="55"/>
      <c r="L190" s="55"/>
      <c r="M190" s="55"/>
      <c r="N190" s="55"/>
      <c r="O190" s="55"/>
      <c r="P190" s="55"/>
      <c r="Q190" s="55"/>
      <c r="R190" s="55"/>
      <c r="S190" s="55"/>
      <c r="T190" s="55"/>
      <c r="U190" s="55"/>
      <c r="V190" s="55"/>
      <c r="W190" s="55"/>
      <c r="X190" s="55"/>
      <c r="Y190" s="55"/>
      <c r="Z190" s="55"/>
      <c r="AA190" s="55"/>
      <c r="AB190" s="55"/>
      <c r="AC190" s="55"/>
      <c r="AD190" s="55"/>
      <c r="AE190" s="55"/>
      <c r="AF190" s="55"/>
      <c r="AG190" s="55"/>
      <c r="AH190" s="55"/>
      <c r="AI190" s="55"/>
      <c r="AJ190" s="55"/>
      <c r="AK190" s="55"/>
      <c r="AL190" s="55"/>
      <c r="AM190" s="55"/>
      <c r="AN190" s="55"/>
      <c r="AO190" s="55"/>
      <c r="AP190" s="55"/>
      <c r="AQ190" s="55"/>
      <c r="AR190" s="55"/>
      <c r="AS190" s="55"/>
      <c r="AT190" s="55"/>
      <c r="AU190" s="55"/>
      <c r="AV190" s="55"/>
      <c r="AW190" s="55"/>
      <c r="AX190" s="55"/>
    </row>
    <row r="191" spans="1:50" ht="15" customHeight="1" x14ac:dyDescent="0.25">
      <c r="A191" s="86"/>
      <c r="B191" s="168"/>
      <c r="C191" s="108"/>
      <c r="D191" s="117"/>
      <c r="E191" s="55" t="str">
        <f t="shared" ref="E191:AX191" si="80" xml:space="preserve"> E$173</f>
        <v>Project activity</v>
      </c>
      <c r="F191" s="55">
        <f t="shared" si="80"/>
        <v>0</v>
      </c>
      <c r="G191" s="55" t="str">
        <f t="shared" si="80"/>
        <v>Flag</v>
      </c>
      <c r="H191" s="55">
        <f t="shared" si="80"/>
        <v>0</v>
      </c>
      <c r="I191" s="55">
        <f t="shared" ca="1" si="80"/>
        <v>33</v>
      </c>
      <c r="J191" s="55">
        <f t="shared" si="80"/>
        <v>0</v>
      </c>
      <c r="K191" s="55">
        <f t="shared" ca="1" si="80"/>
        <v>1</v>
      </c>
      <c r="L191" s="55">
        <f t="shared" ca="1" si="80"/>
        <v>1</v>
      </c>
      <c r="M191" s="55">
        <f t="shared" ca="1" si="80"/>
        <v>1</v>
      </c>
      <c r="N191" s="55">
        <f t="shared" ca="1" si="80"/>
        <v>1</v>
      </c>
      <c r="O191" s="55">
        <f t="shared" ca="1" si="80"/>
        <v>1</v>
      </c>
      <c r="P191" s="55">
        <f t="shared" ca="1" si="80"/>
        <v>1</v>
      </c>
      <c r="Q191" s="55">
        <f t="shared" ca="1" si="80"/>
        <v>1</v>
      </c>
      <c r="R191" s="55">
        <f t="shared" ca="1" si="80"/>
        <v>1</v>
      </c>
      <c r="S191" s="55">
        <f t="shared" ca="1" si="80"/>
        <v>1</v>
      </c>
      <c r="T191" s="55">
        <f t="shared" ca="1" si="80"/>
        <v>1</v>
      </c>
      <c r="U191" s="55">
        <f t="shared" ca="1" si="80"/>
        <v>1</v>
      </c>
      <c r="V191" s="55">
        <f t="shared" ca="1" si="80"/>
        <v>1</v>
      </c>
      <c r="W191" s="55">
        <f t="shared" ca="1" si="80"/>
        <v>1</v>
      </c>
      <c r="X191" s="55">
        <f t="shared" ca="1" si="80"/>
        <v>1</v>
      </c>
      <c r="Y191" s="55">
        <f t="shared" ca="1" si="80"/>
        <v>1</v>
      </c>
      <c r="Z191" s="55">
        <f t="shared" ca="1" si="80"/>
        <v>1</v>
      </c>
      <c r="AA191" s="55">
        <f t="shared" ca="1" si="80"/>
        <v>1</v>
      </c>
      <c r="AB191" s="55">
        <f t="shared" ca="1" si="80"/>
        <v>1</v>
      </c>
      <c r="AC191" s="55">
        <f t="shared" ca="1" si="80"/>
        <v>1</v>
      </c>
      <c r="AD191" s="55">
        <f t="shared" ca="1" si="80"/>
        <v>1</v>
      </c>
      <c r="AE191" s="55">
        <f t="shared" ca="1" si="80"/>
        <v>1</v>
      </c>
      <c r="AF191" s="55">
        <f t="shared" ca="1" si="80"/>
        <v>1</v>
      </c>
      <c r="AG191" s="55">
        <f t="shared" ca="1" si="80"/>
        <v>1</v>
      </c>
      <c r="AH191" s="55">
        <f t="shared" ca="1" si="80"/>
        <v>1</v>
      </c>
      <c r="AI191" s="55">
        <f t="shared" ca="1" si="80"/>
        <v>1</v>
      </c>
      <c r="AJ191" s="55">
        <f t="shared" ca="1" si="80"/>
        <v>1</v>
      </c>
      <c r="AK191" s="55">
        <f t="shared" ca="1" si="80"/>
        <v>1</v>
      </c>
      <c r="AL191" s="55">
        <f t="shared" ca="1" si="80"/>
        <v>1</v>
      </c>
      <c r="AM191" s="55">
        <f t="shared" ca="1" si="80"/>
        <v>1</v>
      </c>
      <c r="AN191" s="55">
        <f t="shared" ca="1" si="80"/>
        <v>1</v>
      </c>
      <c r="AO191" s="55">
        <f t="shared" ca="1" si="80"/>
        <v>1</v>
      </c>
      <c r="AP191" s="55">
        <f t="shared" ca="1" si="80"/>
        <v>1</v>
      </c>
      <c r="AQ191" s="55">
        <f t="shared" ca="1" si="80"/>
        <v>1</v>
      </c>
      <c r="AR191" s="55">
        <f t="shared" ca="1" si="80"/>
        <v>0</v>
      </c>
      <c r="AS191" s="55">
        <f t="shared" ca="1" si="80"/>
        <v>0</v>
      </c>
      <c r="AT191" s="55">
        <f t="shared" ca="1" si="80"/>
        <v>0</v>
      </c>
      <c r="AU191" s="55">
        <f t="shared" ca="1" si="80"/>
        <v>0</v>
      </c>
      <c r="AV191" s="55">
        <f t="shared" ca="1" si="80"/>
        <v>0</v>
      </c>
      <c r="AW191" s="55">
        <f t="shared" ca="1" si="80"/>
        <v>0</v>
      </c>
      <c r="AX191" s="55">
        <f t="shared" ca="1" si="80"/>
        <v>0</v>
      </c>
    </row>
    <row r="192" spans="1:50" ht="15" customHeight="1" x14ac:dyDescent="0.25">
      <c r="A192" s="201"/>
      <c r="B192" s="198"/>
      <c r="C192" s="199"/>
      <c r="D192" s="200"/>
      <c r="E192" s="195" t="str">
        <f>Translate!E665</f>
        <v>Cumulative years from start of development</v>
      </c>
      <c r="F192" s="177"/>
      <c r="G192" s="195" t="str">
        <f xml:space="preserve"> Translate!E$608</f>
        <v>Year</v>
      </c>
      <c r="H192" s="195"/>
      <c r="I192" s="201"/>
      <c r="J192" s="196"/>
      <c r="K192" s="176">
        <f t="shared" ref="K192:AX192" ca="1" si="81" xml:space="preserve"> IF( K186 &gt;= $F189, J192 + 1, 0) * K191</f>
        <v>0</v>
      </c>
      <c r="L192" s="176">
        <f t="shared" ca="1" si="81"/>
        <v>1</v>
      </c>
      <c r="M192" s="176">
        <f t="shared" ca="1" si="81"/>
        <v>2</v>
      </c>
      <c r="N192" s="176">
        <f t="shared" ca="1" si="81"/>
        <v>3</v>
      </c>
      <c r="O192" s="176">
        <f t="shared" ca="1" si="81"/>
        <v>4</v>
      </c>
      <c r="P192" s="176">
        <f t="shared" ca="1" si="81"/>
        <v>5</v>
      </c>
      <c r="Q192" s="176">
        <f t="shared" ca="1" si="81"/>
        <v>6</v>
      </c>
      <c r="R192" s="176">
        <f t="shared" ca="1" si="81"/>
        <v>7</v>
      </c>
      <c r="S192" s="176">
        <f t="shared" ca="1" si="81"/>
        <v>8</v>
      </c>
      <c r="T192" s="176">
        <f t="shared" ca="1" si="81"/>
        <v>9</v>
      </c>
      <c r="U192" s="176">
        <f t="shared" ca="1" si="81"/>
        <v>10</v>
      </c>
      <c r="V192" s="176">
        <f t="shared" ca="1" si="81"/>
        <v>11</v>
      </c>
      <c r="W192" s="176">
        <f t="shared" ca="1" si="81"/>
        <v>12</v>
      </c>
      <c r="X192" s="176">
        <f t="shared" ca="1" si="81"/>
        <v>13</v>
      </c>
      <c r="Y192" s="176">
        <f t="shared" ca="1" si="81"/>
        <v>14</v>
      </c>
      <c r="Z192" s="176">
        <f t="shared" ca="1" si="81"/>
        <v>15</v>
      </c>
      <c r="AA192" s="176">
        <f t="shared" ca="1" si="81"/>
        <v>16</v>
      </c>
      <c r="AB192" s="176">
        <f t="shared" ca="1" si="81"/>
        <v>17</v>
      </c>
      <c r="AC192" s="176">
        <f t="shared" ca="1" si="81"/>
        <v>18</v>
      </c>
      <c r="AD192" s="176">
        <f t="shared" ca="1" si="81"/>
        <v>19</v>
      </c>
      <c r="AE192" s="176">
        <f t="shared" ca="1" si="81"/>
        <v>20</v>
      </c>
      <c r="AF192" s="176">
        <f t="shared" ca="1" si="81"/>
        <v>21</v>
      </c>
      <c r="AG192" s="176">
        <f t="shared" ca="1" si="81"/>
        <v>22</v>
      </c>
      <c r="AH192" s="176">
        <f t="shared" ca="1" si="81"/>
        <v>23</v>
      </c>
      <c r="AI192" s="176">
        <f t="shared" ca="1" si="81"/>
        <v>24</v>
      </c>
      <c r="AJ192" s="176">
        <f t="shared" ca="1" si="81"/>
        <v>25</v>
      </c>
      <c r="AK192" s="176">
        <f t="shared" ca="1" si="81"/>
        <v>26</v>
      </c>
      <c r="AL192" s="176">
        <f t="shared" ca="1" si="81"/>
        <v>27</v>
      </c>
      <c r="AM192" s="176">
        <f t="shared" ca="1" si="81"/>
        <v>28</v>
      </c>
      <c r="AN192" s="176">
        <f t="shared" ca="1" si="81"/>
        <v>29</v>
      </c>
      <c r="AO192" s="176">
        <f t="shared" ca="1" si="81"/>
        <v>30</v>
      </c>
      <c r="AP192" s="176">
        <f t="shared" ca="1" si="81"/>
        <v>31</v>
      </c>
      <c r="AQ192" s="176">
        <f t="shared" ca="1" si="81"/>
        <v>32</v>
      </c>
      <c r="AR192" s="176">
        <f t="shared" ca="1" si="81"/>
        <v>0</v>
      </c>
      <c r="AS192" s="176">
        <f t="shared" ca="1" si="81"/>
        <v>0</v>
      </c>
      <c r="AT192" s="176">
        <f t="shared" ca="1" si="81"/>
        <v>0</v>
      </c>
      <c r="AU192" s="176">
        <f t="shared" ca="1" si="81"/>
        <v>0</v>
      </c>
      <c r="AV192" s="176">
        <f t="shared" ca="1" si="81"/>
        <v>0</v>
      </c>
      <c r="AW192" s="176">
        <f t="shared" ca="1" si="81"/>
        <v>0</v>
      </c>
      <c r="AX192" s="176">
        <f t="shared" ca="1" si="81"/>
        <v>0</v>
      </c>
    </row>
    <row r="193" spans="1:50" ht="15" customHeight="1" x14ac:dyDescent="0.25">
      <c r="A193" s="201"/>
      <c r="B193" s="198"/>
      <c r="C193" s="199"/>
      <c r="D193" s="200"/>
      <c r="E193" s="177" t="str">
        <f>Translate!E666</f>
        <v>FID forward flag</v>
      </c>
      <c r="F193" s="177"/>
      <c r="G193" s="177" t="str">
        <f>Translate!E405</f>
        <v>Flag</v>
      </c>
      <c r="H193" s="177"/>
      <c r="I193" s="201">
        <f ca="1" xml:space="preserve"> SUM(K193:AX193)</f>
        <v>39</v>
      </c>
      <c r="J193" s="177"/>
      <c r="K193" s="177">
        <f t="shared" ref="K193:AX193" ca="1" si="82" xml:space="preserve"> (K186 &gt;= $F189 ) * 1</f>
        <v>0</v>
      </c>
      <c r="L193" s="177">
        <f t="shared" ca="1" si="82"/>
        <v>1</v>
      </c>
      <c r="M193" s="177">
        <f t="shared" ca="1" si="82"/>
        <v>1</v>
      </c>
      <c r="N193" s="177">
        <f t="shared" ca="1" si="82"/>
        <v>1</v>
      </c>
      <c r="O193" s="177">
        <f t="shared" ca="1" si="82"/>
        <v>1</v>
      </c>
      <c r="P193" s="177">
        <f t="shared" ca="1" si="82"/>
        <v>1</v>
      </c>
      <c r="Q193" s="177">
        <f t="shared" ca="1" si="82"/>
        <v>1</v>
      </c>
      <c r="R193" s="177">
        <f t="shared" ca="1" si="82"/>
        <v>1</v>
      </c>
      <c r="S193" s="177">
        <f t="shared" ca="1" si="82"/>
        <v>1</v>
      </c>
      <c r="T193" s="177">
        <f t="shared" ca="1" si="82"/>
        <v>1</v>
      </c>
      <c r="U193" s="177">
        <f t="shared" ca="1" si="82"/>
        <v>1</v>
      </c>
      <c r="V193" s="177">
        <f t="shared" ca="1" si="82"/>
        <v>1</v>
      </c>
      <c r="W193" s="177">
        <f t="shared" ca="1" si="82"/>
        <v>1</v>
      </c>
      <c r="X193" s="177">
        <f t="shared" ca="1" si="82"/>
        <v>1</v>
      </c>
      <c r="Y193" s="177">
        <f t="shared" ca="1" si="82"/>
        <v>1</v>
      </c>
      <c r="Z193" s="177">
        <f t="shared" ca="1" si="82"/>
        <v>1</v>
      </c>
      <c r="AA193" s="177">
        <f t="shared" ca="1" si="82"/>
        <v>1</v>
      </c>
      <c r="AB193" s="177">
        <f t="shared" ca="1" si="82"/>
        <v>1</v>
      </c>
      <c r="AC193" s="177">
        <f t="shared" ca="1" si="82"/>
        <v>1</v>
      </c>
      <c r="AD193" s="177">
        <f t="shared" ca="1" si="82"/>
        <v>1</v>
      </c>
      <c r="AE193" s="177">
        <f t="shared" ca="1" si="82"/>
        <v>1</v>
      </c>
      <c r="AF193" s="177">
        <f t="shared" ca="1" si="82"/>
        <v>1</v>
      </c>
      <c r="AG193" s="177">
        <f t="shared" ca="1" si="82"/>
        <v>1</v>
      </c>
      <c r="AH193" s="177">
        <f t="shared" ca="1" si="82"/>
        <v>1</v>
      </c>
      <c r="AI193" s="177">
        <f t="shared" ca="1" si="82"/>
        <v>1</v>
      </c>
      <c r="AJ193" s="177">
        <f t="shared" ca="1" si="82"/>
        <v>1</v>
      </c>
      <c r="AK193" s="177">
        <f t="shared" ca="1" si="82"/>
        <v>1</v>
      </c>
      <c r="AL193" s="177">
        <f t="shared" ca="1" si="82"/>
        <v>1</v>
      </c>
      <c r="AM193" s="177">
        <f t="shared" ca="1" si="82"/>
        <v>1</v>
      </c>
      <c r="AN193" s="177">
        <f t="shared" ca="1" si="82"/>
        <v>1</v>
      </c>
      <c r="AO193" s="177">
        <f t="shared" ca="1" si="82"/>
        <v>1</v>
      </c>
      <c r="AP193" s="177">
        <f t="shared" ca="1" si="82"/>
        <v>1</v>
      </c>
      <c r="AQ193" s="177">
        <f t="shared" ca="1" si="82"/>
        <v>1</v>
      </c>
      <c r="AR193" s="177">
        <f t="shared" ca="1" si="82"/>
        <v>1</v>
      </c>
      <c r="AS193" s="177">
        <f t="shared" ca="1" si="82"/>
        <v>1</v>
      </c>
      <c r="AT193" s="177">
        <f t="shared" ca="1" si="82"/>
        <v>1</v>
      </c>
      <c r="AU193" s="177">
        <f t="shared" ca="1" si="82"/>
        <v>1</v>
      </c>
      <c r="AV193" s="177">
        <f t="shared" ca="1" si="82"/>
        <v>1</v>
      </c>
      <c r="AW193" s="177">
        <f t="shared" ca="1" si="82"/>
        <v>1</v>
      </c>
      <c r="AX193" s="177">
        <f t="shared" ca="1" si="82"/>
        <v>1</v>
      </c>
    </row>
    <row r="194" spans="1:50" ht="15" customHeight="1" x14ac:dyDescent="0.25">
      <c r="A194" s="106"/>
      <c r="B194" s="175"/>
      <c r="C194" s="88"/>
      <c r="D194" s="162"/>
      <c r="E194" s="56"/>
      <c r="F194" s="56"/>
      <c r="G194" s="56"/>
      <c r="H194" s="56"/>
      <c r="I194" s="89"/>
      <c r="J194" s="56"/>
      <c r="K194" s="56"/>
      <c r="L194" s="56"/>
      <c r="M194" s="56"/>
      <c r="N194" s="56"/>
      <c r="O194" s="56"/>
      <c r="P194" s="56"/>
      <c r="Q194" s="56"/>
      <c r="R194" s="56"/>
      <c r="S194" s="56"/>
      <c r="T194" s="56"/>
      <c r="U194" s="56"/>
      <c r="V194" s="56"/>
      <c r="W194" s="56"/>
      <c r="X194" s="56"/>
      <c r="Y194" s="56"/>
      <c r="Z194" s="56"/>
      <c r="AA194" s="56"/>
      <c r="AB194" s="56"/>
      <c r="AC194" s="56"/>
      <c r="AD194" s="56"/>
      <c r="AE194" s="56"/>
      <c r="AF194" s="56"/>
      <c r="AG194" s="56"/>
      <c r="AH194" s="56"/>
      <c r="AI194" s="56"/>
      <c r="AJ194" s="56"/>
      <c r="AK194" s="56"/>
      <c r="AL194" s="56"/>
      <c r="AM194" s="56"/>
      <c r="AN194" s="56"/>
      <c r="AO194" s="56"/>
      <c r="AP194" s="56"/>
      <c r="AQ194" s="56"/>
      <c r="AR194" s="56"/>
      <c r="AS194" s="56"/>
      <c r="AT194" s="56"/>
      <c r="AU194" s="56"/>
      <c r="AV194" s="56"/>
      <c r="AW194" s="56"/>
      <c r="AX194" s="56"/>
    </row>
    <row r="195" spans="1:50" ht="15" customHeight="1" x14ac:dyDescent="0.25">
      <c r="A195" s="202" t="str">
        <f>Translate!$E$677</f>
        <v>Inflation indices</v>
      </c>
      <c r="B195" s="202"/>
      <c r="C195" s="203"/>
      <c r="D195" s="204"/>
      <c r="E195" s="99"/>
      <c r="F195" s="99"/>
      <c r="G195" s="99"/>
      <c r="H195" s="99"/>
      <c r="I195" s="99"/>
      <c r="J195" s="99"/>
      <c r="K195" s="99"/>
      <c r="L195" s="99"/>
      <c r="M195" s="99"/>
      <c r="N195" s="99"/>
      <c r="O195" s="99"/>
      <c r="P195" s="99"/>
      <c r="Q195" s="99"/>
      <c r="R195" s="99"/>
      <c r="S195" s="99"/>
      <c r="T195" s="99"/>
      <c r="U195" s="99"/>
      <c r="V195" s="99"/>
      <c r="W195" s="99"/>
      <c r="X195" s="99"/>
      <c r="Y195" s="99"/>
      <c r="Z195" s="99"/>
      <c r="AA195" s="99"/>
      <c r="AB195" s="99"/>
      <c r="AC195" s="99"/>
      <c r="AD195" s="99"/>
      <c r="AE195" s="99"/>
      <c r="AF195" s="99"/>
      <c r="AG195" s="99"/>
      <c r="AH195" s="99"/>
      <c r="AI195" s="99"/>
      <c r="AJ195" s="99"/>
      <c r="AK195" s="99"/>
      <c r="AL195" s="99"/>
      <c r="AM195" s="99"/>
      <c r="AN195" s="99"/>
      <c r="AO195" s="99"/>
      <c r="AP195" s="99"/>
      <c r="AQ195" s="99"/>
      <c r="AR195" s="99"/>
      <c r="AS195" s="99"/>
      <c r="AT195" s="99"/>
      <c r="AU195" s="99"/>
      <c r="AV195" s="99"/>
      <c r="AW195" s="99"/>
      <c r="AX195" s="99"/>
    </row>
    <row r="196" spans="1:50" ht="15" customHeight="1" x14ac:dyDescent="0.25">
      <c r="A196" s="106"/>
      <c r="B196" s="109"/>
      <c r="C196" s="108"/>
      <c r="D196" s="117"/>
      <c r="E196" s="116"/>
      <c r="F196" s="109"/>
      <c r="G196" s="116"/>
      <c r="H196" s="116"/>
      <c r="I196" s="116"/>
      <c r="J196" s="116"/>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row>
    <row r="197" spans="1:50" ht="15" customHeight="1" x14ac:dyDescent="0.25">
      <c r="A197" s="106"/>
      <c r="B197" s="107" t="str">
        <f>Translate!$E$688</f>
        <v>Index for escalating revenues and costs</v>
      </c>
      <c r="C197" s="108"/>
      <c r="D197" s="117"/>
      <c r="E197" s="116"/>
      <c r="F197" s="109"/>
      <c r="G197" s="116"/>
      <c r="H197" s="116"/>
      <c r="I197" s="116"/>
      <c r="J197" s="116"/>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row>
    <row r="198" spans="1:50" ht="15" customHeight="1" x14ac:dyDescent="0.25">
      <c r="A198" s="106"/>
      <c r="B198" s="109"/>
      <c r="C198" s="108"/>
      <c r="D198" s="117"/>
      <c r="E198" s="74" t="str">
        <f xml:space="preserve"> Inputs!E$45</f>
        <v>Inflation rate</v>
      </c>
      <c r="F198" s="74">
        <f xml:space="preserve"> Inputs!F$45</f>
        <v>0.02</v>
      </c>
      <c r="G198" s="74" t="str">
        <f xml:space="preserve"> Inputs!G$45</f>
        <v>%</v>
      </c>
      <c r="H198" s="116"/>
      <c r="I198" s="116"/>
      <c r="J198" s="116"/>
      <c r="K198" s="89"/>
      <c r="L198" s="89"/>
      <c r="M198" s="89"/>
      <c r="N198" s="89"/>
      <c r="O198" s="89"/>
      <c r="P198" s="89"/>
      <c r="Q198" s="89"/>
      <c r="R198" s="89"/>
      <c r="S198" s="89"/>
      <c r="T198" s="89"/>
      <c r="U198" s="89"/>
      <c r="V198" s="89"/>
      <c r="W198" s="89"/>
      <c r="X198" s="89"/>
      <c r="Y198" s="89"/>
      <c r="Z198" s="89"/>
      <c r="AA198" s="89"/>
      <c r="AB198" s="89"/>
      <c r="AC198" s="89"/>
      <c r="AD198" s="89"/>
      <c r="AE198" s="89"/>
      <c r="AF198" s="89"/>
      <c r="AG198" s="89"/>
      <c r="AH198" s="89"/>
      <c r="AI198" s="89"/>
      <c r="AJ198" s="89"/>
      <c r="AK198" s="89"/>
      <c r="AL198" s="89"/>
      <c r="AM198" s="89"/>
      <c r="AN198" s="89"/>
      <c r="AO198" s="89"/>
      <c r="AP198" s="89"/>
      <c r="AQ198" s="89"/>
      <c r="AR198" s="89"/>
      <c r="AS198" s="89"/>
      <c r="AT198" s="89"/>
      <c r="AU198" s="89"/>
      <c r="AV198" s="89"/>
      <c r="AW198" s="89"/>
      <c r="AX198" s="89"/>
    </row>
    <row r="199" spans="1:50" ht="15" customHeight="1" x14ac:dyDescent="0.25">
      <c r="A199" s="106"/>
      <c r="B199" s="89"/>
      <c r="C199" s="88"/>
      <c r="D199" s="162"/>
      <c r="E199" s="48" t="str">
        <f t="shared" ref="E199:AX199" si="83" xml:space="preserve"> E$174</f>
        <v>Cumulative project years</v>
      </c>
      <c r="F199" s="48">
        <f t="shared" si="83"/>
        <v>0</v>
      </c>
      <c r="G199" s="48" t="str">
        <f t="shared" si="83"/>
        <v>Year</v>
      </c>
      <c r="H199" s="48">
        <f t="shared" si="83"/>
        <v>0</v>
      </c>
      <c r="I199" s="48">
        <f t="shared" si="83"/>
        <v>0</v>
      </c>
      <c r="J199" s="48">
        <f t="shared" si="83"/>
        <v>0</v>
      </c>
      <c r="K199" s="48">
        <f t="shared" ca="1" si="83"/>
        <v>1</v>
      </c>
      <c r="L199" s="48">
        <f t="shared" ca="1" si="83"/>
        <v>2</v>
      </c>
      <c r="M199" s="48">
        <f t="shared" ca="1" si="83"/>
        <v>3</v>
      </c>
      <c r="N199" s="48">
        <f t="shared" ca="1" si="83"/>
        <v>4</v>
      </c>
      <c r="O199" s="48">
        <f t="shared" ca="1" si="83"/>
        <v>5</v>
      </c>
      <c r="P199" s="48">
        <f t="shared" ca="1" si="83"/>
        <v>6</v>
      </c>
      <c r="Q199" s="48">
        <f t="shared" ca="1" si="83"/>
        <v>7</v>
      </c>
      <c r="R199" s="48">
        <f t="shared" ca="1" si="83"/>
        <v>8</v>
      </c>
      <c r="S199" s="48">
        <f t="shared" ca="1" si="83"/>
        <v>9</v>
      </c>
      <c r="T199" s="48">
        <f t="shared" ca="1" si="83"/>
        <v>10</v>
      </c>
      <c r="U199" s="48">
        <f t="shared" ca="1" si="83"/>
        <v>11</v>
      </c>
      <c r="V199" s="48">
        <f t="shared" ca="1" si="83"/>
        <v>12</v>
      </c>
      <c r="W199" s="48">
        <f t="shared" ca="1" si="83"/>
        <v>13</v>
      </c>
      <c r="X199" s="48">
        <f t="shared" ca="1" si="83"/>
        <v>14</v>
      </c>
      <c r="Y199" s="48">
        <f t="shared" ca="1" si="83"/>
        <v>15</v>
      </c>
      <c r="Z199" s="48">
        <f t="shared" ca="1" si="83"/>
        <v>16</v>
      </c>
      <c r="AA199" s="48">
        <f t="shared" ca="1" si="83"/>
        <v>17</v>
      </c>
      <c r="AB199" s="48">
        <f t="shared" ca="1" si="83"/>
        <v>18</v>
      </c>
      <c r="AC199" s="48">
        <f t="shared" ca="1" si="83"/>
        <v>19</v>
      </c>
      <c r="AD199" s="48">
        <f t="shared" ca="1" si="83"/>
        <v>20</v>
      </c>
      <c r="AE199" s="48">
        <f t="shared" ca="1" si="83"/>
        <v>21</v>
      </c>
      <c r="AF199" s="48">
        <f t="shared" ca="1" si="83"/>
        <v>22</v>
      </c>
      <c r="AG199" s="48">
        <f t="shared" ca="1" si="83"/>
        <v>23</v>
      </c>
      <c r="AH199" s="48">
        <f t="shared" ca="1" si="83"/>
        <v>24</v>
      </c>
      <c r="AI199" s="48">
        <f t="shared" ca="1" si="83"/>
        <v>25</v>
      </c>
      <c r="AJ199" s="48">
        <f t="shared" ca="1" si="83"/>
        <v>26</v>
      </c>
      <c r="AK199" s="48">
        <f t="shared" ca="1" si="83"/>
        <v>27</v>
      </c>
      <c r="AL199" s="48">
        <f t="shared" ca="1" si="83"/>
        <v>28</v>
      </c>
      <c r="AM199" s="48">
        <f t="shared" ca="1" si="83"/>
        <v>29</v>
      </c>
      <c r="AN199" s="48">
        <f t="shared" ca="1" si="83"/>
        <v>30</v>
      </c>
      <c r="AO199" s="48">
        <f t="shared" ca="1" si="83"/>
        <v>31</v>
      </c>
      <c r="AP199" s="48">
        <f t="shared" ca="1" si="83"/>
        <v>32</v>
      </c>
      <c r="AQ199" s="48">
        <f t="shared" ca="1" si="83"/>
        <v>33</v>
      </c>
      <c r="AR199" s="48">
        <f t="shared" ca="1" si="83"/>
        <v>0</v>
      </c>
      <c r="AS199" s="48">
        <f t="shared" ca="1" si="83"/>
        <v>0</v>
      </c>
      <c r="AT199" s="48">
        <f t="shared" ca="1" si="83"/>
        <v>0</v>
      </c>
      <c r="AU199" s="48">
        <f t="shared" ca="1" si="83"/>
        <v>0</v>
      </c>
      <c r="AV199" s="48">
        <f t="shared" ca="1" si="83"/>
        <v>0</v>
      </c>
      <c r="AW199" s="48">
        <f t="shared" ca="1" si="83"/>
        <v>0</v>
      </c>
      <c r="AX199" s="48">
        <f t="shared" ca="1" si="83"/>
        <v>0</v>
      </c>
    </row>
    <row r="200" spans="1:50" s="77" customFormat="1" ht="15" customHeight="1" x14ac:dyDescent="0.25">
      <c r="A200" s="191"/>
      <c r="B200" s="198"/>
      <c r="C200" s="199"/>
      <c r="D200" s="200"/>
      <c r="E200" s="195" t="str">
        <f>Translate!E667</f>
        <v>Inflation index</v>
      </c>
      <c r="F200" s="177"/>
      <c r="G200" s="195" t="str">
        <f>Translate!E407</f>
        <v>Index</v>
      </c>
      <c r="H200" s="195" t="str">
        <f>Translate!E696</f>
        <v>base year is first project year</v>
      </c>
      <c r="I200" s="201"/>
      <c r="J200" s="491"/>
      <c r="K200" s="492">
        <f t="shared" ref="K200:AX200" ca="1" si="84" xml:space="preserve"> IF( K199 &lt;= 1, 1, J200 * ( 1 + $F198))</f>
        <v>1</v>
      </c>
      <c r="L200" s="492">
        <f t="shared" ca="1" si="84"/>
        <v>1.02</v>
      </c>
      <c r="M200" s="492">
        <f t="shared" ca="1" si="84"/>
        <v>1.0404</v>
      </c>
      <c r="N200" s="492">
        <f t="shared" ca="1" si="84"/>
        <v>1.0612079999999999</v>
      </c>
      <c r="O200" s="492">
        <f t="shared" ca="1" si="84"/>
        <v>1.08243216</v>
      </c>
      <c r="P200" s="492">
        <f t="shared" ca="1" si="84"/>
        <v>1.1040808032</v>
      </c>
      <c r="Q200" s="492">
        <f t="shared" ca="1" si="84"/>
        <v>1.1261624192640001</v>
      </c>
      <c r="R200" s="492">
        <f t="shared" ca="1" si="84"/>
        <v>1.14868566764928</v>
      </c>
      <c r="S200" s="492">
        <f t="shared" ca="1" si="84"/>
        <v>1.1716593810022657</v>
      </c>
      <c r="T200" s="492">
        <f t="shared" ca="1" si="84"/>
        <v>1.1950925686223111</v>
      </c>
      <c r="U200" s="492">
        <f t="shared" ca="1" si="84"/>
        <v>1.2189944199947573</v>
      </c>
      <c r="V200" s="492">
        <f t="shared" ca="1" si="84"/>
        <v>1.2433743083946525</v>
      </c>
      <c r="W200" s="492">
        <f t="shared" ca="1" si="84"/>
        <v>1.2682417945625455</v>
      </c>
      <c r="X200" s="492">
        <f t="shared" ca="1" si="84"/>
        <v>1.2936066304537963</v>
      </c>
      <c r="Y200" s="492">
        <f t="shared" ca="1" si="84"/>
        <v>1.3194787630628724</v>
      </c>
      <c r="Z200" s="492">
        <f t="shared" ca="1" si="84"/>
        <v>1.3458683383241299</v>
      </c>
      <c r="AA200" s="492">
        <f t="shared" ca="1" si="84"/>
        <v>1.3727857050906125</v>
      </c>
      <c r="AB200" s="492">
        <f t="shared" ca="1" si="84"/>
        <v>1.4002414191924248</v>
      </c>
      <c r="AC200" s="492">
        <f t="shared" ca="1" si="84"/>
        <v>1.4282462475762734</v>
      </c>
      <c r="AD200" s="492">
        <f t="shared" ca="1" si="84"/>
        <v>1.4568111725277988</v>
      </c>
      <c r="AE200" s="492">
        <f t="shared" ca="1" si="84"/>
        <v>1.4859473959783549</v>
      </c>
      <c r="AF200" s="492">
        <f t="shared" ca="1" si="84"/>
        <v>1.5156663438979221</v>
      </c>
      <c r="AG200" s="492">
        <f t="shared" ca="1" si="84"/>
        <v>1.5459796707758806</v>
      </c>
      <c r="AH200" s="492">
        <f t="shared" ca="1" si="84"/>
        <v>1.5768992641913981</v>
      </c>
      <c r="AI200" s="492">
        <f t="shared" ca="1" si="84"/>
        <v>1.6084372494752261</v>
      </c>
      <c r="AJ200" s="492">
        <f t="shared" ca="1" si="84"/>
        <v>1.6406059944647307</v>
      </c>
      <c r="AK200" s="492">
        <f t="shared" ca="1" si="84"/>
        <v>1.6734181143540252</v>
      </c>
      <c r="AL200" s="492">
        <f t="shared" ca="1" si="84"/>
        <v>1.7068864766411058</v>
      </c>
      <c r="AM200" s="492">
        <f t="shared" ca="1" si="84"/>
        <v>1.7410242061739281</v>
      </c>
      <c r="AN200" s="492">
        <f t="shared" ca="1" si="84"/>
        <v>1.7758446902974065</v>
      </c>
      <c r="AO200" s="492">
        <f t="shared" ca="1" si="84"/>
        <v>1.8113615841033548</v>
      </c>
      <c r="AP200" s="492">
        <f t="shared" ca="1" si="84"/>
        <v>1.8475888157854219</v>
      </c>
      <c r="AQ200" s="492">
        <f t="shared" ca="1" si="84"/>
        <v>1.8845405921011305</v>
      </c>
      <c r="AR200" s="492">
        <f t="shared" ca="1" si="84"/>
        <v>1</v>
      </c>
      <c r="AS200" s="492">
        <f t="shared" ca="1" si="84"/>
        <v>1</v>
      </c>
      <c r="AT200" s="492">
        <f t="shared" ca="1" si="84"/>
        <v>1</v>
      </c>
      <c r="AU200" s="492">
        <f t="shared" ca="1" si="84"/>
        <v>1</v>
      </c>
      <c r="AV200" s="492">
        <f t="shared" ca="1" si="84"/>
        <v>1</v>
      </c>
      <c r="AW200" s="492">
        <f t="shared" ca="1" si="84"/>
        <v>1</v>
      </c>
      <c r="AX200" s="176">
        <f t="shared" ca="1" si="84"/>
        <v>1</v>
      </c>
    </row>
    <row r="201" spans="1:50" ht="15" customHeight="1" x14ac:dyDescent="0.25">
      <c r="A201" s="106"/>
      <c r="B201" s="89"/>
      <c r="C201" s="88"/>
      <c r="D201" s="162"/>
      <c r="H201" s="90"/>
      <c r="I201" s="90"/>
      <c r="J201" s="90"/>
      <c r="K201" s="89"/>
      <c r="L201" s="89"/>
      <c r="M201" s="89"/>
      <c r="N201" s="89"/>
      <c r="O201" s="89"/>
      <c r="P201" s="89"/>
      <c r="Q201" s="89"/>
      <c r="R201" s="89"/>
      <c r="S201" s="89"/>
      <c r="T201" s="89"/>
      <c r="U201" s="89"/>
      <c r="V201" s="89"/>
      <c r="W201" s="89"/>
      <c r="X201" s="89"/>
      <c r="Y201" s="89"/>
      <c r="Z201" s="89"/>
      <c r="AA201" s="89"/>
      <c r="AB201" s="89"/>
      <c r="AC201" s="89"/>
      <c r="AD201" s="89"/>
      <c r="AE201" s="89"/>
      <c r="AF201" s="89"/>
      <c r="AG201" s="89"/>
      <c r="AH201" s="89"/>
      <c r="AI201" s="89"/>
      <c r="AJ201" s="89"/>
      <c r="AK201" s="89"/>
      <c r="AL201" s="89"/>
      <c r="AM201" s="89"/>
      <c r="AN201" s="89"/>
      <c r="AO201" s="89"/>
      <c r="AP201" s="89"/>
      <c r="AQ201" s="89"/>
      <c r="AR201" s="89"/>
      <c r="AS201" s="89"/>
      <c r="AT201" s="89"/>
      <c r="AU201" s="89"/>
      <c r="AV201" s="89"/>
      <c r="AW201" s="89"/>
      <c r="AX201" s="89"/>
    </row>
    <row r="202" spans="1:50" ht="15" customHeight="1" x14ac:dyDescent="0.25">
      <c r="A202" s="106"/>
      <c r="B202" s="205" t="str">
        <f>Translate!$E$689</f>
        <v>Discount factors (assumes discounting to middle of the year, assuming cashflows received on average in middle of the year)</v>
      </c>
      <c r="C202" s="88"/>
      <c r="D202" s="162"/>
      <c r="E202" s="52"/>
      <c r="F202" s="56"/>
      <c r="G202" s="52"/>
      <c r="H202" s="52"/>
      <c r="I202" s="89"/>
      <c r="J202" s="52"/>
      <c r="K202" s="208"/>
      <c r="L202" s="208"/>
      <c r="M202" s="208"/>
      <c r="N202" s="208"/>
      <c r="O202" s="208"/>
      <c r="P202" s="208"/>
      <c r="Q202" s="208"/>
      <c r="R202" s="208"/>
      <c r="S202" s="208"/>
      <c r="T202" s="208"/>
      <c r="U202" s="208"/>
      <c r="V202" s="208"/>
      <c r="W202" s="208"/>
      <c r="X202" s="208"/>
      <c r="Y202" s="208"/>
      <c r="Z202" s="208"/>
      <c r="AA202" s="208"/>
      <c r="AB202" s="208"/>
      <c r="AC202" s="208"/>
      <c r="AD202" s="208"/>
      <c r="AE202" s="208"/>
      <c r="AF202" s="208"/>
      <c r="AG202" s="208"/>
      <c r="AH202" s="208"/>
      <c r="AI202" s="208"/>
      <c r="AJ202" s="208"/>
      <c r="AK202" s="208"/>
      <c r="AL202" s="208"/>
      <c r="AM202" s="208"/>
      <c r="AN202" s="208"/>
      <c r="AO202" s="208"/>
      <c r="AP202" s="208"/>
      <c r="AQ202" s="208"/>
      <c r="AR202" s="208"/>
      <c r="AS202" s="208"/>
      <c r="AT202" s="208"/>
      <c r="AU202" s="208"/>
      <c r="AV202" s="208"/>
      <c r="AW202" s="208"/>
      <c r="AX202" s="208"/>
    </row>
    <row r="203" spans="1:50" ht="15" customHeight="1" x14ac:dyDescent="0.25">
      <c r="A203" s="106"/>
      <c r="B203" s="175"/>
      <c r="C203" s="88"/>
      <c r="D203" s="162"/>
      <c r="E203" s="141" t="str">
        <f xml:space="preserve"> Inputs!E$58</f>
        <v>Discount rate</v>
      </c>
      <c r="F203" s="141">
        <f xml:space="preserve"> Inputs!F$58</f>
        <v>0.08</v>
      </c>
      <c r="G203" s="141" t="str">
        <f xml:space="preserve"> Inputs!G$58</f>
        <v>% real</v>
      </c>
      <c r="H203" s="52"/>
      <c r="I203" s="89"/>
      <c r="J203" s="52"/>
      <c r="K203" s="208"/>
      <c r="L203" s="208"/>
      <c r="M203" s="208"/>
      <c r="N203" s="208"/>
      <c r="O203" s="208"/>
      <c r="P203" s="208"/>
      <c r="Q203" s="208"/>
      <c r="R203" s="208"/>
      <c r="S203" s="208"/>
      <c r="T203" s="208"/>
      <c r="U203" s="208"/>
      <c r="V203" s="208"/>
      <c r="W203" s="208"/>
      <c r="X203" s="208"/>
      <c r="Y203" s="208"/>
      <c r="Z203" s="208"/>
      <c r="AA203" s="208"/>
      <c r="AB203" s="208"/>
      <c r="AC203" s="208"/>
      <c r="AD203" s="208"/>
      <c r="AE203" s="208"/>
      <c r="AF203" s="208"/>
      <c r="AG203" s="208"/>
      <c r="AH203" s="208"/>
      <c r="AI203" s="208"/>
      <c r="AJ203" s="208"/>
      <c r="AK203" s="208"/>
      <c r="AL203" s="208"/>
      <c r="AM203" s="208"/>
      <c r="AN203" s="208"/>
      <c r="AO203" s="208"/>
      <c r="AP203" s="208"/>
      <c r="AQ203" s="208"/>
      <c r="AR203" s="208"/>
      <c r="AS203" s="208"/>
      <c r="AT203" s="208"/>
      <c r="AU203" s="208"/>
      <c r="AV203" s="208"/>
      <c r="AW203" s="208"/>
      <c r="AX203" s="208"/>
    </row>
    <row r="204" spans="1:50" ht="15" customHeight="1" x14ac:dyDescent="0.25">
      <c r="A204" s="191"/>
      <c r="B204" s="198"/>
      <c r="C204" s="199"/>
      <c r="D204" s="200"/>
      <c r="E204" s="141" t="str">
        <f xml:space="preserve"> Inputs!E$63</f>
        <v>Short NPV label</v>
      </c>
      <c r="F204" s="445" t="str">
        <f xml:space="preserve"> Inputs!F$63</f>
        <v>NPV8</v>
      </c>
      <c r="G204" s="141" t="str">
        <f xml:space="preserve"> Inputs!G$63</f>
        <v>Label</v>
      </c>
      <c r="H204" s="195"/>
      <c r="I204" s="201"/>
      <c r="J204" s="195"/>
      <c r="K204" s="209"/>
      <c r="L204" s="209"/>
      <c r="M204" s="209"/>
      <c r="N204" s="209"/>
      <c r="O204" s="209"/>
      <c r="P204" s="209"/>
      <c r="Q204" s="209"/>
      <c r="R204" s="209"/>
      <c r="S204" s="209"/>
      <c r="T204" s="209"/>
      <c r="U204" s="209"/>
      <c r="V204" s="209"/>
      <c r="W204" s="209"/>
      <c r="X204" s="209"/>
      <c r="Y204" s="209"/>
      <c r="Z204" s="209"/>
      <c r="AA204" s="209"/>
      <c r="AB204" s="209"/>
      <c r="AC204" s="209"/>
      <c r="AD204" s="209"/>
      <c r="AE204" s="209"/>
      <c r="AF204" s="209"/>
      <c r="AG204" s="209"/>
      <c r="AH204" s="209"/>
      <c r="AI204" s="209"/>
      <c r="AJ204" s="209"/>
      <c r="AK204" s="209"/>
      <c r="AL204" s="209"/>
      <c r="AM204" s="209"/>
      <c r="AN204" s="209"/>
      <c r="AO204" s="209"/>
      <c r="AP204" s="209"/>
      <c r="AQ204" s="209"/>
      <c r="AR204" s="209"/>
      <c r="AS204" s="209"/>
      <c r="AT204" s="209"/>
      <c r="AU204" s="209"/>
      <c r="AV204" s="209"/>
      <c r="AW204" s="209"/>
      <c r="AX204" s="209"/>
    </row>
    <row r="205" spans="1:50" ht="15" customHeight="1" x14ac:dyDescent="0.25">
      <c r="A205" s="191"/>
      <c r="B205" s="198"/>
      <c r="C205" s="199"/>
      <c r="D205" s="200"/>
      <c r="E205" s="141"/>
      <c r="F205" s="445"/>
      <c r="G205" s="141"/>
      <c r="H205" s="195"/>
      <c r="I205" s="201"/>
      <c r="J205" s="195"/>
      <c r="K205" s="209"/>
      <c r="L205" s="209"/>
      <c r="M205" s="209"/>
      <c r="N205" s="209"/>
      <c r="O205" s="209"/>
      <c r="P205" s="209"/>
      <c r="Q205" s="209"/>
      <c r="R205" s="209"/>
      <c r="S205" s="209"/>
      <c r="T205" s="209"/>
      <c r="U205" s="209"/>
      <c r="V205" s="209"/>
      <c r="W205" s="209"/>
      <c r="X205" s="209"/>
      <c r="Y205" s="209"/>
      <c r="Z205" s="209"/>
      <c r="AA205" s="209"/>
      <c r="AB205" s="209"/>
      <c r="AC205" s="209"/>
      <c r="AD205" s="209"/>
      <c r="AE205" s="209"/>
      <c r="AF205" s="209"/>
      <c r="AG205" s="209"/>
      <c r="AH205" s="209"/>
      <c r="AI205" s="209"/>
      <c r="AJ205" s="209"/>
      <c r="AK205" s="209"/>
      <c r="AL205" s="209"/>
      <c r="AM205" s="209"/>
      <c r="AN205" s="209"/>
      <c r="AO205" s="209"/>
      <c r="AP205" s="209"/>
      <c r="AQ205" s="209"/>
      <c r="AR205" s="209"/>
      <c r="AS205" s="209"/>
      <c r="AT205" s="209"/>
      <c r="AU205" s="209"/>
      <c r="AV205" s="209"/>
      <c r="AW205" s="209"/>
      <c r="AX205" s="209"/>
    </row>
    <row r="206" spans="1:50" ht="15" customHeight="1" x14ac:dyDescent="0.25">
      <c r="A206" s="85"/>
      <c r="B206" s="212"/>
      <c r="C206" s="84" t="str">
        <f xml:space="preserve"> Translate!E$771 &amp; ": " &amp; Inputs!F$89 &amp; ", " &amp; F$204</f>
        <v>Discount factor: full-cycle, NPV8</v>
      </c>
      <c r="D206" s="213"/>
      <c r="E206" s="73"/>
      <c r="F206" s="190"/>
      <c r="G206" s="73"/>
      <c r="H206" s="73"/>
      <c r="I206" s="85"/>
      <c r="J206" s="73"/>
      <c r="K206" s="214"/>
      <c r="L206" s="214"/>
      <c r="M206" s="214"/>
      <c r="N206" s="214"/>
      <c r="O206" s="214"/>
      <c r="P206" s="214"/>
      <c r="Q206" s="214"/>
      <c r="R206" s="214"/>
      <c r="S206" s="214"/>
      <c r="T206" s="214"/>
      <c r="U206" s="214"/>
      <c r="V206" s="214"/>
      <c r="W206" s="214"/>
      <c r="X206" s="214"/>
      <c r="Y206" s="214"/>
      <c r="Z206" s="214"/>
      <c r="AA206" s="214"/>
      <c r="AB206" s="214"/>
      <c r="AC206" s="214"/>
      <c r="AD206" s="214"/>
      <c r="AE206" s="214"/>
      <c r="AF206" s="214"/>
      <c r="AG206" s="214"/>
      <c r="AH206" s="214"/>
      <c r="AI206" s="214"/>
      <c r="AJ206" s="214"/>
      <c r="AK206" s="214"/>
      <c r="AL206" s="214"/>
      <c r="AM206" s="214"/>
      <c r="AN206" s="214"/>
      <c r="AO206" s="214"/>
      <c r="AP206" s="214"/>
      <c r="AQ206" s="214"/>
      <c r="AR206" s="214"/>
      <c r="AS206" s="214"/>
      <c r="AT206" s="214"/>
      <c r="AU206" s="214"/>
      <c r="AV206" s="214"/>
      <c r="AW206" s="214"/>
      <c r="AX206" s="214"/>
    </row>
    <row r="207" spans="1:50" ht="15" customHeight="1" x14ac:dyDescent="0.25">
      <c r="A207" s="106"/>
      <c r="B207" s="175"/>
      <c r="C207" s="88"/>
      <c r="D207" s="162"/>
      <c r="E207" s="109" t="str">
        <f t="shared" ref="E207:AX207" si="85" xml:space="preserve"> E$174</f>
        <v>Cumulative project years</v>
      </c>
      <c r="F207" s="109">
        <f t="shared" si="85"/>
        <v>0</v>
      </c>
      <c r="G207" s="109" t="str">
        <f t="shared" si="85"/>
        <v>Year</v>
      </c>
      <c r="H207" s="109">
        <f t="shared" si="85"/>
        <v>0</v>
      </c>
      <c r="I207" s="109">
        <f t="shared" si="85"/>
        <v>0</v>
      </c>
      <c r="J207" s="109">
        <f t="shared" si="85"/>
        <v>0</v>
      </c>
      <c r="K207" s="109">
        <f t="shared" ca="1" si="85"/>
        <v>1</v>
      </c>
      <c r="L207" s="109">
        <f t="shared" ca="1" si="85"/>
        <v>2</v>
      </c>
      <c r="M207" s="109">
        <f t="shared" ca="1" si="85"/>
        <v>3</v>
      </c>
      <c r="N207" s="109">
        <f t="shared" ca="1" si="85"/>
        <v>4</v>
      </c>
      <c r="O207" s="109">
        <f t="shared" ca="1" si="85"/>
        <v>5</v>
      </c>
      <c r="P207" s="109">
        <f t="shared" ca="1" si="85"/>
        <v>6</v>
      </c>
      <c r="Q207" s="109">
        <f t="shared" ca="1" si="85"/>
        <v>7</v>
      </c>
      <c r="R207" s="109">
        <f t="shared" ca="1" si="85"/>
        <v>8</v>
      </c>
      <c r="S207" s="109">
        <f t="shared" ca="1" si="85"/>
        <v>9</v>
      </c>
      <c r="T207" s="109">
        <f t="shared" ca="1" si="85"/>
        <v>10</v>
      </c>
      <c r="U207" s="109">
        <f t="shared" ca="1" si="85"/>
        <v>11</v>
      </c>
      <c r="V207" s="109">
        <f t="shared" ca="1" si="85"/>
        <v>12</v>
      </c>
      <c r="W207" s="109">
        <f t="shared" ca="1" si="85"/>
        <v>13</v>
      </c>
      <c r="X207" s="109">
        <f t="shared" ca="1" si="85"/>
        <v>14</v>
      </c>
      <c r="Y207" s="109">
        <f t="shared" ca="1" si="85"/>
        <v>15</v>
      </c>
      <c r="Z207" s="109">
        <f t="shared" ca="1" si="85"/>
        <v>16</v>
      </c>
      <c r="AA207" s="109">
        <f t="shared" ca="1" si="85"/>
        <v>17</v>
      </c>
      <c r="AB207" s="109">
        <f t="shared" ca="1" si="85"/>
        <v>18</v>
      </c>
      <c r="AC207" s="109">
        <f t="shared" ca="1" si="85"/>
        <v>19</v>
      </c>
      <c r="AD207" s="109">
        <f t="shared" ca="1" si="85"/>
        <v>20</v>
      </c>
      <c r="AE207" s="109">
        <f t="shared" ca="1" si="85"/>
        <v>21</v>
      </c>
      <c r="AF207" s="109">
        <f t="shared" ca="1" si="85"/>
        <v>22</v>
      </c>
      <c r="AG207" s="109">
        <f t="shared" ca="1" si="85"/>
        <v>23</v>
      </c>
      <c r="AH207" s="109">
        <f t="shared" ca="1" si="85"/>
        <v>24</v>
      </c>
      <c r="AI207" s="109">
        <f t="shared" ca="1" si="85"/>
        <v>25</v>
      </c>
      <c r="AJ207" s="109">
        <f t="shared" ca="1" si="85"/>
        <v>26</v>
      </c>
      <c r="AK207" s="109">
        <f t="shared" ca="1" si="85"/>
        <v>27</v>
      </c>
      <c r="AL207" s="109">
        <f t="shared" ca="1" si="85"/>
        <v>28</v>
      </c>
      <c r="AM207" s="109">
        <f t="shared" ca="1" si="85"/>
        <v>29</v>
      </c>
      <c r="AN207" s="109">
        <f t="shared" ca="1" si="85"/>
        <v>30</v>
      </c>
      <c r="AO207" s="109">
        <f t="shared" ca="1" si="85"/>
        <v>31</v>
      </c>
      <c r="AP207" s="109">
        <f t="shared" ca="1" si="85"/>
        <v>32</v>
      </c>
      <c r="AQ207" s="109">
        <f t="shared" ca="1" si="85"/>
        <v>33</v>
      </c>
      <c r="AR207" s="109">
        <f t="shared" ca="1" si="85"/>
        <v>0</v>
      </c>
      <c r="AS207" s="109">
        <f t="shared" ca="1" si="85"/>
        <v>0</v>
      </c>
      <c r="AT207" s="109">
        <f t="shared" ca="1" si="85"/>
        <v>0</v>
      </c>
      <c r="AU207" s="109">
        <f t="shared" ca="1" si="85"/>
        <v>0</v>
      </c>
      <c r="AV207" s="109">
        <f t="shared" ca="1" si="85"/>
        <v>0</v>
      </c>
      <c r="AW207" s="109">
        <f t="shared" ca="1" si="85"/>
        <v>0</v>
      </c>
      <c r="AX207" s="109">
        <f t="shared" ca="1" si="85"/>
        <v>0</v>
      </c>
    </row>
    <row r="208" spans="1:50" s="723" customFormat="1" ht="15" customHeight="1" x14ac:dyDescent="0.25">
      <c r="A208" s="731"/>
      <c r="B208" s="728"/>
      <c r="C208" s="729"/>
      <c r="D208" s="728"/>
      <c r="E208" s="731" t="str">
        <f xml:space="preserve"> Translate!E$771 &amp; ": " &amp; Inputs!F$89 &amp; ", " &amp; F$204</f>
        <v>Discount factor: full-cycle, NPV8</v>
      </c>
      <c r="F208" s="731"/>
      <c r="G208" s="731" t="str">
        <f xml:space="preserve"> Translate!E$110</f>
        <v>factor</v>
      </c>
      <c r="H208" s="731"/>
      <c r="I208" s="731"/>
      <c r="J208" s="731"/>
      <c r="K208" s="731">
        <f t="shared" ref="K208:AX208" ca="1" si="86" xml:space="preserve"> IF( K207 = 0, 0,  1 / ( 1 + $F203) ^ (K207 - 1)  )</f>
        <v>1</v>
      </c>
      <c r="L208" s="731">
        <f t="shared" ca="1" si="86"/>
        <v>0.92592592592592582</v>
      </c>
      <c r="M208" s="731">
        <f t="shared" ca="1" si="86"/>
        <v>0.85733882030178321</v>
      </c>
      <c r="N208" s="731">
        <f t="shared" ca="1" si="86"/>
        <v>0.79383224102016958</v>
      </c>
      <c r="O208" s="731">
        <f t="shared" ca="1" si="86"/>
        <v>0.73502985279645328</v>
      </c>
      <c r="P208" s="731">
        <f t="shared" ca="1" si="86"/>
        <v>0.68058319703375303</v>
      </c>
      <c r="Q208" s="731">
        <f t="shared" ca="1" si="86"/>
        <v>0.63016962688310452</v>
      </c>
      <c r="R208" s="731">
        <f t="shared" ca="1" si="86"/>
        <v>0.58349039526213387</v>
      </c>
      <c r="S208" s="731">
        <f t="shared" ca="1" si="86"/>
        <v>0.54026888450197574</v>
      </c>
      <c r="T208" s="731">
        <f t="shared" ca="1" si="86"/>
        <v>0.50024896713145905</v>
      </c>
      <c r="U208" s="731">
        <f t="shared" ca="1" si="86"/>
        <v>0.46319348808468425</v>
      </c>
      <c r="V208" s="731">
        <f t="shared" ca="1" si="86"/>
        <v>0.42888285933767062</v>
      </c>
      <c r="W208" s="731">
        <f t="shared" ca="1" si="86"/>
        <v>0.39711375864599124</v>
      </c>
      <c r="X208" s="731">
        <f t="shared" ca="1" si="86"/>
        <v>0.36769792467221413</v>
      </c>
      <c r="Y208" s="731">
        <f t="shared" ca="1" si="86"/>
        <v>0.34046104136316119</v>
      </c>
      <c r="Z208" s="731">
        <f t="shared" ca="1" si="86"/>
        <v>0.31524170496588994</v>
      </c>
      <c r="AA208" s="731">
        <f t="shared" ca="1" si="86"/>
        <v>0.29189046756100923</v>
      </c>
      <c r="AB208" s="731">
        <f t="shared" ca="1" si="86"/>
        <v>0.27026895144537894</v>
      </c>
      <c r="AC208" s="731">
        <f t="shared" ca="1" si="86"/>
        <v>0.25024902911609154</v>
      </c>
      <c r="AD208" s="731">
        <f t="shared" ca="1" si="86"/>
        <v>0.23171206399638106</v>
      </c>
      <c r="AE208" s="731">
        <f t="shared" ca="1" si="86"/>
        <v>0.21454820740405653</v>
      </c>
      <c r="AF208" s="731">
        <f t="shared" ca="1" si="86"/>
        <v>0.19865574759634863</v>
      </c>
      <c r="AG208" s="731">
        <f t="shared" ca="1" si="86"/>
        <v>0.18394050703365611</v>
      </c>
      <c r="AH208" s="731">
        <f t="shared" ca="1" si="86"/>
        <v>0.17031528429042234</v>
      </c>
      <c r="AI208" s="731">
        <f t="shared" ca="1" si="86"/>
        <v>0.1576993373059466</v>
      </c>
      <c r="AJ208" s="731">
        <f t="shared" ca="1" si="86"/>
        <v>0.1460179049129135</v>
      </c>
      <c r="AK208" s="731">
        <f t="shared" ca="1" si="86"/>
        <v>0.13520176380825324</v>
      </c>
      <c r="AL208" s="731">
        <f t="shared" ca="1" si="86"/>
        <v>0.12518681834097523</v>
      </c>
      <c r="AM208" s="731">
        <f t="shared" ca="1" si="86"/>
        <v>0.11591372068608817</v>
      </c>
      <c r="AN208" s="731">
        <f t="shared" ca="1" si="86"/>
        <v>0.10732751915378534</v>
      </c>
      <c r="AO208" s="731">
        <f t="shared" ca="1" si="86"/>
        <v>9.9377332549801231E-2</v>
      </c>
      <c r="AP208" s="731">
        <f t="shared" ca="1" si="86"/>
        <v>9.2016048657223348E-2</v>
      </c>
      <c r="AQ208" s="731">
        <f t="shared" ca="1" si="86"/>
        <v>8.5200045052984577E-2</v>
      </c>
      <c r="AR208" s="731">
        <f t="shared" ca="1" si="86"/>
        <v>0</v>
      </c>
      <c r="AS208" s="731">
        <f t="shared" ca="1" si="86"/>
        <v>0</v>
      </c>
      <c r="AT208" s="731">
        <f t="shared" ca="1" si="86"/>
        <v>0</v>
      </c>
      <c r="AU208" s="731">
        <f t="shared" ca="1" si="86"/>
        <v>0</v>
      </c>
      <c r="AV208" s="731">
        <f t="shared" ca="1" si="86"/>
        <v>0</v>
      </c>
      <c r="AW208" s="731">
        <f t="shared" ca="1" si="86"/>
        <v>0</v>
      </c>
      <c r="AX208" s="731">
        <f t="shared" ca="1" si="86"/>
        <v>0</v>
      </c>
    </row>
    <row r="209" spans="1:50" ht="15" customHeight="1" x14ac:dyDescent="0.25">
      <c r="A209" s="106"/>
      <c r="B209" s="175"/>
      <c r="C209" s="88"/>
      <c r="D209" s="162"/>
      <c r="E209" s="135"/>
      <c r="F209" s="210"/>
      <c r="G209" s="135"/>
      <c r="H209" s="52"/>
      <c r="I209" s="89"/>
      <c r="J209" s="52"/>
      <c r="K209" s="208"/>
      <c r="L209" s="208"/>
      <c r="M209" s="208"/>
      <c r="N209" s="208"/>
      <c r="O209" s="208"/>
      <c r="P209" s="208"/>
      <c r="Q209" s="208"/>
      <c r="R209" s="208"/>
      <c r="S209" s="208"/>
      <c r="T209" s="208"/>
      <c r="U209" s="208"/>
      <c r="V209" s="208"/>
      <c r="W209" s="208"/>
      <c r="X209" s="208"/>
      <c r="Y209" s="208"/>
      <c r="Z209" s="208"/>
      <c r="AA209" s="208"/>
      <c r="AB209" s="208"/>
      <c r="AC209" s="208"/>
      <c r="AD209" s="208"/>
      <c r="AE209" s="208"/>
      <c r="AF209" s="208"/>
      <c r="AG209" s="208"/>
      <c r="AH209" s="208"/>
      <c r="AI209" s="208"/>
      <c r="AJ209" s="208"/>
      <c r="AK209" s="208"/>
      <c r="AL209" s="208"/>
      <c r="AM209" s="208"/>
      <c r="AN209" s="208"/>
      <c r="AO209" s="208"/>
      <c r="AP209" s="208"/>
      <c r="AQ209" s="208"/>
      <c r="AR209" s="208"/>
      <c r="AS209" s="208"/>
      <c r="AT209" s="208"/>
      <c r="AU209" s="208"/>
      <c r="AV209" s="208"/>
      <c r="AW209" s="208"/>
      <c r="AX209" s="208"/>
    </row>
    <row r="210" spans="1:50" ht="15" customHeight="1" x14ac:dyDescent="0.25">
      <c r="A210" s="106"/>
      <c r="B210" s="175"/>
      <c r="C210" s="84" t="str">
        <f xml:space="preserve"> Translate!E$771 &amp; ": " &amp; Inputs!F$90 &amp; ", " &amp; F$204</f>
        <v>Discount factor: FID forward, NPV8</v>
      </c>
      <c r="D210" s="162"/>
      <c r="E210" s="135"/>
      <c r="F210" s="210"/>
      <c r="G210" s="135"/>
      <c r="H210" s="52"/>
      <c r="I210" s="89"/>
      <c r="J210" s="52"/>
      <c r="K210" s="208"/>
      <c r="L210" s="208"/>
      <c r="M210" s="208"/>
      <c r="N210" s="208"/>
      <c r="O210" s="208"/>
      <c r="P210" s="208"/>
      <c r="Q210" s="208"/>
      <c r="R210" s="208"/>
      <c r="S210" s="208"/>
      <c r="T210" s="208"/>
      <c r="U210" s="208"/>
      <c r="V210" s="208"/>
      <c r="W210" s="208"/>
      <c r="X210" s="208"/>
      <c r="Y210" s="208"/>
      <c r="Z210" s="208"/>
      <c r="AA210" s="208"/>
      <c r="AB210" s="208"/>
      <c r="AC210" s="208"/>
      <c r="AD210" s="208"/>
      <c r="AE210" s="208"/>
      <c r="AF210" s="208"/>
      <c r="AG210" s="208"/>
      <c r="AH210" s="208"/>
      <c r="AI210" s="208"/>
      <c r="AJ210" s="208"/>
      <c r="AK210" s="208"/>
      <c r="AL210" s="208"/>
      <c r="AM210" s="208"/>
      <c r="AN210" s="208"/>
      <c r="AO210" s="208"/>
      <c r="AP210" s="208"/>
      <c r="AQ210" s="208"/>
      <c r="AR210" s="208"/>
      <c r="AS210" s="208"/>
      <c r="AT210" s="208"/>
      <c r="AU210" s="208"/>
      <c r="AV210" s="208"/>
      <c r="AW210" s="208"/>
      <c r="AX210" s="208"/>
    </row>
    <row r="211" spans="1:50" ht="15" customHeight="1" x14ac:dyDescent="0.25">
      <c r="A211" s="106"/>
      <c r="B211" s="175"/>
      <c r="C211" s="88"/>
      <c r="D211" s="162"/>
      <c r="E211" s="89" t="str">
        <f t="shared" ref="E211:AX211" si="87" xml:space="preserve"> E$192</f>
        <v>Cumulative years from start of development</v>
      </c>
      <c r="F211" s="89">
        <f t="shared" si="87"/>
        <v>0</v>
      </c>
      <c r="G211" s="89" t="str">
        <f t="shared" si="87"/>
        <v>Year</v>
      </c>
      <c r="H211" s="89">
        <f t="shared" si="87"/>
        <v>0</v>
      </c>
      <c r="I211" s="89">
        <f t="shared" si="87"/>
        <v>0</v>
      </c>
      <c r="J211" s="89">
        <f t="shared" si="87"/>
        <v>0</v>
      </c>
      <c r="K211" s="89">
        <f t="shared" ca="1" si="87"/>
        <v>0</v>
      </c>
      <c r="L211" s="89">
        <f t="shared" ca="1" si="87"/>
        <v>1</v>
      </c>
      <c r="M211" s="89">
        <f t="shared" ca="1" si="87"/>
        <v>2</v>
      </c>
      <c r="N211" s="89">
        <f t="shared" ca="1" si="87"/>
        <v>3</v>
      </c>
      <c r="O211" s="89">
        <f t="shared" ca="1" si="87"/>
        <v>4</v>
      </c>
      <c r="P211" s="89">
        <f t="shared" ca="1" si="87"/>
        <v>5</v>
      </c>
      <c r="Q211" s="89">
        <f t="shared" ca="1" si="87"/>
        <v>6</v>
      </c>
      <c r="R211" s="89">
        <f t="shared" ca="1" si="87"/>
        <v>7</v>
      </c>
      <c r="S211" s="89">
        <f t="shared" ca="1" si="87"/>
        <v>8</v>
      </c>
      <c r="T211" s="89">
        <f t="shared" ca="1" si="87"/>
        <v>9</v>
      </c>
      <c r="U211" s="89">
        <f t="shared" ca="1" si="87"/>
        <v>10</v>
      </c>
      <c r="V211" s="89">
        <f t="shared" ca="1" si="87"/>
        <v>11</v>
      </c>
      <c r="W211" s="89">
        <f t="shared" ca="1" si="87"/>
        <v>12</v>
      </c>
      <c r="X211" s="89">
        <f t="shared" ca="1" si="87"/>
        <v>13</v>
      </c>
      <c r="Y211" s="89">
        <f t="shared" ca="1" si="87"/>
        <v>14</v>
      </c>
      <c r="Z211" s="89">
        <f t="shared" ca="1" si="87"/>
        <v>15</v>
      </c>
      <c r="AA211" s="89">
        <f t="shared" ca="1" si="87"/>
        <v>16</v>
      </c>
      <c r="AB211" s="89">
        <f t="shared" ca="1" si="87"/>
        <v>17</v>
      </c>
      <c r="AC211" s="89">
        <f t="shared" ca="1" si="87"/>
        <v>18</v>
      </c>
      <c r="AD211" s="89">
        <f t="shared" ca="1" si="87"/>
        <v>19</v>
      </c>
      <c r="AE211" s="89">
        <f t="shared" ca="1" si="87"/>
        <v>20</v>
      </c>
      <c r="AF211" s="89">
        <f t="shared" ca="1" si="87"/>
        <v>21</v>
      </c>
      <c r="AG211" s="89">
        <f t="shared" ca="1" si="87"/>
        <v>22</v>
      </c>
      <c r="AH211" s="89">
        <f t="shared" ca="1" si="87"/>
        <v>23</v>
      </c>
      <c r="AI211" s="89">
        <f t="shared" ca="1" si="87"/>
        <v>24</v>
      </c>
      <c r="AJ211" s="89">
        <f t="shared" ca="1" si="87"/>
        <v>25</v>
      </c>
      <c r="AK211" s="89">
        <f t="shared" ca="1" si="87"/>
        <v>26</v>
      </c>
      <c r="AL211" s="89">
        <f t="shared" ca="1" si="87"/>
        <v>27</v>
      </c>
      <c r="AM211" s="89">
        <f t="shared" ca="1" si="87"/>
        <v>28</v>
      </c>
      <c r="AN211" s="89">
        <f t="shared" ca="1" si="87"/>
        <v>29</v>
      </c>
      <c r="AO211" s="89">
        <f t="shared" ca="1" si="87"/>
        <v>30</v>
      </c>
      <c r="AP211" s="89">
        <f t="shared" ca="1" si="87"/>
        <v>31</v>
      </c>
      <c r="AQ211" s="89">
        <f t="shared" ca="1" si="87"/>
        <v>32</v>
      </c>
      <c r="AR211" s="89">
        <f t="shared" ca="1" si="87"/>
        <v>0</v>
      </c>
      <c r="AS211" s="89">
        <f t="shared" ca="1" si="87"/>
        <v>0</v>
      </c>
      <c r="AT211" s="89">
        <f t="shared" ca="1" si="87"/>
        <v>0</v>
      </c>
      <c r="AU211" s="89">
        <f t="shared" ca="1" si="87"/>
        <v>0</v>
      </c>
      <c r="AV211" s="89">
        <f t="shared" ca="1" si="87"/>
        <v>0</v>
      </c>
      <c r="AW211" s="89">
        <f t="shared" ca="1" si="87"/>
        <v>0</v>
      </c>
      <c r="AX211" s="89">
        <f t="shared" ca="1" si="87"/>
        <v>0</v>
      </c>
    </row>
    <row r="212" spans="1:50" s="723" customFormat="1" ht="15" customHeight="1" x14ac:dyDescent="0.25">
      <c r="A212" s="731"/>
      <c r="B212" s="728"/>
      <c r="C212" s="729"/>
      <c r="D212" s="728"/>
      <c r="E212" s="731" t="str">
        <f xml:space="preserve"> Translate!E$771 &amp; ": " &amp; Inputs!F$90 &amp; ", " &amp; F$204</f>
        <v>Discount factor: FID forward, NPV8</v>
      </c>
      <c r="F212" s="731"/>
      <c r="G212" s="731" t="str">
        <f xml:space="preserve"> Translate!E$110</f>
        <v>factor</v>
      </c>
      <c r="H212" s="731"/>
      <c r="I212" s="731"/>
      <c r="J212" s="731"/>
      <c r="K212" s="731">
        <f t="shared" ref="K212:AX212" ca="1" si="88" xml:space="preserve"> IF( K211 = 0, 0,  1 / ( 1 + $F203) ^ (K211 - 1)  )</f>
        <v>0</v>
      </c>
      <c r="L212" s="731">
        <f t="shared" ca="1" si="88"/>
        <v>1</v>
      </c>
      <c r="M212" s="731">
        <f t="shared" ca="1" si="88"/>
        <v>0.92592592592592582</v>
      </c>
      <c r="N212" s="731">
        <f t="shared" ca="1" si="88"/>
        <v>0.85733882030178321</v>
      </c>
      <c r="O212" s="731">
        <f t="shared" ca="1" si="88"/>
        <v>0.79383224102016958</v>
      </c>
      <c r="P212" s="731">
        <f t="shared" ca="1" si="88"/>
        <v>0.73502985279645328</v>
      </c>
      <c r="Q212" s="731">
        <f t="shared" ca="1" si="88"/>
        <v>0.68058319703375303</v>
      </c>
      <c r="R212" s="731">
        <f t="shared" ca="1" si="88"/>
        <v>0.63016962688310452</v>
      </c>
      <c r="S212" s="731">
        <f t="shared" ca="1" si="88"/>
        <v>0.58349039526213387</v>
      </c>
      <c r="T212" s="731">
        <f t="shared" ca="1" si="88"/>
        <v>0.54026888450197574</v>
      </c>
      <c r="U212" s="731">
        <f t="shared" ca="1" si="88"/>
        <v>0.50024896713145905</v>
      </c>
      <c r="V212" s="731">
        <f t="shared" ca="1" si="88"/>
        <v>0.46319348808468425</v>
      </c>
      <c r="W212" s="731">
        <f t="shared" ca="1" si="88"/>
        <v>0.42888285933767062</v>
      </c>
      <c r="X212" s="731">
        <f t="shared" ca="1" si="88"/>
        <v>0.39711375864599124</v>
      </c>
      <c r="Y212" s="731">
        <f t="shared" ca="1" si="88"/>
        <v>0.36769792467221413</v>
      </c>
      <c r="Z212" s="731">
        <f t="shared" ca="1" si="88"/>
        <v>0.34046104136316119</v>
      </c>
      <c r="AA212" s="731">
        <f t="shared" ca="1" si="88"/>
        <v>0.31524170496588994</v>
      </c>
      <c r="AB212" s="731">
        <f t="shared" ca="1" si="88"/>
        <v>0.29189046756100923</v>
      </c>
      <c r="AC212" s="731">
        <f t="shared" ca="1" si="88"/>
        <v>0.27026895144537894</v>
      </c>
      <c r="AD212" s="731">
        <f t="shared" ca="1" si="88"/>
        <v>0.25024902911609154</v>
      </c>
      <c r="AE212" s="731">
        <f t="shared" ca="1" si="88"/>
        <v>0.23171206399638106</v>
      </c>
      <c r="AF212" s="731">
        <f t="shared" ca="1" si="88"/>
        <v>0.21454820740405653</v>
      </c>
      <c r="AG212" s="731">
        <f t="shared" ca="1" si="88"/>
        <v>0.19865574759634863</v>
      </c>
      <c r="AH212" s="731">
        <f t="shared" ca="1" si="88"/>
        <v>0.18394050703365611</v>
      </c>
      <c r="AI212" s="731">
        <f t="shared" ca="1" si="88"/>
        <v>0.17031528429042234</v>
      </c>
      <c r="AJ212" s="731">
        <f t="shared" ca="1" si="88"/>
        <v>0.1576993373059466</v>
      </c>
      <c r="AK212" s="731">
        <f t="shared" ca="1" si="88"/>
        <v>0.1460179049129135</v>
      </c>
      <c r="AL212" s="731">
        <f t="shared" ca="1" si="88"/>
        <v>0.13520176380825324</v>
      </c>
      <c r="AM212" s="731">
        <f t="shared" ca="1" si="88"/>
        <v>0.12518681834097523</v>
      </c>
      <c r="AN212" s="731">
        <f t="shared" ca="1" si="88"/>
        <v>0.11591372068608817</v>
      </c>
      <c r="AO212" s="731">
        <f t="shared" ca="1" si="88"/>
        <v>0.10732751915378534</v>
      </c>
      <c r="AP212" s="731">
        <f t="shared" ca="1" si="88"/>
        <v>9.9377332549801231E-2</v>
      </c>
      <c r="AQ212" s="731">
        <f t="shared" ca="1" si="88"/>
        <v>9.2016048657223348E-2</v>
      </c>
      <c r="AR212" s="731">
        <f t="shared" ca="1" si="88"/>
        <v>0</v>
      </c>
      <c r="AS212" s="731">
        <f t="shared" ca="1" si="88"/>
        <v>0</v>
      </c>
      <c r="AT212" s="731">
        <f t="shared" ca="1" si="88"/>
        <v>0</v>
      </c>
      <c r="AU212" s="731">
        <f t="shared" ca="1" si="88"/>
        <v>0</v>
      </c>
      <c r="AV212" s="731">
        <f t="shared" ca="1" si="88"/>
        <v>0</v>
      </c>
      <c r="AW212" s="731">
        <f t="shared" ca="1" si="88"/>
        <v>0</v>
      </c>
      <c r="AX212" s="731">
        <f t="shared" ca="1" si="88"/>
        <v>0</v>
      </c>
    </row>
    <row r="213" spans="1:50" ht="15" customHeight="1" x14ac:dyDescent="0.25">
      <c r="A213" s="106"/>
      <c r="B213" s="175"/>
      <c r="C213" s="88"/>
      <c r="D213" s="162"/>
      <c r="E213" s="52"/>
      <c r="F213" s="56"/>
      <c r="G213" s="52"/>
      <c r="H213" s="52"/>
      <c r="I213" s="89"/>
      <c r="J213" s="52"/>
      <c r="K213" s="208"/>
      <c r="L213" s="208"/>
      <c r="M213" s="208"/>
      <c r="N213" s="208"/>
      <c r="O213" s="208"/>
      <c r="P213" s="208"/>
      <c r="Q213" s="208"/>
      <c r="R213" s="208"/>
      <c r="S213" s="208"/>
      <c r="T213" s="208"/>
      <c r="U213" s="208"/>
      <c r="V213" s="208"/>
      <c r="W213" s="208"/>
      <c r="X213" s="208"/>
      <c r="Y213" s="208"/>
      <c r="Z213" s="208"/>
      <c r="AA213" s="208"/>
      <c r="AB213" s="208"/>
      <c r="AC213" s="208"/>
      <c r="AD213" s="208"/>
      <c r="AE213" s="208"/>
      <c r="AF213" s="208"/>
      <c r="AG213" s="208"/>
      <c r="AH213" s="208"/>
      <c r="AI213" s="208"/>
      <c r="AJ213" s="208"/>
      <c r="AK213" s="208"/>
      <c r="AL213" s="208"/>
      <c r="AM213" s="208"/>
      <c r="AN213" s="208"/>
      <c r="AO213" s="208"/>
      <c r="AP213" s="208"/>
      <c r="AQ213" s="208"/>
      <c r="AR213" s="208"/>
      <c r="AS213" s="208"/>
      <c r="AT213" s="208"/>
      <c r="AU213" s="208"/>
      <c r="AV213" s="208"/>
      <c r="AW213" s="208"/>
      <c r="AX213" s="208"/>
    </row>
    <row r="214" spans="1:50" ht="15" customHeight="1" x14ac:dyDescent="0.25">
      <c r="A214" s="202" t="str">
        <f>Translate!E$701 &amp; ": " &amp; Inputs!F$92</f>
        <v>Project cashflows: nominal</v>
      </c>
      <c r="B214" s="202"/>
      <c r="C214" s="203"/>
      <c r="D214" s="204"/>
      <c r="E214" s="99"/>
      <c r="F214" s="99"/>
      <c r="G214" s="99"/>
      <c r="H214" s="99"/>
      <c r="I214" s="99"/>
      <c r="J214" s="99"/>
      <c r="K214" s="99"/>
      <c r="L214" s="99"/>
      <c r="M214" s="99"/>
      <c r="N214" s="99"/>
      <c r="O214" s="99"/>
      <c r="P214" s="99"/>
      <c r="Q214" s="99"/>
      <c r="R214" s="99"/>
      <c r="S214" s="99"/>
      <c r="T214" s="99"/>
      <c r="U214" s="99"/>
      <c r="V214" s="99"/>
      <c r="W214" s="99"/>
      <c r="X214" s="99"/>
      <c r="Y214" s="99"/>
      <c r="Z214" s="99"/>
      <c r="AA214" s="99"/>
      <c r="AB214" s="99"/>
      <c r="AC214" s="99"/>
      <c r="AD214" s="99"/>
      <c r="AE214" s="99"/>
      <c r="AF214" s="99"/>
      <c r="AG214" s="99"/>
      <c r="AH214" s="99"/>
      <c r="AI214" s="99"/>
      <c r="AJ214" s="99"/>
      <c r="AK214" s="99"/>
      <c r="AL214" s="99"/>
      <c r="AM214" s="99"/>
      <c r="AN214" s="99"/>
      <c r="AO214" s="99"/>
      <c r="AP214" s="99"/>
      <c r="AQ214" s="99"/>
      <c r="AR214" s="99"/>
      <c r="AS214" s="99"/>
      <c r="AT214" s="99"/>
      <c r="AU214" s="99"/>
      <c r="AV214" s="99"/>
      <c r="AW214" s="99"/>
      <c r="AX214" s="99"/>
    </row>
    <row r="215" spans="1:50" ht="15" customHeight="1" x14ac:dyDescent="0.25">
      <c r="A215" s="86"/>
      <c r="B215" s="175"/>
      <c r="C215" s="88"/>
      <c r="D215" s="162"/>
      <c r="E215" s="52"/>
      <c r="F215" s="56"/>
      <c r="G215" s="52"/>
      <c r="H215" s="52"/>
      <c r="I215" s="89"/>
      <c r="J215" s="52"/>
      <c r="K215" s="208"/>
      <c r="L215" s="208"/>
      <c r="M215" s="208"/>
      <c r="N215" s="208"/>
      <c r="O215" s="208"/>
      <c r="P215" s="208"/>
      <c r="Q215" s="208"/>
      <c r="R215" s="208"/>
      <c r="S215" s="208"/>
      <c r="T215" s="208"/>
      <c r="U215" s="208"/>
      <c r="V215" s="208"/>
      <c r="W215" s="208"/>
      <c r="X215" s="208"/>
      <c r="Y215" s="208"/>
      <c r="Z215" s="208"/>
      <c r="AA215" s="208"/>
      <c r="AB215" s="208"/>
      <c r="AC215" s="208"/>
      <c r="AD215" s="208"/>
      <c r="AE215" s="208"/>
      <c r="AF215" s="208"/>
      <c r="AG215" s="208"/>
      <c r="AH215" s="208"/>
      <c r="AI215" s="208"/>
      <c r="AJ215" s="208"/>
      <c r="AK215" s="208"/>
      <c r="AL215" s="208"/>
      <c r="AM215" s="208"/>
      <c r="AN215" s="208"/>
      <c r="AO215" s="208"/>
      <c r="AP215" s="208"/>
      <c r="AQ215" s="208"/>
      <c r="AR215" s="208"/>
      <c r="AS215" s="208"/>
      <c r="AT215" s="208"/>
      <c r="AU215" s="208"/>
      <c r="AV215" s="208"/>
      <c r="AW215" s="208"/>
      <c r="AX215" s="208"/>
    </row>
    <row r="216" spans="1:50" ht="15" customHeight="1" x14ac:dyDescent="0.25">
      <c r="A216" s="86"/>
      <c r="B216" s="205" t="str">
        <f>Translate!$E$701 &amp; ": " &amp; Inputs!F$91</f>
        <v>Project cashflows: real</v>
      </c>
      <c r="C216" s="88"/>
      <c r="D216" s="162"/>
      <c r="E216" s="52"/>
      <c r="F216" s="56"/>
      <c r="G216" s="52"/>
      <c r="H216" s="52"/>
      <c r="I216" s="89"/>
      <c r="J216" s="52"/>
      <c r="K216" s="208"/>
      <c r="L216" s="208"/>
      <c r="M216" s="208"/>
      <c r="N216" s="208"/>
      <c r="O216" s="208"/>
      <c r="P216" s="208"/>
      <c r="Q216" s="208"/>
      <c r="R216" s="208"/>
      <c r="S216" s="208"/>
      <c r="T216" s="208"/>
      <c r="U216" s="208"/>
      <c r="V216" s="208"/>
      <c r="W216" s="208"/>
      <c r="X216" s="208"/>
      <c r="Y216" s="208"/>
      <c r="Z216" s="208"/>
      <c r="AA216" s="208"/>
      <c r="AB216" s="208"/>
      <c r="AC216" s="208"/>
      <c r="AD216" s="208"/>
      <c r="AE216" s="208"/>
      <c r="AF216" s="208"/>
      <c r="AG216" s="208"/>
      <c r="AH216" s="208"/>
      <c r="AI216" s="208"/>
      <c r="AJ216" s="208"/>
      <c r="AK216" s="208"/>
      <c r="AL216" s="208"/>
      <c r="AM216" s="208"/>
      <c r="AN216" s="208"/>
      <c r="AO216" s="208"/>
      <c r="AP216" s="208"/>
      <c r="AQ216" s="208"/>
      <c r="AR216" s="208"/>
      <c r="AS216" s="208"/>
      <c r="AT216" s="208"/>
      <c r="AU216" s="208"/>
      <c r="AV216" s="208"/>
      <c r="AW216" s="208"/>
      <c r="AX216" s="208"/>
    </row>
    <row r="217" spans="1:50" ht="15" customHeight="1" x14ac:dyDescent="0.25">
      <c r="A217" s="86"/>
      <c r="B217" s="205"/>
      <c r="C217" s="88"/>
      <c r="D217" s="162"/>
      <c r="E217" s="55" t="str">
        <f t="shared" ref="E217:AX217" si="89" xml:space="preserve"> E$152</f>
        <v>Oil price realized from sales, after ELT</v>
      </c>
      <c r="F217" s="55">
        <f t="shared" si="89"/>
        <v>0</v>
      </c>
      <c r="G217" s="55" t="str">
        <f t="shared" si="89"/>
        <v>US$ 2021 / bbl</v>
      </c>
      <c r="H217" s="55">
        <f t="shared" si="89"/>
        <v>0</v>
      </c>
      <c r="I217" s="55">
        <f t="shared" ca="1" si="89"/>
        <v>1705</v>
      </c>
      <c r="J217" s="55">
        <f t="shared" si="89"/>
        <v>0</v>
      </c>
      <c r="K217" s="55">
        <f t="shared" ca="1" si="89"/>
        <v>55</v>
      </c>
      <c r="L217" s="55">
        <f t="shared" ca="1" si="89"/>
        <v>55</v>
      </c>
      <c r="M217" s="55">
        <f t="shared" ca="1" si="89"/>
        <v>55</v>
      </c>
      <c r="N217" s="55">
        <f t="shared" ca="1" si="89"/>
        <v>55</v>
      </c>
      <c r="O217" s="55">
        <f t="shared" ca="1" si="89"/>
        <v>55</v>
      </c>
      <c r="P217" s="55">
        <f t="shared" ca="1" si="89"/>
        <v>55</v>
      </c>
      <c r="Q217" s="55">
        <f t="shared" ca="1" si="89"/>
        <v>55</v>
      </c>
      <c r="R217" s="55">
        <f t="shared" ca="1" si="89"/>
        <v>55</v>
      </c>
      <c r="S217" s="55">
        <f t="shared" ca="1" si="89"/>
        <v>55</v>
      </c>
      <c r="T217" s="55">
        <f t="shared" ca="1" si="89"/>
        <v>55</v>
      </c>
      <c r="U217" s="55">
        <f t="shared" ca="1" si="89"/>
        <v>55</v>
      </c>
      <c r="V217" s="55">
        <f t="shared" ca="1" si="89"/>
        <v>55</v>
      </c>
      <c r="W217" s="55">
        <f t="shared" ca="1" si="89"/>
        <v>55</v>
      </c>
      <c r="X217" s="55">
        <f t="shared" ca="1" si="89"/>
        <v>55</v>
      </c>
      <c r="Y217" s="55">
        <f t="shared" ca="1" si="89"/>
        <v>55</v>
      </c>
      <c r="Z217" s="55">
        <f t="shared" ca="1" si="89"/>
        <v>55</v>
      </c>
      <c r="AA217" s="55">
        <f t="shared" ca="1" si="89"/>
        <v>55</v>
      </c>
      <c r="AB217" s="55">
        <f t="shared" ca="1" si="89"/>
        <v>55</v>
      </c>
      <c r="AC217" s="55">
        <f t="shared" ca="1" si="89"/>
        <v>55</v>
      </c>
      <c r="AD217" s="55">
        <f t="shared" ca="1" si="89"/>
        <v>55</v>
      </c>
      <c r="AE217" s="55">
        <f t="shared" ca="1" si="89"/>
        <v>55</v>
      </c>
      <c r="AF217" s="55">
        <f t="shared" ca="1" si="89"/>
        <v>55</v>
      </c>
      <c r="AG217" s="55">
        <f t="shared" ca="1" si="89"/>
        <v>55</v>
      </c>
      <c r="AH217" s="55">
        <f t="shared" ca="1" si="89"/>
        <v>55</v>
      </c>
      <c r="AI217" s="55">
        <f t="shared" ca="1" si="89"/>
        <v>55</v>
      </c>
      <c r="AJ217" s="55">
        <f t="shared" ca="1" si="89"/>
        <v>55</v>
      </c>
      <c r="AK217" s="55">
        <f t="shared" ca="1" si="89"/>
        <v>55</v>
      </c>
      <c r="AL217" s="55">
        <f t="shared" ca="1" si="89"/>
        <v>55</v>
      </c>
      <c r="AM217" s="55">
        <f t="shared" ca="1" si="89"/>
        <v>55</v>
      </c>
      <c r="AN217" s="55">
        <f t="shared" ca="1" si="89"/>
        <v>55</v>
      </c>
      <c r="AO217" s="55">
        <f t="shared" ca="1" si="89"/>
        <v>55</v>
      </c>
      <c r="AP217" s="55">
        <f t="shared" ca="1" si="89"/>
        <v>0</v>
      </c>
      <c r="AQ217" s="55">
        <f t="shared" ca="1" si="89"/>
        <v>0</v>
      </c>
      <c r="AR217" s="55">
        <f t="shared" ca="1" si="89"/>
        <v>0</v>
      </c>
      <c r="AS217" s="55">
        <f t="shared" ca="1" si="89"/>
        <v>0</v>
      </c>
      <c r="AT217" s="55">
        <f t="shared" ca="1" si="89"/>
        <v>0</v>
      </c>
      <c r="AU217" s="55">
        <f t="shared" ca="1" si="89"/>
        <v>0</v>
      </c>
      <c r="AV217" s="55">
        <f t="shared" ca="1" si="89"/>
        <v>0</v>
      </c>
      <c r="AW217" s="55">
        <f t="shared" ca="1" si="89"/>
        <v>0</v>
      </c>
      <c r="AX217" s="55">
        <f t="shared" ca="1" si="89"/>
        <v>0</v>
      </c>
    </row>
    <row r="218" spans="1:50" ht="15" customHeight="1" x14ac:dyDescent="0.25">
      <c r="A218" s="86"/>
      <c r="B218" s="205"/>
      <c r="C218" s="88"/>
      <c r="D218" s="162"/>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5"/>
      <c r="AU218" s="55"/>
      <c r="AV218" s="55"/>
      <c r="AW218" s="55"/>
      <c r="AX218" s="55"/>
    </row>
    <row r="219" spans="1:50" ht="15" customHeight="1" x14ac:dyDescent="0.25">
      <c r="A219" s="241"/>
      <c r="B219" s="48"/>
      <c r="C219" s="146"/>
      <c r="D219" s="48"/>
      <c r="E219" s="55" t="str">
        <f t="shared" ref="E219:AX219" si="90" xml:space="preserve"> E$154</f>
        <v>Oil revenues gross, after ELT</v>
      </c>
      <c r="F219" s="55">
        <f t="shared" si="90"/>
        <v>0</v>
      </c>
      <c r="G219" s="55" t="str">
        <f t="shared" si="90"/>
        <v>US$ mn 2021</v>
      </c>
      <c r="H219" s="55">
        <f t="shared" si="90"/>
        <v>0</v>
      </c>
      <c r="I219" s="55">
        <f t="shared" ca="1" si="90"/>
        <v>44103.023863224538</v>
      </c>
      <c r="J219" s="55">
        <f t="shared" si="90"/>
        <v>0</v>
      </c>
      <c r="K219" s="55">
        <f t="shared" ca="1" si="90"/>
        <v>0</v>
      </c>
      <c r="L219" s="55">
        <f t="shared" ca="1" si="90"/>
        <v>0</v>
      </c>
      <c r="M219" s="55">
        <f t="shared" ca="1" si="90"/>
        <v>0</v>
      </c>
      <c r="N219" s="55">
        <f t="shared" ca="1" si="90"/>
        <v>0</v>
      </c>
      <c r="O219" s="55">
        <f t="shared" ca="1" si="90"/>
        <v>191.65835816431044</v>
      </c>
      <c r="P219" s="55">
        <f t="shared" ca="1" si="90"/>
        <v>1505.625</v>
      </c>
      <c r="Q219" s="55">
        <f t="shared" ca="1" si="90"/>
        <v>3011.25</v>
      </c>
      <c r="R219" s="55">
        <f t="shared" ca="1" si="90"/>
        <v>3011.25</v>
      </c>
      <c r="S219" s="55">
        <f t="shared" ca="1" si="90"/>
        <v>3011.25</v>
      </c>
      <c r="T219" s="55">
        <f t="shared" ca="1" si="90"/>
        <v>3011.25</v>
      </c>
      <c r="U219" s="55">
        <f t="shared" ca="1" si="90"/>
        <v>3011.25</v>
      </c>
      <c r="V219" s="55">
        <f t="shared" ca="1" si="90"/>
        <v>3011.25</v>
      </c>
      <c r="W219" s="55">
        <f t="shared" ca="1" si="90"/>
        <v>3011.25</v>
      </c>
      <c r="X219" s="55">
        <f t="shared" ca="1" si="90"/>
        <v>3011.25</v>
      </c>
      <c r="Y219" s="55">
        <f t="shared" ca="1" si="90"/>
        <v>3011.25</v>
      </c>
      <c r="Z219" s="55">
        <f t="shared" ca="1" si="90"/>
        <v>3011.25</v>
      </c>
      <c r="AA219" s="55">
        <f t="shared" ca="1" si="90"/>
        <v>2439.1125000000006</v>
      </c>
      <c r="AB219" s="55">
        <f t="shared" ca="1" si="90"/>
        <v>1975.6811250000005</v>
      </c>
      <c r="AC219" s="55">
        <f t="shared" ca="1" si="90"/>
        <v>1600.3017112500004</v>
      </c>
      <c r="AD219" s="55">
        <f t="shared" ca="1" si="90"/>
        <v>1296.2443861125007</v>
      </c>
      <c r="AE219" s="55">
        <f t="shared" ca="1" si="90"/>
        <v>1049.9579527511255</v>
      </c>
      <c r="AF219" s="55">
        <f t="shared" ca="1" si="90"/>
        <v>850.46594172841174</v>
      </c>
      <c r="AG219" s="55">
        <f t="shared" ca="1" si="90"/>
        <v>688.87741280001364</v>
      </c>
      <c r="AH219" s="55">
        <f t="shared" ca="1" si="90"/>
        <v>557.99070436801105</v>
      </c>
      <c r="AI219" s="55">
        <f t="shared" ca="1" si="90"/>
        <v>451.972470538089</v>
      </c>
      <c r="AJ219" s="55">
        <f t="shared" ca="1" si="90"/>
        <v>366.09770113585205</v>
      </c>
      <c r="AK219" s="55">
        <f t="shared" ca="1" si="90"/>
        <v>296.53913792004022</v>
      </c>
      <c r="AL219" s="55">
        <f t="shared" ca="1" si="90"/>
        <v>240.19670171523254</v>
      </c>
      <c r="AM219" s="55">
        <f t="shared" ca="1" si="90"/>
        <v>194.55932838933836</v>
      </c>
      <c r="AN219" s="55">
        <f t="shared" ca="1" si="90"/>
        <v>157.59305599536407</v>
      </c>
      <c r="AO219" s="55">
        <f t="shared" ca="1" si="90"/>
        <v>127.65037535624494</v>
      </c>
      <c r="AP219" s="55">
        <f t="shared" ca="1" si="90"/>
        <v>0</v>
      </c>
      <c r="AQ219" s="55">
        <f t="shared" ca="1" si="90"/>
        <v>0</v>
      </c>
      <c r="AR219" s="55">
        <f t="shared" ca="1" si="90"/>
        <v>0</v>
      </c>
      <c r="AS219" s="55">
        <f t="shared" ca="1" si="90"/>
        <v>0</v>
      </c>
      <c r="AT219" s="55">
        <f t="shared" ca="1" si="90"/>
        <v>0</v>
      </c>
      <c r="AU219" s="55">
        <f t="shared" ca="1" si="90"/>
        <v>0</v>
      </c>
      <c r="AV219" s="55">
        <f t="shared" ca="1" si="90"/>
        <v>0</v>
      </c>
      <c r="AW219" s="55">
        <f t="shared" ca="1" si="90"/>
        <v>0</v>
      </c>
      <c r="AX219" s="55">
        <f t="shared" ca="1" si="90"/>
        <v>0</v>
      </c>
    </row>
    <row r="220" spans="1:50" ht="15" customHeight="1" x14ac:dyDescent="0.25">
      <c r="A220" s="241"/>
      <c r="B220" s="48"/>
      <c r="C220" s="146"/>
      <c r="D220" s="48"/>
      <c r="E220" s="55" t="str">
        <f t="shared" ref="E220:AX220" si="91" xml:space="preserve"> E$155</f>
        <v>Transport costs post-fiscal point, after ELT</v>
      </c>
      <c r="F220" s="55">
        <f t="shared" si="91"/>
        <v>0</v>
      </c>
      <c r="G220" s="55" t="str">
        <f t="shared" si="91"/>
        <v>US$ mn 2021</v>
      </c>
      <c r="H220" s="55">
        <f t="shared" si="91"/>
        <v>0</v>
      </c>
      <c r="I220" s="55">
        <f t="shared" ca="1" si="91"/>
        <v>0</v>
      </c>
      <c r="J220" s="55">
        <f t="shared" si="91"/>
        <v>0</v>
      </c>
      <c r="K220" s="55">
        <f t="shared" ca="1" si="91"/>
        <v>0</v>
      </c>
      <c r="L220" s="55">
        <f t="shared" ca="1" si="91"/>
        <v>0</v>
      </c>
      <c r="M220" s="55">
        <f t="shared" ca="1" si="91"/>
        <v>0</v>
      </c>
      <c r="N220" s="55">
        <f t="shared" ca="1" si="91"/>
        <v>0</v>
      </c>
      <c r="O220" s="55">
        <f t="shared" ca="1" si="91"/>
        <v>0</v>
      </c>
      <c r="P220" s="55">
        <f t="shared" ca="1" si="91"/>
        <v>0</v>
      </c>
      <c r="Q220" s="55">
        <f t="shared" ca="1" si="91"/>
        <v>0</v>
      </c>
      <c r="R220" s="55">
        <f t="shared" ca="1" si="91"/>
        <v>0</v>
      </c>
      <c r="S220" s="55">
        <f t="shared" ca="1" si="91"/>
        <v>0</v>
      </c>
      <c r="T220" s="55">
        <f t="shared" ca="1" si="91"/>
        <v>0</v>
      </c>
      <c r="U220" s="55">
        <f t="shared" ca="1" si="91"/>
        <v>0</v>
      </c>
      <c r="V220" s="55">
        <f t="shared" ca="1" si="91"/>
        <v>0</v>
      </c>
      <c r="W220" s="55">
        <f t="shared" ca="1" si="91"/>
        <v>0</v>
      </c>
      <c r="X220" s="55">
        <f t="shared" ca="1" si="91"/>
        <v>0</v>
      </c>
      <c r="Y220" s="55">
        <f t="shared" ca="1" si="91"/>
        <v>0</v>
      </c>
      <c r="Z220" s="55">
        <f t="shared" ca="1" si="91"/>
        <v>0</v>
      </c>
      <c r="AA220" s="55">
        <f t="shared" ca="1" si="91"/>
        <v>0</v>
      </c>
      <c r="AB220" s="55">
        <f t="shared" ca="1" si="91"/>
        <v>0</v>
      </c>
      <c r="AC220" s="55">
        <f t="shared" ca="1" si="91"/>
        <v>0</v>
      </c>
      <c r="AD220" s="55">
        <f t="shared" ca="1" si="91"/>
        <v>0</v>
      </c>
      <c r="AE220" s="55">
        <f t="shared" ca="1" si="91"/>
        <v>0</v>
      </c>
      <c r="AF220" s="55">
        <f t="shared" ca="1" si="91"/>
        <v>0</v>
      </c>
      <c r="AG220" s="55">
        <f t="shared" ca="1" si="91"/>
        <v>0</v>
      </c>
      <c r="AH220" s="55">
        <f t="shared" ca="1" si="91"/>
        <v>0</v>
      </c>
      <c r="AI220" s="55">
        <f t="shared" ca="1" si="91"/>
        <v>0</v>
      </c>
      <c r="AJ220" s="55">
        <f t="shared" ca="1" si="91"/>
        <v>0</v>
      </c>
      <c r="AK220" s="55">
        <f t="shared" ca="1" si="91"/>
        <v>0</v>
      </c>
      <c r="AL220" s="55">
        <f t="shared" ca="1" si="91"/>
        <v>0</v>
      </c>
      <c r="AM220" s="55">
        <f t="shared" ca="1" si="91"/>
        <v>0</v>
      </c>
      <c r="AN220" s="55">
        <f t="shared" ca="1" si="91"/>
        <v>0</v>
      </c>
      <c r="AO220" s="55">
        <f t="shared" ca="1" si="91"/>
        <v>0</v>
      </c>
      <c r="AP220" s="55">
        <f t="shared" ca="1" si="91"/>
        <v>0</v>
      </c>
      <c r="AQ220" s="55">
        <f t="shared" ca="1" si="91"/>
        <v>0</v>
      </c>
      <c r="AR220" s="55">
        <f t="shared" ca="1" si="91"/>
        <v>0</v>
      </c>
      <c r="AS220" s="55">
        <f t="shared" ca="1" si="91"/>
        <v>0</v>
      </c>
      <c r="AT220" s="55">
        <f t="shared" ca="1" si="91"/>
        <v>0</v>
      </c>
      <c r="AU220" s="55">
        <f t="shared" ca="1" si="91"/>
        <v>0</v>
      </c>
      <c r="AV220" s="55">
        <f t="shared" ca="1" si="91"/>
        <v>0</v>
      </c>
      <c r="AW220" s="55">
        <f t="shared" ca="1" si="91"/>
        <v>0</v>
      </c>
      <c r="AX220" s="55">
        <f t="shared" ca="1" si="91"/>
        <v>0</v>
      </c>
    </row>
    <row r="221" spans="1:50" ht="15" customHeight="1" x14ac:dyDescent="0.25">
      <c r="A221" s="241"/>
      <c r="B221" s="48"/>
      <c r="C221" s="146"/>
      <c r="D221" s="48"/>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5"/>
      <c r="AU221" s="55"/>
      <c r="AV221" s="55"/>
      <c r="AW221" s="55"/>
      <c r="AX221" s="55"/>
    </row>
    <row r="222" spans="1:50" ht="15" customHeight="1" x14ac:dyDescent="0.25">
      <c r="A222" s="241"/>
      <c r="B222" s="48"/>
      <c r="C222" s="146"/>
      <c r="D222" s="48"/>
      <c r="E222" s="55" t="str">
        <f t="shared" ref="E222:AX222" si="92" xml:space="preserve"> E$158</f>
        <v>Exploration costs, after ELT</v>
      </c>
      <c r="F222" s="55">
        <f t="shared" si="92"/>
        <v>0</v>
      </c>
      <c r="G222" s="55" t="str">
        <f t="shared" si="92"/>
        <v>US$ mn 2021</v>
      </c>
      <c r="H222" s="55">
        <f t="shared" si="92"/>
        <v>0</v>
      </c>
      <c r="I222" s="55">
        <f t="shared" ca="1" si="92"/>
        <v>420</v>
      </c>
      <c r="J222" s="55">
        <f t="shared" si="92"/>
        <v>0</v>
      </c>
      <c r="K222" s="55">
        <f t="shared" ca="1" si="92"/>
        <v>420</v>
      </c>
      <c r="L222" s="55">
        <f t="shared" ca="1" si="92"/>
        <v>0</v>
      </c>
      <c r="M222" s="55">
        <f t="shared" ca="1" si="92"/>
        <v>0</v>
      </c>
      <c r="N222" s="55">
        <f t="shared" ca="1" si="92"/>
        <v>0</v>
      </c>
      <c r="O222" s="55">
        <f t="shared" ca="1" si="92"/>
        <v>0</v>
      </c>
      <c r="P222" s="55">
        <f t="shared" ca="1" si="92"/>
        <v>0</v>
      </c>
      <c r="Q222" s="55">
        <f t="shared" ca="1" si="92"/>
        <v>0</v>
      </c>
      <c r="R222" s="55">
        <f t="shared" ca="1" si="92"/>
        <v>0</v>
      </c>
      <c r="S222" s="55">
        <f t="shared" ca="1" si="92"/>
        <v>0</v>
      </c>
      <c r="T222" s="55">
        <f t="shared" ca="1" si="92"/>
        <v>0</v>
      </c>
      <c r="U222" s="55">
        <f t="shared" ca="1" si="92"/>
        <v>0</v>
      </c>
      <c r="V222" s="55">
        <f t="shared" ca="1" si="92"/>
        <v>0</v>
      </c>
      <c r="W222" s="55">
        <f t="shared" ca="1" si="92"/>
        <v>0</v>
      </c>
      <c r="X222" s="55">
        <f t="shared" ca="1" si="92"/>
        <v>0</v>
      </c>
      <c r="Y222" s="55">
        <f t="shared" ca="1" si="92"/>
        <v>0</v>
      </c>
      <c r="Z222" s="55">
        <f t="shared" ca="1" si="92"/>
        <v>0</v>
      </c>
      <c r="AA222" s="55">
        <f t="shared" ca="1" si="92"/>
        <v>0</v>
      </c>
      <c r="AB222" s="55">
        <f t="shared" ca="1" si="92"/>
        <v>0</v>
      </c>
      <c r="AC222" s="55">
        <f t="shared" ca="1" si="92"/>
        <v>0</v>
      </c>
      <c r="AD222" s="55">
        <f t="shared" ca="1" si="92"/>
        <v>0</v>
      </c>
      <c r="AE222" s="55">
        <f t="shared" ca="1" si="92"/>
        <v>0</v>
      </c>
      <c r="AF222" s="55">
        <f t="shared" ca="1" si="92"/>
        <v>0</v>
      </c>
      <c r="AG222" s="55">
        <f t="shared" ca="1" si="92"/>
        <v>0</v>
      </c>
      <c r="AH222" s="55">
        <f t="shared" ca="1" si="92"/>
        <v>0</v>
      </c>
      <c r="AI222" s="55">
        <f t="shared" ca="1" si="92"/>
        <v>0</v>
      </c>
      <c r="AJ222" s="55">
        <f t="shared" ca="1" si="92"/>
        <v>0</v>
      </c>
      <c r="AK222" s="55">
        <f t="shared" ca="1" si="92"/>
        <v>0</v>
      </c>
      <c r="AL222" s="55">
        <f t="shared" ca="1" si="92"/>
        <v>0</v>
      </c>
      <c r="AM222" s="55">
        <f t="shared" ca="1" si="92"/>
        <v>0</v>
      </c>
      <c r="AN222" s="55">
        <f t="shared" ca="1" si="92"/>
        <v>0</v>
      </c>
      <c r="AO222" s="55">
        <f t="shared" ca="1" si="92"/>
        <v>0</v>
      </c>
      <c r="AP222" s="55">
        <f t="shared" ca="1" si="92"/>
        <v>0</v>
      </c>
      <c r="AQ222" s="55">
        <f t="shared" ca="1" si="92"/>
        <v>0</v>
      </c>
      <c r="AR222" s="55">
        <f t="shared" ca="1" si="92"/>
        <v>0</v>
      </c>
      <c r="AS222" s="55">
        <f t="shared" ca="1" si="92"/>
        <v>0</v>
      </c>
      <c r="AT222" s="55">
        <f t="shared" ca="1" si="92"/>
        <v>0</v>
      </c>
      <c r="AU222" s="55">
        <f t="shared" ca="1" si="92"/>
        <v>0</v>
      </c>
      <c r="AV222" s="55">
        <f t="shared" ca="1" si="92"/>
        <v>0</v>
      </c>
      <c r="AW222" s="55">
        <f t="shared" ca="1" si="92"/>
        <v>0</v>
      </c>
      <c r="AX222" s="55">
        <f t="shared" ca="1" si="92"/>
        <v>0</v>
      </c>
    </row>
    <row r="223" spans="1:50" ht="15" customHeight="1" x14ac:dyDescent="0.25">
      <c r="A223" s="241"/>
      <c r="B223" s="48"/>
      <c r="C223" s="146"/>
      <c r="D223" s="48"/>
      <c r="E223" s="55" t="str">
        <f t="shared" ref="E223:AX223" si="93" xml:space="preserve"> E$159</f>
        <v>Development costs, after ELT</v>
      </c>
      <c r="F223" s="55">
        <f t="shared" si="93"/>
        <v>0</v>
      </c>
      <c r="G223" s="55" t="str">
        <f t="shared" si="93"/>
        <v>US$ mn 2021</v>
      </c>
      <c r="H223" s="55">
        <f t="shared" si="93"/>
        <v>0</v>
      </c>
      <c r="I223" s="55">
        <f t="shared" ca="1" si="93"/>
        <v>9050</v>
      </c>
      <c r="J223" s="55">
        <f t="shared" si="93"/>
        <v>0</v>
      </c>
      <c r="K223" s="55">
        <f t="shared" ca="1" si="93"/>
        <v>0</v>
      </c>
      <c r="L223" s="55">
        <f t="shared" ca="1" si="93"/>
        <v>50</v>
      </c>
      <c r="M223" s="55">
        <f t="shared" ca="1" si="93"/>
        <v>300</v>
      </c>
      <c r="N223" s="55">
        <f t="shared" ca="1" si="93"/>
        <v>1200</v>
      </c>
      <c r="O223" s="55">
        <f t="shared" ca="1" si="93"/>
        <v>1200</v>
      </c>
      <c r="P223" s="55">
        <f t="shared" ca="1" si="93"/>
        <v>2100</v>
      </c>
      <c r="Q223" s="55">
        <f t="shared" ca="1" si="93"/>
        <v>1100</v>
      </c>
      <c r="R223" s="55">
        <f t="shared" ca="1" si="93"/>
        <v>450</v>
      </c>
      <c r="S223" s="55">
        <f t="shared" ca="1" si="93"/>
        <v>250</v>
      </c>
      <c r="T223" s="55">
        <f t="shared" ca="1" si="93"/>
        <v>250</v>
      </c>
      <c r="U223" s="55">
        <f t="shared" ca="1" si="93"/>
        <v>250</v>
      </c>
      <c r="V223" s="55">
        <f t="shared" ca="1" si="93"/>
        <v>250</v>
      </c>
      <c r="W223" s="55">
        <f t="shared" ca="1" si="93"/>
        <v>250</v>
      </c>
      <c r="X223" s="55">
        <f t="shared" ca="1" si="93"/>
        <v>250</v>
      </c>
      <c r="Y223" s="55">
        <f t="shared" ca="1" si="93"/>
        <v>250</v>
      </c>
      <c r="Z223" s="55">
        <f t="shared" ca="1" si="93"/>
        <v>250</v>
      </c>
      <c r="AA223" s="55">
        <f t="shared" ca="1" si="93"/>
        <v>250</v>
      </c>
      <c r="AB223" s="55">
        <f t="shared" ca="1" si="93"/>
        <v>0</v>
      </c>
      <c r="AC223" s="55">
        <f t="shared" ca="1" si="93"/>
        <v>0</v>
      </c>
      <c r="AD223" s="55">
        <f t="shared" ca="1" si="93"/>
        <v>200</v>
      </c>
      <c r="AE223" s="55">
        <f t="shared" ca="1" si="93"/>
        <v>200</v>
      </c>
      <c r="AF223" s="55">
        <f t="shared" ca="1" si="93"/>
        <v>0</v>
      </c>
      <c r="AG223" s="55">
        <f t="shared" ca="1" si="93"/>
        <v>0</v>
      </c>
      <c r="AH223" s="55">
        <f t="shared" ca="1" si="93"/>
        <v>0</v>
      </c>
      <c r="AI223" s="55">
        <f t="shared" ca="1" si="93"/>
        <v>0</v>
      </c>
      <c r="AJ223" s="55">
        <f t="shared" ca="1" si="93"/>
        <v>0</v>
      </c>
      <c r="AK223" s="55">
        <f t="shared" ca="1" si="93"/>
        <v>0</v>
      </c>
      <c r="AL223" s="55">
        <f t="shared" ca="1" si="93"/>
        <v>0</v>
      </c>
      <c r="AM223" s="55">
        <f t="shared" ca="1" si="93"/>
        <v>0</v>
      </c>
      <c r="AN223" s="55">
        <f t="shared" ca="1" si="93"/>
        <v>0</v>
      </c>
      <c r="AO223" s="55">
        <f t="shared" ca="1" si="93"/>
        <v>0</v>
      </c>
      <c r="AP223" s="55">
        <f t="shared" ca="1" si="93"/>
        <v>0</v>
      </c>
      <c r="AQ223" s="55">
        <f t="shared" ca="1" si="93"/>
        <v>0</v>
      </c>
      <c r="AR223" s="55">
        <f t="shared" ca="1" si="93"/>
        <v>0</v>
      </c>
      <c r="AS223" s="55">
        <f t="shared" ca="1" si="93"/>
        <v>0</v>
      </c>
      <c r="AT223" s="55">
        <f t="shared" ca="1" si="93"/>
        <v>0</v>
      </c>
      <c r="AU223" s="55">
        <f t="shared" ca="1" si="93"/>
        <v>0</v>
      </c>
      <c r="AV223" s="55">
        <f t="shared" ca="1" si="93"/>
        <v>0</v>
      </c>
      <c r="AW223" s="55">
        <f t="shared" ca="1" si="93"/>
        <v>0</v>
      </c>
      <c r="AX223" s="55">
        <f t="shared" ca="1" si="93"/>
        <v>0</v>
      </c>
    </row>
    <row r="224" spans="1:50" ht="15" customHeight="1" x14ac:dyDescent="0.25">
      <c r="A224" s="241"/>
      <c r="B224" s="48"/>
      <c r="C224" s="146"/>
      <c r="D224" s="48"/>
      <c r="E224" s="55" t="str">
        <f t="shared" ref="E224:AX224" si="94" xml:space="preserve"> E$160</f>
        <v>Replacement capital costs, after ELT</v>
      </c>
      <c r="F224" s="55">
        <f t="shared" si="94"/>
        <v>0</v>
      </c>
      <c r="G224" s="55" t="str">
        <f t="shared" si="94"/>
        <v>US$ mn 2021</v>
      </c>
      <c r="H224" s="55">
        <f t="shared" si="94"/>
        <v>0</v>
      </c>
      <c r="I224" s="55">
        <f t="shared" ca="1" si="94"/>
        <v>0</v>
      </c>
      <c r="J224" s="55">
        <f t="shared" si="94"/>
        <v>0</v>
      </c>
      <c r="K224" s="55">
        <f t="shared" ca="1" si="94"/>
        <v>0</v>
      </c>
      <c r="L224" s="55">
        <f t="shared" ca="1" si="94"/>
        <v>0</v>
      </c>
      <c r="M224" s="55">
        <f t="shared" ca="1" si="94"/>
        <v>0</v>
      </c>
      <c r="N224" s="55">
        <f t="shared" ca="1" si="94"/>
        <v>0</v>
      </c>
      <c r="O224" s="55">
        <f t="shared" ca="1" si="94"/>
        <v>0</v>
      </c>
      <c r="P224" s="55">
        <f t="shared" ca="1" si="94"/>
        <v>0</v>
      </c>
      <c r="Q224" s="55">
        <f t="shared" ca="1" si="94"/>
        <v>0</v>
      </c>
      <c r="R224" s="55">
        <f t="shared" ca="1" si="94"/>
        <v>0</v>
      </c>
      <c r="S224" s="55">
        <f t="shared" ca="1" si="94"/>
        <v>0</v>
      </c>
      <c r="T224" s="55">
        <f t="shared" ca="1" si="94"/>
        <v>0</v>
      </c>
      <c r="U224" s="55">
        <f t="shared" ca="1" si="94"/>
        <v>0</v>
      </c>
      <c r="V224" s="55">
        <f t="shared" ca="1" si="94"/>
        <v>0</v>
      </c>
      <c r="W224" s="55">
        <f t="shared" ca="1" si="94"/>
        <v>0</v>
      </c>
      <c r="X224" s="55">
        <f t="shared" ca="1" si="94"/>
        <v>0</v>
      </c>
      <c r="Y224" s="55">
        <f t="shared" ca="1" si="94"/>
        <v>0</v>
      </c>
      <c r="Z224" s="55">
        <f t="shared" ca="1" si="94"/>
        <v>0</v>
      </c>
      <c r="AA224" s="55">
        <f t="shared" ca="1" si="94"/>
        <v>0</v>
      </c>
      <c r="AB224" s="55">
        <f t="shared" ca="1" si="94"/>
        <v>0</v>
      </c>
      <c r="AC224" s="55">
        <f t="shared" ca="1" si="94"/>
        <v>0</v>
      </c>
      <c r="AD224" s="55">
        <f t="shared" ca="1" si="94"/>
        <v>0</v>
      </c>
      <c r="AE224" s="55">
        <f t="shared" ca="1" si="94"/>
        <v>0</v>
      </c>
      <c r="AF224" s="55">
        <f t="shared" ca="1" si="94"/>
        <v>0</v>
      </c>
      <c r="AG224" s="55">
        <f t="shared" ca="1" si="94"/>
        <v>0</v>
      </c>
      <c r="AH224" s="55">
        <f t="shared" ca="1" si="94"/>
        <v>0</v>
      </c>
      <c r="AI224" s="55">
        <f t="shared" ca="1" si="94"/>
        <v>0</v>
      </c>
      <c r="AJ224" s="55">
        <f t="shared" ca="1" si="94"/>
        <v>0</v>
      </c>
      <c r="AK224" s="55">
        <f t="shared" ca="1" si="94"/>
        <v>0</v>
      </c>
      <c r="AL224" s="55">
        <f t="shared" ca="1" si="94"/>
        <v>0</v>
      </c>
      <c r="AM224" s="55">
        <f t="shared" ca="1" si="94"/>
        <v>0</v>
      </c>
      <c r="AN224" s="55">
        <f t="shared" ca="1" si="94"/>
        <v>0</v>
      </c>
      <c r="AO224" s="55">
        <f t="shared" ca="1" si="94"/>
        <v>0</v>
      </c>
      <c r="AP224" s="55">
        <f t="shared" ca="1" si="94"/>
        <v>0</v>
      </c>
      <c r="AQ224" s="55">
        <f t="shared" ca="1" si="94"/>
        <v>0</v>
      </c>
      <c r="AR224" s="55">
        <f t="shared" ca="1" si="94"/>
        <v>0</v>
      </c>
      <c r="AS224" s="55">
        <f t="shared" ca="1" si="94"/>
        <v>0</v>
      </c>
      <c r="AT224" s="55">
        <f t="shared" ca="1" si="94"/>
        <v>0</v>
      </c>
      <c r="AU224" s="55">
        <f t="shared" ca="1" si="94"/>
        <v>0</v>
      </c>
      <c r="AV224" s="55">
        <f t="shared" ca="1" si="94"/>
        <v>0</v>
      </c>
      <c r="AW224" s="55">
        <f t="shared" ca="1" si="94"/>
        <v>0</v>
      </c>
      <c r="AX224" s="55">
        <f t="shared" ca="1" si="94"/>
        <v>0</v>
      </c>
    </row>
    <row r="225" spans="1:50" ht="15" customHeight="1" x14ac:dyDescent="0.25">
      <c r="A225" s="241"/>
      <c r="B225" s="48"/>
      <c r="C225" s="146"/>
      <c r="D225" s="48"/>
      <c r="E225" s="55" t="str">
        <f t="shared" ref="E225:AX225" si="95" xml:space="preserve"> E$161</f>
        <v>Operating costs, after ELT</v>
      </c>
      <c r="F225" s="55">
        <f t="shared" si="95"/>
        <v>0</v>
      </c>
      <c r="G225" s="55" t="str">
        <f t="shared" si="95"/>
        <v>US$ mn 2021</v>
      </c>
      <c r="H225" s="55">
        <f t="shared" si="95"/>
        <v>0</v>
      </c>
      <c r="I225" s="55">
        <f t="shared" ca="1" si="95"/>
        <v>4601</v>
      </c>
      <c r="J225" s="55">
        <f t="shared" si="95"/>
        <v>0</v>
      </c>
      <c r="K225" s="55">
        <f t="shared" ca="1" si="95"/>
        <v>0</v>
      </c>
      <c r="L225" s="55">
        <f t="shared" ca="1" si="95"/>
        <v>0</v>
      </c>
      <c r="M225" s="55">
        <f t="shared" ca="1" si="95"/>
        <v>0</v>
      </c>
      <c r="N225" s="55">
        <f t="shared" ca="1" si="95"/>
        <v>0</v>
      </c>
      <c r="O225" s="55">
        <f t="shared" ca="1" si="95"/>
        <v>50</v>
      </c>
      <c r="P225" s="55">
        <f t="shared" ca="1" si="95"/>
        <v>180</v>
      </c>
      <c r="Q225" s="55">
        <f t="shared" ca="1" si="95"/>
        <v>260</v>
      </c>
      <c r="R225" s="55">
        <f t="shared" ca="1" si="95"/>
        <v>260</v>
      </c>
      <c r="S225" s="55">
        <f t="shared" ca="1" si="95"/>
        <v>260</v>
      </c>
      <c r="T225" s="55">
        <f t="shared" ca="1" si="95"/>
        <v>260</v>
      </c>
      <c r="U225" s="55">
        <f t="shared" ca="1" si="95"/>
        <v>260</v>
      </c>
      <c r="V225" s="55">
        <f t="shared" ca="1" si="95"/>
        <v>260</v>
      </c>
      <c r="W225" s="55">
        <f t="shared" ca="1" si="95"/>
        <v>260</v>
      </c>
      <c r="X225" s="55">
        <f t="shared" ca="1" si="95"/>
        <v>260</v>
      </c>
      <c r="Y225" s="55">
        <f t="shared" ca="1" si="95"/>
        <v>260</v>
      </c>
      <c r="Z225" s="55">
        <f t="shared" ca="1" si="95"/>
        <v>260</v>
      </c>
      <c r="AA225" s="55">
        <f t="shared" ca="1" si="95"/>
        <v>260</v>
      </c>
      <c r="AB225" s="55">
        <f t="shared" ca="1" si="95"/>
        <v>260</v>
      </c>
      <c r="AC225" s="55">
        <f t="shared" ca="1" si="95"/>
        <v>150</v>
      </c>
      <c r="AD225" s="55">
        <f t="shared" ca="1" si="95"/>
        <v>140</v>
      </c>
      <c r="AE225" s="55">
        <f t="shared" ca="1" si="95"/>
        <v>120</v>
      </c>
      <c r="AF225" s="55">
        <f t="shared" ca="1" si="95"/>
        <v>111</v>
      </c>
      <c r="AG225" s="55">
        <f t="shared" ca="1" si="95"/>
        <v>100</v>
      </c>
      <c r="AH225" s="55">
        <f t="shared" ca="1" si="95"/>
        <v>95</v>
      </c>
      <c r="AI225" s="55">
        <f t="shared" ca="1" si="95"/>
        <v>90</v>
      </c>
      <c r="AJ225" s="55">
        <f t="shared" ca="1" si="95"/>
        <v>85</v>
      </c>
      <c r="AK225" s="55">
        <f t="shared" ca="1" si="95"/>
        <v>80</v>
      </c>
      <c r="AL225" s="55">
        <f t="shared" ca="1" si="95"/>
        <v>75</v>
      </c>
      <c r="AM225" s="55">
        <f t="shared" ca="1" si="95"/>
        <v>70</v>
      </c>
      <c r="AN225" s="55">
        <f t="shared" ca="1" si="95"/>
        <v>70</v>
      </c>
      <c r="AO225" s="55">
        <f t="shared" ca="1" si="95"/>
        <v>65</v>
      </c>
      <c r="AP225" s="55">
        <f t="shared" ca="1" si="95"/>
        <v>0</v>
      </c>
      <c r="AQ225" s="55">
        <f t="shared" ca="1" si="95"/>
        <v>0</v>
      </c>
      <c r="AR225" s="55">
        <f t="shared" ca="1" si="95"/>
        <v>0</v>
      </c>
      <c r="AS225" s="55">
        <f t="shared" ca="1" si="95"/>
        <v>0</v>
      </c>
      <c r="AT225" s="55">
        <f t="shared" ca="1" si="95"/>
        <v>0</v>
      </c>
      <c r="AU225" s="55">
        <f t="shared" ca="1" si="95"/>
        <v>0</v>
      </c>
      <c r="AV225" s="55">
        <f t="shared" ca="1" si="95"/>
        <v>0</v>
      </c>
      <c r="AW225" s="55">
        <f t="shared" ca="1" si="95"/>
        <v>0</v>
      </c>
      <c r="AX225" s="55">
        <f t="shared" ca="1" si="95"/>
        <v>0</v>
      </c>
    </row>
    <row r="226" spans="1:50" s="257" customFormat="1" ht="15" customHeight="1" x14ac:dyDescent="0.25">
      <c r="A226" s="85"/>
      <c r="B226" s="212"/>
      <c r="C226" s="84"/>
      <c r="D226" s="213"/>
      <c r="E226" s="190" t="str">
        <f t="shared" ref="E226:AX226" si="96" xml:space="preserve"> E$123</f>
        <v>Decommissioning costs, after ELT</v>
      </c>
      <c r="F226" s="190">
        <f t="shared" si="96"/>
        <v>0</v>
      </c>
      <c r="G226" s="190" t="str">
        <f t="shared" si="96"/>
        <v>US$ mn 2021</v>
      </c>
      <c r="H226" s="190">
        <f t="shared" si="96"/>
        <v>0</v>
      </c>
      <c r="I226" s="190">
        <f t="shared" ca="1" si="96"/>
        <v>750</v>
      </c>
      <c r="J226" s="190">
        <f t="shared" si="96"/>
        <v>0</v>
      </c>
      <c r="K226" s="190">
        <f t="shared" ca="1" si="96"/>
        <v>0</v>
      </c>
      <c r="L226" s="190">
        <f t="shared" ca="1" si="96"/>
        <v>0</v>
      </c>
      <c r="M226" s="190">
        <f t="shared" ca="1" si="96"/>
        <v>0</v>
      </c>
      <c r="N226" s="190">
        <f t="shared" ca="1" si="96"/>
        <v>0</v>
      </c>
      <c r="O226" s="190">
        <f t="shared" ca="1" si="96"/>
        <v>0</v>
      </c>
      <c r="P226" s="190">
        <f t="shared" ca="1" si="96"/>
        <v>0</v>
      </c>
      <c r="Q226" s="190">
        <f t="shared" ca="1" si="96"/>
        <v>0</v>
      </c>
      <c r="R226" s="190">
        <f t="shared" ca="1" si="96"/>
        <v>0</v>
      </c>
      <c r="S226" s="190">
        <f t="shared" ca="1" si="96"/>
        <v>0</v>
      </c>
      <c r="T226" s="190">
        <f t="shared" ca="1" si="96"/>
        <v>0</v>
      </c>
      <c r="U226" s="190">
        <f t="shared" ca="1" si="96"/>
        <v>0</v>
      </c>
      <c r="V226" s="190">
        <f t="shared" ca="1" si="96"/>
        <v>0</v>
      </c>
      <c r="W226" s="190">
        <f t="shared" ca="1" si="96"/>
        <v>0</v>
      </c>
      <c r="X226" s="190">
        <f t="shared" ca="1" si="96"/>
        <v>0</v>
      </c>
      <c r="Y226" s="190">
        <f t="shared" ca="1" si="96"/>
        <v>0</v>
      </c>
      <c r="Z226" s="190">
        <f t="shared" ca="1" si="96"/>
        <v>0</v>
      </c>
      <c r="AA226" s="190">
        <f t="shared" ca="1" si="96"/>
        <v>0</v>
      </c>
      <c r="AB226" s="190">
        <f t="shared" ca="1" si="96"/>
        <v>0</v>
      </c>
      <c r="AC226" s="190">
        <f t="shared" ca="1" si="96"/>
        <v>0</v>
      </c>
      <c r="AD226" s="190">
        <f t="shared" ca="1" si="96"/>
        <v>0</v>
      </c>
      <c r="AE226" s="190">
        <f t="shared" ca="1" si="96"/>
        <v>0</v>
      </c>
      <c r="AF226" s="190">
        <f t="shared" ca="1" si="96"/>
        <v>0</v>
      </c>
      <c r="AG226" s="190">
        <f t="shared" ca="1" si="96"/>
        <v>0</v>
      </c>
      <c r="AH226" s="190">
        <f t="shared" ca="1" si="96"/>
        <v>0</v>
      </c>
      <c r="AI226" s="190">
        <f t="shared" ca="1" si="96"/>
        <v>0</v>
      </c>
      <c r="AJ226" s="190">
        <f t="shared" ca="1" si="96"/>
        <v>0</v>
      </c>
      <c r="AK226" s="190">
        <f t="shared" ca="1" si="96"/>
        <v>0</v>
      </c>
      <c r="AL226" s="190">
        <f t="shared" ca="1" si="96"/>
        <v>250</v>
      </c>
      <c r="AM226" s="190">
        <f t="shared" ca="1" si="96"/>
        <v>0</v>
      </c>
      <c r="AN226" s="190">
        <f t="shared" ca="1" si="96"/>
        <v>0</v>
      </c>
      <c r="AO226" s="190">
        <f t="shared" ca="1" si="96"/>
        <v>0</v>
      </c>
      <c r="AP226" s="190">
        <f t="shared" ca="1" si="96"/>
        <v>250</v>
      </c>
      <c r="AQ226" s="190">
        <f t="shared" ca="1" si="96"/>
        <v>250</v>
      </c>
      <c r="AR226" s="190">
        <f t="shared" ca="1" si="96"/>
        <v>0</v>
      </c>
      <c r="AS226" s="190">
        <f t="shared" ca="1" si="96"/>
        <v>0</v>
      </c>
      <c r="AT226" s="190">
        <f t="shared" ca="1" si="96"/>
        <v>0</v>
      </c>
      <c r="AU226" s="190">
        <f t="shared" ca="1" si="96"/>
        <v>0</v>
      </c>
      <c r="AV226" s="190">
        <f t="shared" ca="1" si="96"/>
        <v>0</v>
      </c>
      <c r="AW226" s="190">
        <f t="shared" ca="1" si="96"/>
        <v>0</v>
      </c>
      <c r="AX226" s="190">
        <f t="shared" ca="1" si="96"/>
        <v>0</v>
      </c>
    </row>
    <row r="227" spans="1:50" s="485" customFormat="1" ht="15" customHeight="1" x14ac:dyDescent="0.25">
      <c r="A227" s="502"/>
      <c r="B227" s="482"/>
      <c r="C227" s="503"/>
      <c r="D227" s="482"/>
      <c r="E227" s="482" t="str">
        <f xml:space="preserve"> Translate!E$579</f>
        <v>Project costs</v>
      </c>
      <c r="F227" s="482"/>
      <c r="G227" s="482" t="str">
        <f xml:space="preserve"> Inputs!F$52</f>
        <v>US$ mn 2021</v>
      </c>
      <c r="H227" s="482"/>
      <c r="I227" s="482">
        <f ca="1" xml:space="preserve"> SUM(K227:AX227)</f>
        <v>14821</v>
      </c>
      <c r="J227" s="482"/>
      <c r="K227" s="482">
        <f t="shared" ref="K227:AX227" ca="1" si="97">SUM(K222:K226)</f>
        <v>420</v>
      </c>
      <c r="L227" s="482">
        <f t="shared" ca="1" si="97"/>
        <v>50</v>
      </c>
      <c r="M227" s="482">
        <f t="shared" ca="1" si="97"/>
        <v>300</v>
      </c>
      <c r="N227" s="482">
        <f t="shared" ca="1" si="97"/>
        <v>1200</v>
      </c>
      <c r="O227" s="482">
        <f t="shared" ca="1" si="97"/>
        <v>1250</v>
      </c>
      <c r="P227" s="482">
        <f t="shared" ca="1" si="97"/>
        <v>2280</v>
      </c>
      <c r="Q227" s="482">
        <f t="shared" ca="1" si="97"/>
        <v>1360</v>
      </c>
      <c r="R227" s="482">
        <f t="shared" ca="1" si="97"/>
        <v>710</v>
      </c>
      <c r="S227" s="482">
        <f t="shared" ca="1" si="97"/>
        <v>510</v>
      </c>
      <c r="T227" s="482">
        <f t="shared" ca="1" si="97"/>
        <v>510</v>
      </c>
      <c r="U227" s="482">
        <f t="shared" ca="1" si="97"/>
        <v>510</v>
      </c>
      <c r="V227" s="482">
        <f t="shared" ca="1" si="97"/>
        <v>510</v>
      </c>
      <c r="W227" s="482">
        <f t="shared" ca="1" si="97"/>
        <v>510</v>
      </c>
      <c r="X227" s="482">
        <f t="shared" ca="1" si="97"/>
        <v>510</v>
      </c>
      <c r="Y227" s="482">
        <f t="shared" ca="1" si="97"/>
        <v>510</v>
      </c>
      <c r="Z227" s="482">
        <f t="shared" ca="1" si="97"/>
        <v>510</v>
      </c>
      <c r="AA227" s="482">
        <f t="shared" ca="1" si="97"/>
        <v>510</v>
      </c>
      <c r="AB227" s="482">
        <f t="shared" ca="1" si="97"/>
        <v>260</v>
      </c>
      <c r="AC227" s="482">
        <f t="shared" ca="1" si="97"/>
        <v>150</v>
      </c>
      <c r="AD227" s="482">
        <f t="shared" ca="1" si="97"/>
        <v>340</v>
      </c>
      <c r="AE227" s="482">
        <f t="shared" ca="1" si="97"/>
        <v>320</v>
      </c>
      <c r="AF227" s="482">
        <f t="shared" ca="1" si="97"/>
        <v>111</v>
      </c>
      <c r="AG227" s="482">
        <f t="shared" ca="1" si="97"/>
        <v>100</v>
      </c>
      <c r="AH227" s="482">
        <f t="shared" ca="1" si="97"/>
        <v>95</v>
      </c>
      <c r="AI227" s="482">
        <f t="shared" ca="1" si="97"/>
        <v>90</v>
      </c>
      <c r="AJ227" s="482">
        <f t="shared" ca="1" si="97"/>
        <v>85</v>
      </c>
      <c r="AK227" s="482">
        <f t="shared" ca="1" si="97"/>
        <v>80</v>
      </c>
      <c r="AL227" s="482">
        <f t="shared" ca="1" si="97"/>
        <v>325</v>
      </c>
      <c r="AM227" s="482">
        <f t="shared" ca="1" si="97"/>
        <v>70</v>
      </c>
      <c r="AN227" s="482">
        <f t="shared" ca="1" si="97"/>
        <v>70</v>
      </c>
      <c r="AO227" s="482">
        <f t="shared" ca="1" si="97"/>
        <v>65</v>
      </c>
      <c r="AP227" s="482">
        <f t="shared" ca="1" si="97"/>
        <v>250</v>
      </c>
      <c r="AQ227" s="482">
        <f t="shared" ca="1" si="97"/>
        <v>250</v>
      </c>
      <c r="AR227" s="482">
        <f t="shared" ca="1" si="97"/>
        <v>0</v>
      </c>
      <c r="AS227" s="482">
        <f t="shared" ca="1" si="97"/>
        <v>0</v>
      </c>
      <c r="AT227" s="482">
        <f t="shared" ca="1" si="97"/>
        <v>0</v>
      </c>
      <c r="AU227" s="482">
        <f t="shared" ca="1" si="97"/>
        <v>0</v>
      </c>
      <c r="AV227" s="482">
        <f t="shared" ca="1" si="97"/>
        <v>0</v>
      </c>
      <c r="AW227" s="482">
        <f t="shared" ca="1" si="97"/>
        <v>0</v>
      </c>
      <c r="AX227" s="482">
        <f t="shared" ca="1" si="97"/>
        <v>0</v>
      </c>
    </row>
    <row r="228" spans="1:50" ht="15" customHeight="1" x14ac:dyDescent="0.25">
      <c r="A228" s="86"/>
      <c r="B228" s="175"/>
      <c r="C228" s="88"/>
      <c r="D228" s="162"/>
      <c r="E228" s="55"/>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5"/>
      <c r="AU228" s="55"/>
      <c r="AV228" s="55"/>
      <c r="AW228" s="55"/>
      <c r="AX228" s="55"/>
    </row>
    <row r="229" spans="1:50" ht="15" customHeight="1" x14ac:dyDescent="0.25">
      <c r="A229" s="86"/>
      <c r="B229" s="205" t="str">
        <f>Translate!E$701 &amp; ": " &amp; Inputs!F$92</f>
        <v>Project cashflows: nominal</v>
      </c>
      <c r="C229" s="88"/>
      <c r="D229" s="162"/>
      <c r="E229" s="52"/>
      <c r="F229" s="56"/>
      <c r="G229" s="52"/>
      <c r="H229" s="52"/>
      <c r="I229" s="89"/>
      <c r="J229" s="52"/>
      <c r="K229" s="208"/>
      <c r="L229" s="208"/>
      <c r="M229" s="208"/>
      <c r="N229" s="208"/>
      <c r="O229" s="208"/>
      <c r="P229" s="208"/>
      <c r="Q229" s="208"/>
      <c r="R229" s="208"/>
      <c r="S229" s="208"/>
      <c r="T229" s="208"/>
      <c r="U229" s="208"/>
      <c r="V229" s="208"/>
      <c r="W229" s="208"/>
      <c r="X229" s="208"/>
      <c r="Y229" s="208"/>
      <c r="Z229" s="208"/>
      <c r="AA229" s="208"/>
      <c r="AB229" s="208"/>
      <c r="AC229" s="208"/>
      <c r="AD229" s="208"/>
      <c r="AE229" s="208"/>
      <c r="AF229" s="208"/>
      <c r="AG229" s="208"/>
      <c r="AH229" s="208"/>
      <c r="AI229" s="208"/>
      <c r="AJ229" s="208"/>
      <c r="AK229" s="208"/>
      <c r="AL229" s="208"/>
      <c r="AM229" s="208"/>
      <c r="AN229" s="208"/>
      <c r="AO229" s="208"/>
      <c r="AP229" s="208"/>
      <c r="AQ229" s="208"/>
      <c r="AR229" s="208"/>
      <c r="AS229" s="208"/>
      <c r="AT229" s="208"/>
      <c r="AU229" s="208"/>
      <c r="AV229" s="208"/>
      <c r="AW229" s="208"/>
      <c r="AX229" s="208"/>
    </row>
    <row r="230" spans="1:50" s="723" customFormat="1" ht="15" customHeight="1" x14ac:dyDescent="0.25">
      <c r="A230" s="849"/>
      <c r="B230" s="811"/>
      <c r="C230" s="812"/>
      <c r="D230" s="811"/>
      <c r="E230" s="726" t="str">
        <f t="shared" ref="E230:AX230" si="98" xml:space="preserve"> E$200</f>
        <v>Inflation index</v>
      </c>
      <c r="F230" s="726">
        <f t="shared" si="98"/>
        <v>0</v>
      </c>
      <c r="G230" s="726" t="str">
        <f t="shared" si="98"/>
        <v>Index</v>
      </c>
      <c r="H230" s="726" t="str">
        <f t="shared" si="98"/>
        <v>base year is first project year</v>
      </c>
      <c r="I230" s="726">
        <f t="shared" si="98"/>
        <v>0</v>
      </c>
      <c r="J230" s="726">
        <f t="shared" si="98"/>
        <v>0</v>
      </c>
      <c r="K230" s="726">
        <f t="shared" ca="1" si="98"/>
        <v>1</v>
      </c>
      <c r="L230" s="726">
        <f t="shared" ca="1" si="98"/>
        <v>1.02</v>
      </c>
      <c r="M230" s="726">
        <f t="shared" ca="1" si="98"/>
        <v>1.0404</v>
      </c>
      <c r="N230" s="726">
        <f t="shared" ca="1" si="98"/>
        <v>1.0612079999999999</v>
      </c>
      <c r="O230" s="726">
        <f t="shared" ca="1" si="98"/>
        <v>1.08243216</v>
      </c>
      <c r="P230" s="726">
        <f t="shared" ca="1" si="98"/>
        <v>1.1040808032</v>
      </c>
      <c r="Q230" s="726">
        <f t="shared" ca="1" si="98"/>
        <v>1.1261624192640001</v>
      </c>
      <c r="R230" s="726">
        <f t="shared" ca="1" si="98"/>
        <v>1.14868566764928</v>
      </c>
      <c r="S230" s="726">
        <f t="shared" ca="1" si="98"/>
        <v>1.1716593810022657</v>
      </c>
      <c r="T230" s="726">
        <f t="shared" ca="1" si="98"/>
        <v>1.1950925686223111</v>
      </c>
      <c r="U230" s="726">
        <f t="shared" ca="1" si="98"/>
        <v>1.2189944199947573</v>
      </c>
      <c r="V230" s="726">
        <f t="shared" ca="1" si="98"/>
        <v>1.2433743083946525</v>
      </c>
      <c r="W230" s="726">
        <f t="shared" ca="1" si="98"/>
        <v>1.2682417945625455</v>
      </c>
      <c r="X230" s="726">
        <f t="shared" ca="1" si="98"/>
        <v>1.2936066304537963</v>
      </c>
      <c r="Y230" s="726">
        <f t="shared" ca="1" si="98"/>
        <v>1.3194787630628724</v>
      </c>
      <c r="Z230" s="726">
        <f t="shared" ca="1" si="98"/>
        <v>1.3458683383241299</v>
      </c>
      <c r="AA230" s="726">
        <f t="shared" ca="1" si="98"/>
        <v>1.3727857050906125</v>
      </c>
      <c r="AB230" s="726">
        <f t="shared" ca="1" si="98"/>
        <v>1.4002414191924248</v>
      </c>
      <c r="AC230" s="726">
        <f t="shared" ca="1" si="98"/>
        <v>1.4282462475762734</v>
      </c>
      <c r="AD230" s="726">
        <f t="shared" ca="1" si="98"/>
        <v>1.4568111725277988</v>
      </c>
      <c r="AE230" s="726">
        <f t="shared" ca="1" si="98"/>
        <v>1.4859473959783549</v>
      </c>
      <c r="AF230" s="726">
        <f t="shared" ca="1" si="98"/>
        <v>1.5156663438979221</v>
      </c>
      <c r="AG230" s="726">
        <f t="shared" ca="1" si="98"/>
        <v>1.5459796707758806</v>
      </c>
      <c r="AH230" s="726">
        <f t="shared" ca="1" si="98"/>
        <v>1.5768992641913981</v>
      </c>
      <c r="AI230" s="726">
        <f t="shared" ca="1" si="98"/>
        <v>1.6084372494752261</v>
      </c>
      <c r="AJ230" s="726">
        <f t="shared" ca="1" si="98"/>
        <v>1.6406059944647307</v>
      </c>
      <c r="AK230" s="726">
        <f t="shared" ca="1" si="98"/>
        <v>1.6734181143540252</v>
      </c>
      <c r="AL230" s="726">
        <f t="shared" ca="1" si="98"/>
        <v>1.7068864766411058</v>
      </c>
      <c r="AM230" s="726">
        <f t="shared" ca="1" si="98"/>
        <v>1.7410242061739281</v>
      </c>
      <c r="AN230" s="726">
        <f t="shared" ca="1" si="98"/>
        <v>1.7758446902974065</v>
      </c>
      <c r="AO230" s="726">
        <f t="shared" ca="1" si="98"/>
        <v>1.8113615841033548</v>
      </c>
      <c r="AP230" s="726">
        <f t="shared" ca="1" si="98"/>
        <v>1.8475888157854219</v>
      </c>
      <c r="AQ230" s="726">
        <f t="shared" ca="1" si="98"/>
        <v>1.8845405921011305</v>
      </c>
      <c r="AR230" s="726">
        <f t="shared" ca="1" si="98"/>
        <v>1</v>
      </c>
      <c r="AS230" s="726">
        <f t="shared" ca="1" si="98"/>
        <v>1</v>
      </c>
      <c r="AT230" s="726">
        <f t="shared" ca="1" si="98"/>
        <v>1</v>
      </c>
      <c r="AU230" s="726">
        <f t="shared" ca="1" si="98"/>
        <v>1</v>
      </c>
      <c r="AV230" s="726">
        <f t="shared" ca="1" si="98"/>
        <v>1</v>
      </c>
      <c r="AW230" s="726">
        <f t="shared" ca="1" si="98"/>
        <v>1</v>
      </c>
      <c r="AX230" s="726">
        <f t="shared" ca="1" si="98"/>
        <v>1</v>
      </c>
    </row>
    <row r="231" spans="1:50" ht="15" customHeight="1" x14ac:dyDescent="0.25">
      <c r="A231" s="86"/>
      <c r="B231" s="175"/>
      <c r="C231" s="88"/>
      <c r="D231" s="162"/>
      <c r="E231" s="55"/>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5"/>
      <c r="AU231" s="55"/>
      <c r="AV231" s="55"/>
      <c r="AW231" s="55"/>
      <c r="AX231" s="55"/>
    </row>
    <row r="232" spans="1:50" ht="15" customHeight="1" x14ac:dyDescent="0.25">
      <c r="A232" s="86"/>
      <c r="B232" s="205"/>
      <c r="C232" s="88"/>
      <c r="D232" s="162"/>
      <c r="E232" s="52" t="str">
        <f xml:space="preserve"> E217</f>
        <v>Oil price realized from sales, after ELT</v>
      </c>
      <c r="F232" s="56"/>
      <c r="G232" s="52" t="str">
        <f xml:space="preserve"> Inputs!F55</f>
        <v>US$ / bbl</v>
      </c>
      <c r="H232" s="52"/>
      <c r="I232" s="89"/>
      <c r="J232" s="52"/>
      <c r="K232" s="55">
        <f t="shared" ref="K232:AX232" ca="1" si="99" xml:space="preserve"> K217 * K230</f>
        <v>55</v>
      </c>
      <c r="L232" s="55">
        <f t="shared" ca="1" si="99"/>
        <v>56.1</v>
      </c>
      <c r="M232" s="55">
        <f t="shared" ca="1" si="99"/>
        <v>57.222000000000001</v>
      </c>
      <c r="N232" s="55">
        <f t="shared" ca="1" si="99"/>
        <v>58.366439999999997</v>
      </c>
      <c r="O232" s="55">
        <f t="shared" ca="1" si="99"/>
        <v>59.533768799999997</v>
      </c>
      <c r="P232" s="55">
        <f t="shared" ca="1" si="99"/>
        <v>60.724444175999999</v>
      </c>
      <c r="Q232" s="55">
        <f t="shared" ca="1" si="99"/>
        <v>61.938933059520004</v>
      </c>
      <c r="R232" s="55">
        <f t="shared" ca="1" si="99"/>
        <v>63.177711720710406</v>
      </c>
      <c r="S232" s="55">
        <f t="shared" ca="1" si="99"/>
        <v>64.441265955124621</v>
      </c>
      <c r="T232" s="55">
        <f t="shared" ca="1" si="99"/>
        <v>65.730091274227107</v>
      </c>
      <c r="U232" s="55">
        <f t="shared" ca="1" si="99"/>
        <v>67.044693099711651</v>
      </c>
      <c r="V232" s="55">
        <f t="shared" ca="1" si="99"/>
        <v>68.385586961705883</v>
      </c>
      <c r="W232" s="55">
        <f t="shared" ca="1" si="99"/>
        <v>69.753298700940007</v>
      </c>
      <c r="X232" s="55">
        <f t="shared" ca="1" si="99"/>
        <v>71.148364674958799</v>
      </c>
      <c r="Y232" s="55">
        <f t="shared" ca="1" si="99"/>
        <v>72.571331968457983</v>
      </c>
      <c r="Z232" s="55">
        <f t="shared" ca="1" si="99"/>
        <v>74.022758607827143</v>
      </c>
      <c r="AA232" s="55">
        <f t="shared" ca="1" si="99"/>
        <v>75.503213779983682</v>
      </c>
      <c r="AB232" s="55">
        <f t="shared" ca="1" si="99"/>
        <v>77.01327805558337</v>
      </c>
      <c r="AC232" s="55">
        <f t="shared" ca="1" si="99"/>
        <v>78.553543616695038</v>
      </c>
      <c r="AD232" s="55">
        <f t="shared" ca="1" si="99"/>
        <v>80.124614489028929</v>
      </c>
      <c r="AE232" s="55">
        <f t="shared" ca="1" si="99"/>
        <v>81.727106778809514</v>
      </c>
      <c r="AF232" s="55">
        <f t="shared" ca="1" si="99"/>
        <v>83.361648914385711</v>
      </c>
      <c r="AG232" s="55">
        <f t="shared" ca="1" si="99"/>
        <v>85.028881892673439</v>
      </c>
      <c r="AH232" s="55">
        <f t="shared" ca="1" si="99"/>
        <v>86.729459530526896</v>
      </c>
      <c r="AI232" s="55">
        <f t="shared" ca="1" si="99"/>
        <v>88.464048721137445</v>
      </c>
      <c r="AJ232" s="55">
        <f t="shared" ca="1" si="99"/>
        <v>90.233329695560187</v>
      </c>
      <c r="AK232" s="55">
        <f t="shared" ca="1" si="99"/>
        <v>92.03799628947138</v>
      </c>
      <c r="AL232" s="55">
        <f t="shared" ca="1" si="99"/>
        <v>93.878756215260822</v>
      </c>
      <c r="AM232" s="55">
        <f t="shared" ca="1" si="99"/>
        <v>95.756331339566046</v>
      </c>
      <c r="AN232" s="55">
        <f t="shared" ca="1" si="99"/>
        <v>97.671457966357366</v>
      </c>
      <c r="AO232" s="55">
        <f t="shared" ca="1" si="99"/>
        <v>99.624887125684509</v>
      </c>
      <c r="AP232" s="55">
        <f t="shared" ca="1" si="99"/>
        <v>0</v>
      </c>
      <c r="AQ232" s="55">
        <f t="shared" ca="1" si="99"/>
        <v>0</v>
      </c>
      <c r="AR232" s="55">
        <f t="shared" ca="1" si="99"/>
        <v>0</v>
      </c>
      <c r="AS232" s="55">
        <f t="shared" ca="1" si="99"/>
        <v>0</v>
      </c>
      <c r="AT232" s="55">
        <f t="shared" ca="1" si="99"/>
        <v>0</v>
      </c>
      <c r="AU232" s="55">
        <f t="shared" ca="1" si="99"/>
        <v>0</v>
      </c>
      <c r="AV232" s="55">
        <f t="shared" ca="1" si="99"/>
        <v>0</v>
      </c>
      <c r="AW232" s="55">
        <f t="shared" ca="1" si="99"/>
        <v>0</v>
      </c>
      <c r="AX232" s="55">
        <f t="shared" ca="1" si="99"/>
        <v>0</v>
      </c>
    </row>
    <row r="233" spans="1:50" ht="15" customHeight="1" x14ac:dyDescent="0.25">
      <c r="A233" s="86"/>
      <c r="B233" s="205"/>
      <c r="C233" s="88"/>
      <c r="D233" s="162"/>
      <c r="E233" s="52"/>
      <c r="F233" s="56"/>
      <c r="G233" s="52"/>
      <c r="H233" s="52"/>
      <c r="I233" s="89"/>
      <c r="J233" s="52"/>
      <c r="K233" s="208"/>
      <c r="L233" s="208"/>
      <c r="M233" s="208"/>
      <c r="N233" s="208"/>
      <c r="O233" s="208"/>
      <c r="P233" s="208"/>
      <c r="Q233" s="208"/>
      <c r="R233" s="208"/>
      <c r="S233" s="208"/>
      <c r="T233" s="208"/>
      <c r="U233" s="208"/>
      <c r="V233" s="208"/>
      <c r="W233" s="208"/>
      <c r="X233" s="208"/>
      <c r="Y233" s="208"/>
      <c r="Z233" s="208"/>
      <c r="AA233" s="208"/>
      <c r="AB233" s="208"/>
      <c r="AC233" s="208"/>
      <c r="AD233" s="208"/>
      <c r="AE233" s="208"/>
      <c r="AF233" s="208"/>
      <c r="AG233" s="208"/>
      <c r="AH233" s="208"/>
      <c r="AI233" s="208"/>
      <c r="AJ233" s="208"/>
      <c r="AK233" s="208"/>
      <c r="AL233" s="208"/>
      <c r="AM233" s="208"/>
      <c r="AN233" s="208"/>
      <c r="AO233" s="208"/>
      <c r="AP233" s="208"/>
      <c r="AQ233" s="208"/>
      <c r="AR233" s="208"/>
      <c r="AS233" s="208"/>
      <c r="AT233" s="208"/>
      <c r="AU233" s="208"/>
      <c r="AV233" s="208"/>
      <c r="AW233" s="208"/>
      <c r="AX233" s="208"/>
    </row>
    <row r="234" spans="1:50" ht="15" customHeight="1" x14ac:dyDescent="0.25">
      <c r="A234" s="206"/>
      <c r="B234" s="206"/>
      <c r="C234" s="328"/>
      <c r="D234" s="329" t="str">
        <f>Translate!E529</f>
        <v>add</v>
      </c>
      <c r="E234" s="176" t="str">
        <f xml:space="preserve"> E$219</f>
        <v>Oil revenues gross, after ELT</v>
      </c>
      <c r="F234" s="176"/>
      <c r="G234" s="176" t="str">
        <f xml:space="preserve"> Translate!E$603</f>
        <v>US$ mn</v>
      </c>
      <c r="H234" s="176"/>
      <c r="I234" s="176">
        <f ca="1" xml:space="preserve"> SUM(K234:AX234)</f>
        <v>57168.543518412531</v>
      </c>
      <c r="J234" s="176"/>
      <c r="K234" s="176">
        <f t="shared" ref="K234:AX234" ca="1" si="100" xml:space="preserve"> K219 * K$230</f>
        <v>0</v>
      </c>
      <c r="L234" s="176">
        <f t="shared" ca="1" si="100"/>
        <v>0</v>
      </c>
      <c r="M234" s="176">
        <f t="shared" ca="1" si="100"/>
        <v>0</v>
      </c>
      <c r="N234" s="176">
        <f t="shared" ca="1" si="100"/>
        <v>0</v>
      </c>
      <c r="O234" s="176">
        <f t="shared" ca="1" si="100"/>
        <v>207.45717060984819</v>
      </c>
      <c r="P234" s="176">
        <f t="shared" ca="1" si="100"/>
        <v>1662.331659318</v>
      </c>
      <c r="Q234" s="176">
        <f t="shared" ca="1" si="100"/>
        <v>3391.1565850087204</v>
      </c>
      <c r="R234" s="176">
        <f t="shared" ca="1" si="100"/>
        <v>3458.9797167088946</v>
      </c>
      <c r="S234" s="176">
        <f t="shared" ca="1" si="100"/>
        <v>3528.1593110430726</v>
      </c>
      <c r="T234" s="176">
        <f t="shared" ca="1" si="100"/>
        <v>3598.7224972639342</v>
      </c>
      <c r="U234" s="176">
        <f t="shared" ca="1" si="100"/>
        <v>3670.6969472092128</v>
      </c>
      <c r="V234" s="176">
        <f t="shared" ca="1" si="100"/>
        <v>3744.1108861533971</v>
      </c>
      <c r="W234" s="176">
        <f t="shared" ca="1" si="100"/>
        <v>3818.9931038764653</v>
      </c>
      <c r="X234" s="176">
        <f t="shared" ca="1" si="100"/>
        <v>3895.372965953994</v>
      </c>
      <c r="Y234" s="176">
        <f t="shared" ca="1" si="100"/>
        <v>3973.2804252730743</v>
      </c>
      <c r="Z234" s="176">
        <f t="shared" ca="1" si="100"/>
        <v>4052.746033778536</v>
      </c>
      <c r="AA234" s="176">
        <f t="shared" ca="1" si="100"/>
        <v>3348.3787731078273</v>
      </c>
      <c r="AB234" s="176">
        <f t="shared" ca="1" si="100"/>
        <v>2766.4305423416872</v>
      </c>
      <c r="AC234" s="176">
        <f t="shared" ca="1" si="100"/>
        <v>2285.6249140827022</v>
      </c>
      <c r="AD234" s="176">
        <f t="shared" ca="1" si="100"/>
        <v>1888.3833040151289</v>
      </c>
      <c r="AE234" s="176">
        <f t="shared" ca="1" si="100"/>
        <v>1560.1822857772995</v>
      </c>
      <c r="AF234" s="176">
        <f t="shared" ca="1" si="100"/>
        <v>1289.0226045092052</v>
      </c>
      <c r="AG234" s="176">
        <f t="shared" ca="1" si="100"/>
        <v>1064.9904758455054</v>
      </c>
      <c r="AH234" s="176">
        <f t="shared" ca="1" si="100"/>
        <v>879.89513114355657</v>
      </c>
      <c r="AI234" s="176">
        <f t="shared" ca="1" si="100"/>
        <v>726.9693573508066</v>
      </c>
      <c r="AJ234" s="176">
        <f t="shared" ca="1" si="100"/>
        <v>600.62208304323633</v>
      </c>
      <c r="AK234" s="176">
        <f t="shared" ca="1" si="100"/>
        <v>496.23396501032192</v>
      </c>
      <c r="AL234" s="176">
        <f t="shared" ca="1" si="100"/>
        <v>409.9885018915279</v>
      </c>
      <c r="AM234" s="176">
        <f t="shared" ca="1" si="100"/>
        <v>338.73250026278043</v>
      </c>
      <c r="AN234" s="176">
        <f t="shared" ca="1" si="100"/>
        <v>279.86079171710918</v>
      </c>
      <c r="AO234" s="176">
        <f t="shared" ca="1" si="100"/>
        <v>231.22098611667568</v>
      </c>
      <c r="AP234" s="176">
        <f t="shared" ca="1" si="100"/>
        <v>0</v>
      </c>
      <c r="AQ234" s="176">
        <f t="shared" ca="1" si="100"/>
        <v>0</v>
      </c>
      <c r="AR234" s="176">
        <f t="shared" ca="1" si="100"/>
        <v>0</v>
      </c>
      <c r="AS234" s="176">
        <f t="shared" ca="1" si="100"/>
        <v>0</v>
      </c>
      <c r="AT234" s="176">
        <f t="shared" ca="1" si="100"/>
        <v>0</v>
      </c>
      <c r="AU234" s="176">
        <f t="shared" ca="1" si="100"/>
        <v>0</v>
      </c>
      <c r="AV234" s="176">
        <f t="shared" ca="1" si="100"/>
        <v>0</v>
      </c>
      <c r="AW234" s="176">
        <f t="shared" ca="1" si="100"/>
        <v>0</v>
      </c>
      <c r="AX234" s="176">
        <f t="shared" ca="1" si="100"/>
        <v>0</v>
      </c>
    </row>
    <row r="235" spans="1:50" ht="15" customHeight="1" x14ac:dyDescent="0.25">
      <c r="A235" s="206"/>
      <c r="B235" s="206"/>
      <c r="C235" s="328"/>
      <c r="D235" s="329" t="str">
        <f>Translate!E530</f>
        <v>less</v>
      </c>
      <c r="E235" s="176" t="str">
        <f xml:space="preserve"> E$220</f>
        <v>Transport costs post-fiscal point, after ELT</v>
      </c>
      <c r="F235" s="176"/>
      <c r="G235" s="176" t="str">
        <f xml:space="preserve"> Translate!E$603</f>
        <v>US$ mn</v>
      </c>
      <c r="H235" s="176"/>
      <c r="I235" s="176">
        <f ca="1" xml:space="preserve"> SUM(K235:AX235)</f>
        <v>0</v>
      </c>
      <c r="J235" s="176"/>
      <c r="K235" s="176">
        <f t="shared" ref="K235:AX235" ca="1" si="101" xml:space="preserve"> K220 * K$230</f>
        <v>0</v>
      </c>
      <c r="L235" s="176">
        <f t="shared" ca="1" si="101"/>
        <v>0</v>
      </c>
      <c r="M235" s="176">
        <f t="shared" ca="1" si="101"/>
        <v>0</v>
      </c>
      <c r="N235" s="176">
        <f t="shared" ca="1" si="101"/>
        <v>0</v>
      </c>
      <c r="O235" s="176">
        <f t="shared" ca="1" si="101"/>
        <v>0</v>
      </c>
      <c r="P235" s="176">
        <f t="shared" ca="1" si="101"/>
        <v>0</v>
      </c>
      <c r="Q235" s="176">
        <f t="shared" ca="1" si="101"/>
        <v>0</v>
      </c>
      <c r="R235" s="176">
        <f t="shared" ca="1" si="101"/>
        <v>0</v>
      </c>
      <c r="S235" s="176">
        <f t="shared" ca="1" si="101"/>
        <v>0</v>
      </c>
      <c r="T235" s="176">
        <f t="shared" ca="1" si="101"/>
        <v>0</v>
      </c>
      <c r="U235" s="176">
        <f t="shared" ca="1" si="101"/>
        <v>0</v>
      </c>
      <c r="V235" s="176">
        <f t="shared" ca="1" si="101"/>
        <v>0</v>
      </c>
      <c r="W235" s="176">
        <f t="shared" ca="1" si="101"/>
        <v>0</v>
      </c>
      <c r="X235" s="176">
        <f t="shared" ca="1" si="101"/>
        <v>0</v>
      </c>
      <c r="Y235" s="176">
        <f t="shared" ca="1" si="101"/>
        <v>0</v>
      </c>
      <c r="Z235" s="176">
        <f t="shared" ca="1" si="101"/>
        <v>0</v>
      </c>
      <c r="AA235" s="176">
        <f t="shared" ca="1" si="101"/>
        <v>0</v>
      </c>
      <c r="AB235" s="176">
        <f t="shared" ca="1" si="101"/>
        <v>0</v>
      </c>
      <c r="AC235" s="176">
        <f t="shared" ca="1" si="101"/>
        <v>0</v>
      </c>
      <c r="AD235" s="176">
        <f t="shared" ca="1" si="101"/>
        <v>0</v>
      </c>
      <c r="AE235" s="176">
        <f t="shared" ca="1" si="101"/>
        <v>0</v>
      </c>
      <c r="AF235" s="176">
        <f t="shared" ca="1" si="101"/>
        <v>0</v>
      </c>
      <c r="AG235" s="176">
        <f t="shared" ca="1" si="101"/>
        <v>0</v>
      </c>
      <c r="AH235" s="176">
        <f t="shared" ca="1" si="101"/>
        <v>0</v>
      </c>
      <c r="AI235" s="176">
        <f t="shared" ca="1" si="101"/>
        <v>0</v>
      </c>
      <c r="AJ235" s="176">
        <f t="shared" ca="1" si="101"/>
        <v>0</v>
      </c>
      <c r="AK235" s="176">
        <f t="shared" ca="1" si="101"/>
        <v>0</v>
      </c>
      <c r="AL235" s="176">
        <f t="shared" ca="1" si="101"/>
        <v>0</v>
      </c>
      <c r="AM235" s="176">
        <f t="shared" ca="1" si="101"/>
        <v>0</v>
      </c>
      <c r="AN235" s="176">
        <f t="shared" ca="1" si="101"/>
        <v>0</v>
      </c>
      <c r="AO235" s="176">
        <f t="shared" ca="1" si="101"/>
        <v>0</v>
      </c>
      <c r="AP235" s="176">
        <f t="shared" ca="1" si="101"/>
        <v>0</v>
      </c>
      <c r="AQ235" s="176">
        <f t="shared" ca="1" si="101"/>
        <v>0</v>
      </c>
      <c r="AR235" s="176">
        <f t="shared" ca="1" si="101"/>
        <v>0</v>
      </c>
      <c r="AS235" s="176">
        <f t="shared" ca="1" si="101"/>
        <v>0</v>
      </c>
      <c r="AT235" s="176">
        <f t="shared" ca="1" si="101"/>
        <v>0</v>
      </c>
      <c r="AU235" s="176">
        <f t="shared" ca="1" si="101"/>
        <v>0</v>
      </c>
      <c r="AV235" s="176">
        <f t="shared" ca="1" si="101"/>
        <v>0</v>
      </c>
      <c r="AW235" s="176">
        <f t="shared" ca="1" si="101"/>
        <v>0</v>
      </c>
      <c r="AX235" s="176">
        <f t="shared" ca="1" si="101"/>
        <v>0</v>
      </c>
    </row>
    <row r="236" spans="1:50" s="485" customFormat="1" ht="15" customHeight="1" x14ac:dyDescent="0.25">
      <c r="A236" s="499"/>
      <c r="B236" s="499"/>
      <c r="C236" s="516"/>
      <c r="D236" s="499"/>
      <c r="E236" s="499" t="str">
        <f>Translate!E669</f>
        <v>Net revenues after ELT</v>
      </c>
      <c r="F236" s="499"/>
      <c r="G236" s="499" t="str">
        <f xml:space="preserve"> Translate!E$603</f>
        <v>US$ mn</v>
      </c>
      <c r="H236" s="499"/>
      <c r="I236" s="499">
        <f ca="1" xml:space="preserve"> SUM(K236:AX236)</f>
        <v>57168.543518412531</v>
      </c>
      <c r="J236" s="499"/>
      <c r="K236" s="499">
        <f t="shared" ref="K236:AX236" ca="1" si="102" xml:space="preserve"> K234 - K235</f>
        <v>0</v>
      </c>
      <c r="L236" s="499">
        <f t="shared" ca="1" si="102"/>
        <v>0</v>
      </c>
      <c r="M236" s="499">
        <f t="shared" ca="1" si="102"/>
        <v>0</v>
      </c>
      <c r="N236" s="499">
        <f t="shared" ca="1" si="102"/>
        <v>0</v>
      </c>
      <c r="O236" s="499">
        <f t="shared" ca="1" si="102"/>
        <v>207.45717060984819</v>
      </c>
      <c r="P236" s="499">
        <f t="shared" ca="1" si="102"/>
        <v>1662.331659318</v>
      </c>
      <c r="Q236" s="499">
        <f t="shared" ca="1" si="102"/>
        <v>3391.1565850087204</v>
      </c>
      <c r="R236" s="499">
        <f t="shared" ca="1" si="102"/>
        <v>3458.9797167088946</v>
      </c>
      <c r="S236" s="499">
        <f t="shared" ca="1" si="102"/>
        <v>3528.1593110430726</v>
      </c>
      <c r="T236" s="499">
        <f t="shared" ca="1" si="102"/>
        <v>3598.7224972639342</v>
      </c>
      <c r="U236" s="499">
        <f t="shared" ca="1" si="102"/>
        <v>3670.6969472092128</v>
      </c>
      <c r="V236" s="499">
        <f t="shared" ca="1" si="102"/>
        <v>3744.1108861533971</v>
      </c>
      <c r="W236" s="499">
        <f t="shared" ca="1" si="102"/>
        <v>3818.9931038764653</v>
      </c>
      <c r="X236" s="499">
        <f t="shared" ca="1" si="102"/>
        <v>3895.372965953994</v>
      </c>
      <c r="Y236" s="499">
        <f t="shared" ca="1" si="102"/>
        <v>3973.2804252730743</v>
      </c>
      <c r="Z236" s="499">
        <f t="shared" ca="1" si="102"/>
        <v>4052.746033778536</v>
      </c>
      <c r="AA236" s="499">
        <f t="shared" ca="1" si="102"/>
        <v>3348.3787731078273</v>
      </c>
      <c r="AB236" s="499">
        <f t="shared" ca="1" si="102"/>
        <v>2766.4305423416872</v>
      </c>
      <c r="AC236" s="499">
        <f t="shared" ca="1" si="102"/>
        <v>2285.6249140827022</v>
      </c>
      <c r="AD236" s="499">
        <f t="shared" ca="1" si="102"/>
        <v>1888.3833040151289</v>
      </c>
      <c r="AE236" s="499">
        <f t="shared" ca="1" si="102"/>
        <v>1560.1822857772995</v>
      </c>
      <c r="AF236" s="499">
        <f t="shared" ca="1" si="102"/>
        <v>1289.0226045092052</v>
      </c>
      <c r="AG236" s="499">
        <f t="shared" ca="1" si="102"/>
        <v>1064.9904758455054</v>
      </c>
      <c r="AH236" s="499">
        <f t="shared" ca="1" si="102"/>
        <v>879.89513114355657</v>
      </c>
      <c r="AI236" s="499">
        <f t="shared" ca="1" si="102"/>
        <v>726.9693573508066</v>
      </c>
      <c r="AJ236" s="499">
        <f t="shared" ca="1" si="102"/>
        <v>600.62208304323633</v>
      </c>
      <c r="AK236" s="499">
        <f t="shared" ca="1" si="102"/>
        <v>496.23396501032192</v>
      </c>
      <c r="AL236" s="499">
        <f t="shared" ca="1" si="102"/>
        <v>409.9885018915279</v>
      </c>
      <c r="AM236" s="499">
        <f t="shared" ca="1" si="102"/>
        <v>338.73250026278043</v>
      </c>
      <c r="AN236" s="499">
        <f t="shared" ca="1" si="102"/>
        <v>279.86079171710918</v>
      </c>
      <c r="AO236" s="499">
        <f t="shared" ca="1" si="102"/>
        <v>231.22098611667568</v>
      </c>
      <c r="AP236" s="499">
        <f t="shared" ca="1" si="102"/>
        <v>0</v>
      </c>
      <c r="AQ236" s="499">
        <f t="shared" ca="1" si="102"/>
        <v>0</v>
      </c>
      <c r="AR236" s="499">
        <f t="shared" ca="1" si="102"/>
        <v>0</v>
      </c>
      <c r="AS236" s="499">
        <f t="shared" ca="1" si="102"/>
        <v>0</v>
      </c>
      <c r="AT236" s="499">
        <f t="shared" ca="1" si="102"/>
        <v>0</v>
      </c>
      <c r="AU236" s="499">
        <f t="shared" ca="1" si="102"/>
        <v>0</v>
      </c>
      <c r="AV236" s="499">
        <f t="shared" ca="1" si="102"/>
        <v>0</v>
      </c>
      <c r="AW236" s="499">
        <f t="shared" ca="1" si="102"/>
        <v>0</v>
      </c>
      <c r="AX236" s="499">
        <f t="shared" ca="1" si="102"/>
        <v>0</v>
      </c>
    </row>
    <row r="237" spans="1:50" ht="15" customHeight="1" x14ac:dyDescent="0.25">
      <c r="A237" s="241"/>
      <c r="B237" s="48"/>
      <c r="C237" s="146"/>
      <c r="D237" s="55"/>
      <c r="E237" s="190"/>
      <c r="F237" s="55"/>
      <c r="G237" s="190"/>
      <c r="H237" s="190"/>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5"/>
      <c r="AU237" s="55"/>
      <c r="AV237" s="55"/>
      <c r="AW237" s="55"/>
      <c r="AX237" s="55"/>
    </row>
    <row r="238" spans="1:50" ht="15" customHeight="1" x14ac:dyDescent="0.25">
      <c r="A238" s="206"/>
      <c r="B238" s="206"/>
      <c r="C238" s="328"/>
      <c r="D238" s="176"/>
      <c r="E238" s="176" t="str">
        <f xml:space="preserve"> E$222</f>
        <v>Exploration costs, after ELT</v>
      </c>
      <c r="F238" s="176"/>
      <c r="G238" s="176" t="str">
        <f xml:space="preserve"> Translate!E$603</f>
        <v>US$ mn</v>
      </c>
      <c r="H238" s="176"/>
      <c r="I238" s="176">
        <f t="shared" ref="I238:I243" ca="1" si="103" xml:space="preserve"> SUM(K238:AX238)</f>
        <v>420</v>
      </c>
      <c r="J238" s="176"/>
      <c r="K238" s="176">
        <f t="shared" ref="K238:AX238" ca="1" si="104" xml:space="preserve"> K222 * K$230</f>
        <v>420</v>
      </c>
      <c r="L238" s="176">
        <f t="shared" ca="1" si="104"/>
        <v>0</v>
      </c>
      <c r="M238" s="176">
        <f t="shared" ca="1" si="104"/>
        <v>0</v>
      </c>
      <c r="N238" s="176">
        <f t="shared" ca="1" si="104"/>
        <v>0</v>
      </c>
      <c r="O238" s="176">
        <f t="shared" ca="1" si="104"/>
        <v>0</v>
      </c>
      <c r="P238" s="176">
        <f t="shared" ca="1" si="104"/>
        <v>0</v>
      </c>
      <c r="Q238" s="176">
        <f t="shared" ca="1" si="104"/>
        <v>0</v>
      </c>
      <c r="R238" s="176">
        <f t="shared" ca="1" si="104"/>
        <v>0</v>
      </c>
      <c r="S238" s="176">
        <f t="shared" ca="1" si="104"/>
        <v>0</v>
      </c>
      <c r="T238" s="176">
        <f t="shared" ca="1" si="104"/>
        <v>0</v>
      </c>
      <c r="U238" s="176">
        <f t="shared" ca="1" si="104"/>
        <v>0</v>
      </c>
      <c r="V238" s="176">
        <f t="shared" ca="1" si="104"/>
        <v>0</v>
      </c>
      <c r="W238" s="176">
        <f t="shared" ca="1" si="104"/>
        <v>0</v>
      </c>
      <c r="X238" s="176">
        <f t="shared" ca="1" si="104"/>
        <v>0</v>
      </c>
      <c r="Y238" s="176">
        <f t="shared" ca="1" si="104"/>
        <v>0</v>
      </c>
      <c r="Z238" s="176">
        <f t="shared" ca="1" si="104"/>
        <v>0</v>
      </c>
      <c r="AA238" s="176">
        <f t="shared" ca="1" si="104"/>
        <v>0</v>
      </c>
      <c r="AB238" s="176">
        <f t="shared" ca="1" si="104"/>
        <v>0</v>
      </c>
      <c r="AC238" s="176">
        <f t="shared" ca="1" si="104"/>
        <v>0</v>
      </c>
      <c r="AD238" s="176">
        <f t="shared" ca="1" si="104"/>
        <v>0</v>
      </c>
      <c r="AE238" s="176">
        <f t="shared" ca="1" si="104"/>
        <v>0</v>
      </c>
      <c r="AF238" s="176">
        <f t="shared" ca="1" si="104"/>
        <v>0</v>
      </c>
      <c r="AG238" s="176">
        <f t="shared" ca="1" si="104"/>
        <v>0</v>
      </c>
      <c r="AH238" s="176">
        <f t="shared" ca="1" si="104"/>
        <v>0</v>
      </c>
      <c r="AI238" s="176">
        <f t="shared" ca="1" si="104"/>
        <v>0</v>
      </c>
      <c r="AJ238" s="176">
        <f t="shared" ca="1" si="104"/>
        <v>0</v>
      </c>
      <c r="AK238" s="176">
        <f t="shared" ca="1" si="104"/>
        <v>0</v>
      </c>
      <c r="AL238" s="176">
        <f t="shared" ca="1" si="104"/>
        <v>0</v>
      </c>
      <c r="AM238" s="176">
        <f t="shared" ca="1" si="104"/>
        <v>0</v>
      </c>
      <c r="AN238" s="176">
        <f t="shared" ca="1" si="104"/>
        <v>0</v>
      </c>
      <c r="AO238" s="176">
        <f t="shared" ca="1" si="104"/>
        <v>0</v>
      </c>
      <c r="AP238" s="176">
        <f t="shared" ca="1" si="104"/>
        <v>0</v>
      </c>
      <c r="AQ238" s="176">
        <f t="shared" ca="1" si="104"/>
        <v>0</v>
      </c>
      <c r="AR238" s="176">
        <f t="shared" ca="1" si="104"/>
        <v>0</v>
      </c>
      <c r="AS238" s="176">
        <f t="shared" ca="1" si="104"/>
        <v>0</v>
      </c>
      <c r="AT238" s="176">
        <f t="shared" ca="1" si="104"/>
        <v>0</v>
      </c>
      <c r="AU238" s="176">
        <f t="shared" ca="1" si="104"/>
        <v>0</v>
      </c>
      <c r="AV238" s="176">
        <f t="shared" ca="1" si="104"/>
        <v>0</v>
      </c>
      <c r="AW238" s="176">
        <f t="shared" ca="1" si="104"/>
        <v>0</v>
      </c>
      <c r="AX238" s="176">
        <f t="shared" ca="1" si="104"/>
        <v>0</v>
      </c>
    </row>
    <row r="239" spans="1:50" ht="15" customHeight="1" x14ac:dyDescent="0.25">
      <c r="A239" s="206"/>
      <c r="B239" s="206"/>
      <c r="C239" s="328"/>
      <c r="D239" s="176"/>
      <c r="E239" s="176" t="str">
        <f xml:space="preserve"> E$223</f>
        <v>Development costs, after ELT</v>
      </c>
      <c r="F239" s="176"/>
      <c r="G239" s="176" t="str">
        <f xml:space="preserve"> Translate!E$603</f>
        <v>US$ mn</v>
      </c>
      <c r="H239" s="176"/>
      <c r="I239" s="176">
        <f t="shared" ca="1" si="103"/>
        <v>10455.572281430788</v>
      </c>
      <c r="J239" s="206"/>
      <c r="K239" s="176">
        <f t="shared" ref="K239:AX239" ca="1" si="105" xml:space="preserve"> K223 * K$230</f>
        <v>0</v>
      </c>
      <c r="L239" s="176">
        <f t="shared" ca="1" si="105"/>
        <v>51</v>
      </c>
      <c r="M239" s="176">
        <f t="shared" ca="1" si="105"/>
        <v>312.12</v>
      </c>
      <c r="N239" s="176">
        <f t="shared" ca="1" si="105"/>
        <v>1273.4495999999999</v>
      </c>
      <c r="O239" s="176">
        <f t="shared" ca="1" si="105"/>
        <v>1298.918592</v>
      </c>
      <c r="P239" s="176">
        <f t="shared" ca="1" si="105"/>
        <v>2318.5696867199999</v>
      </c>
      <c r="Q239" s="176">
        <f t="shared" ca="1" si="105"/>
        <v>1238.7786611904</v>
      </c>
      <c r="R239" s="176">
        <f t="shared" ca="1" si="105"/>
        <v>516.90855044217597</v>
      </c>
      <c r="S239" s="176">
        <f t="shared" ca="1" si="105"/>
        <v>292.91484525056643</v>
      </c>
      <c r="T239" s="176">
        <f t="shared" ca="1" si="105"/>
        <v>298.77314215557777</v>
      </c>
      <c r="U239" s="176">
        <f t="shared" ca="1" si="105"/>
        <v>304.74860499868936</v>
      </c>
      <c r="V239" s="176">
        <f t="shared" ca="1" si="105"/>
        <v>310.8435770986631</v>
      </c>
      <c r="W239" s="176">
        <f t="shared" ca="1" si="105"/>
        <v>317.06044864063637</v>
      </c>
      <c r="X239" s="176">
        <f t="shared" ca="1" si="105"/>
        <v>323.40165761344906</v>
      </c>
      <c r="Y239" s="176">
        <f t="shared" ca="1" si="105"/>
        <v>329.86969076571808</v>
      </c>
      <c r="Z239" s="176">
        <f t="shared" ca="1" si="105"/>
        <v>336.46708458103245</v>
      </c>
      <c r="AA239" s="176">
        <f t="shared" ca="1" si="105"/>
        <v>343.19642627265313</v>
      </c>
      <c r="AB239" s="176">
        <f t="shared" ca="1" si="105"/>
        <v>0</v>
      </c>
      <c r="AC239" s="176">
        <f t="shared" ca="1" si="105"/>
        <v>0</v>
      </c>
      <c r="AD239" s="176">
        <f t="shared" ca="1" si="105"/>
        <v>291.36223450555974</v>
      </c>
      <c r="AE239" s="176">
        <f t="shared" ca="1" si="105"/>
        <v>297.18947919567097</v>
      </c>
      <c r="AF239" s="176">
        <f t="shared" ca="1" si="105"/>
        <v>0</v>
      </c>
      <c r="AG239" s="176">
        <f t="shared" ca="1" si="105"/>
        <v>0</v>
      </c>
      <c r="AH239" s="176">
        <f t="shared" ca="1" si="105"/>
        <v>0</v>
      </c>
      <c r="AI239" s="176">
        <f t="shared" ca="1" si="105"/>
        <v>0</v>
      </c>
      <c r="AJ239" s="176">
        <f t="shared" ca="1" si="105"/>
        <v>0</v>
      </c>
      <c r="AK239" s="176">
        <f t="shared" ca="1" si="105"/>
        <v>0</v>
      </c>
      <c r="AL239" s="176">
        <f t="shared" ca="1" si="105"/>
        <v>0</v>
      </c>
      <c r="AM239" s="176">
        <f t="shared" ca="1" si="105"/>
        <v>0</v>
      </c>
      <c r="AN239" s="176">
        <f t="shared" ca="1" si="105"/>
        <v>0</v>
      </c>
      <c r="AO239" s="176">
        <f t="shared" ca="1" si="105"/>
        <v>0</v>
      </c>
      <c r="AP239" s="176">
        <f t="shared" ca="1" si="105"/>
        <v>0</v>
      </c>
      <c r="AQ239" s="176">
        <f t="shared" ca="1" si="105"/>
        <v>0</v>
      </c>
      <c r="AR239" s="176">
        <f t="shared" ca="1" si="105"/>
        <v>0</v>
      </c>
      <c r="AS239" s="176">
        <f t="shared" ca="1" si="105"/>
        <v>0</v>
      </c>
      <c r="AT239" s="176">
        <f t="shared" ca="1" si="105"/>
        <v>0</v>
      </c>
      <c r="AU239" s="176">
        <f t="shared" ca="1" si="105"/>
        <v>0</v>
      </c>
      <c r="AV239" s="176">
        <f t="shared" ca="1" si="105"/>
        <v>0</v>
      </c>
      <c r="AW239" s="176">
        <f t="shared" ca="1" si="105"/>
        <v>0</v>
      </c>
      <c r="AX239" s="176">
        <f t="shared" ca="1" si="105"/>
        <v>0</v>
      </c>
    </row>
    <row r="240" spans="1:50" ht="15" customHeight="1" x14ac:dyDescent="0.25">
      <c r="A240" s="206"/>
      <c r="B240" s="206"/>
      <c r="C240" s="328"/>
      <c r="D240" s="176"/>
      <c r="E240" s="176" t="str">
        <f xml:space="preserve"> E$224</f>
        <v>Replacement capital costs, after ELT</v>
      </c>
      <c r="F240" s="176"/>
      <c r="G240" s="176" t="str">
        <f xml:space="preserve"> Translate!E$603</f>
        <v>US$ mn</v>
      </c>
      <c r="H240" s="176"/>
      <c r="I240" s="176">
        <f t="shared" ca="1" si="103"/>
        <v>0</v>
      </c>
      <c r="J240" s="206"/>
      <c r="K240" s="176">
        <f t="shared" ref="K240:AX240" ca="1" si="106" xml:space="preserve"> K224 * K$230</f>
        <v>0</v>
      </c>
      <c r="L240" s="176">
        <f t="shared" ca="1" si="106"/>
        <v>0</v>
      </c>
      <c r="M240" s="176">
        <f t="shared" ca="1" si="106"/>
        <v>0</v>
      </c>
      <c r="N240" s="176">
        <f t="shared" ca="1" si="106"/>
        <v>0</v>
      </c>
      <c r="O240" s="176">
        <f t="shared" ca="1" si="106"/>
        <v>0</v>
      </c>
      <c r="P240" s="176">
        <f t="shared" ca="1" si="106"/>
        <v>0</v>
      </c>
      <c r="Q240" s="176">
        <f t="shared" ca="1" si="106"/>
        <v>0</v>
      </c>
      <c r="R240" s="176">
        <f t="shared" ca="1" si="106"/>
        <v>0</v>
      </c>
      <c r="S240" s="176">
        <f t="shared" ca="1" si="106"/>
        <v>0</v>
      </c>
      <c r="T240" s="176">
        <f t="shared" ca="1" si="106"/>
        <v>0</v>
      </c>
      <c r="U240" s="176">
        <f t="shared" ca="1" si="106"/>
        <v>0</v>
      </c>
      <c r="V240" s="176">
        <f t="shared" ca="1" si="106"/>
        <v>0</v>
      </c>
      <c r="W240" s="176">
        <f t="shared" ca="1" si="106"/>
        <v>0</v>
      </c>
      <c r="X240" s="176">
        <f t="shared" ca="1" si="106"/>
        <v>0</v>
      </c>
      <c r="Y240" s="176">
        <f t="shared" ca="1" si="106"/>
        <v>0</v>
      </c>
      <c r="Z240" s="176">
        <f t="shared" ca="1" si="106"/>
        <v>0</v>
      </c>
      <c r="AA240" s="176">
        <f t="shared" ca="1" si="106"/>
        <v>0</v>
      </c>
      <c r="AB240" s="176">
        <f t="shared" ca="1" si="106"/>
        <v>0</v>
      </c>
      <c r="AC240" s="176">
        <f t="shared" ca="1" si="106"/>
        <v>0</v>
      </c>
      <c r="AD240" s="176">
        <f t="shared" ca="1" si="106"/>
        <v>0</v>
      </c>
      <c r="AE240" s="176">
        <f t="shared" ca="1" si="106"/>
        <v>0</v>
      </c>
      <c r="AF240" s="176">
        <f t="shared" ca="1" si="106"/>
        <v>0</v>
      </c>
      <c r="AG240" s="176">
        <f t="shared" ca="1" si="106"/>
        <v>0</v>
      </c>
      <c r="AH240" s="176">
        <f t="shared" ca="1" si="106"/>
        <v>0</v>
      </c>
      <c r="AI240" s="176">
        <f t="shared" ca="1" si="106"/>
        <v>0</v>
      </c>
      <c r="AJ240" s="176">
        <f t="shared" ca="1" si="106"/>
        <v>0</v>
      </c>
      <c r="AK240" s="176">
        <f t="shared" ca="1" si="106"/>
        <v>0</v>
      </c>
      <c r="AL240" s="176">
        <f t="shared" ca="1" si="106"/>
        <v>0</v>
      </c>
      <c r="AM240" s="176">
        <f t="shared" ca="1" si="106"/>
        <v>0</v>
      </c>
      <c r="AN240" s="176">
        <f t="shared" ca="1" si="106"/>
        <v>0</v>
      </c>
      <c r="AO240" s="176">
        <f t="shared" ca="1" si="106"/>
        <v>0</v>
      </c>
      <c r="AP240" s="176">
        <f t="shared" ca="1" si="106"/>
        <v>0</v>
      </c>
      <c r="AQ240" s="176">
        <f t="shared" ca="1" si="106"/>
        <v>0</v>
      </c>
      <c r="AR240" s="176">
        <f t="shared" ca="1" si="106"/>
        <v>0</v>
      </c>
      <c r="AS240" s="176">
        <f t="shared" ca="1" si="106"/>
        <v>0</v>
      </c>
      <c r="AT240" s="176">
        <f t="shared" ca="1" si="106"/>
        <v>0</v>
      </c>
      <c r="AU240" s="176">
        <f t="shared" ca="1" si="106"/>
        <v>0</v>
      </c>
      <c r="AV240" s="176">
        <f t="shared" ca="1" si="106"/>
        <v>0</v>
      </c>
      <c r="AW240" s="176">
        <f t="shared" ca="1" si="106"/>
        <v>0</v>
      </c>
      <c r="AX240" s="176">
        <f t="shared" ca="1" si="106"/>
        <v>0</v>
      </c>
    </row>
    <row r="241" spans="1:50" ht="15" customHeight="1" x14ac:dyDescent="0.25">
      <c r="A241" s="206"/>
      <c r="B241" s="206"/>
      <c r="C241" s="328"/>
      <c r="D241" s="176"/>
      <c r="E241" s="176" t="str">
        <f xml:space="preserve"> E$225</f>
        <v>Operating costs, after ELT</v>
      </c>
      <c r="F241" s="206"/>
      <c r="G241" s="176" t="str">
        <f xml:space="preserve"> Translate!E$603</f>
        <v>US$ mn</v>
      </c>
      <c r="H241" s="176"/>
      <c r="I241" s="176">
        <f t="shared" ca="1" si="103"/>
        <v>6159.112593390113</v>
      </c>
      <c r="J241" s="206"/>
      <c r="K241" s="176">
        <f t="shared" ref="K241:AX241" ca="1" si="107" xml:space="preserve"> K225 * K$230</f>
        <v>0</v>
      </c>
      <c r="L241" s="176">
        <f t="shared" ca="1" si="107"/>
        <v>0</v>
      </c>
      <c r="M241" s="176">
        <f t="shared" ca="1" si="107"/>
        <v>0</v>
      </c>
      <c r="N241" s="176">
        <f t="shared" ca="1" si="107"/>
        <v>0</v>
      </c>
      <c r="O241" s="176">
        <f t="shared" ca="1" si="107"/>
        <v>54.121608000000002</v>
      </c>
      <c r="P241" s="176">
        <f t="shared" ca="1" si="107"/>
        <v>198.73454457599999</v>
      </c>
      <c r="Q241" s="176">
        <f t="shared" ca="1" si="107"/>
        <v>292.80222900864004</v>
      </c>
      <c r="R241" s="176">
        <f t="shared" ca="1" si="107"/>
        <v>298.65827358881279</v>
      </c>
      <c r="S241" s="176">
        <f t="shared" ca="1" si="107"/>
        <v>304.63143906058912</v>
      </c>
      <c r="T241" s="176">
        <f t="shared" ca="1" si="107"/>
        <v>310.72406784180089</v>
      </c>
      <c r="U241" s="176">
        <f t="shared" ca="1" si="107"/>
        <v>316.93854919863691</v>
      </c>
      <c r="V241" s="176">
        <f t="shared" ca="1" si="107"/>
        <v>323.27732018260963</v>
      </c>
      <c r="W241" s="176">
        <f t="shared" ca="1" si="107"/>
        <v>329.74286658626181</v>
      </c>
      <c r="X241" s="176">
        <f t="shared" ca="1" si="107"/>
        <v>336.33772391798703</v>
      </c>
      <c r="Y241" s="176">
        <f t="shared" ca="1" si="107"/>
        <v>343.06447839634683</v>
      </c>
      <c r="Z241" s="176">
        <f t="shared" ca="1" si="107"/>
        <v>349.92576796427375</v>
      </c>
      <c r="AA241" s="176">
        <f t="shared" ca="1" si="107"/>
        <v>356.92428332355922</v>
      </c>
      <c r="AB241" s="176">
        <f t="shared" ca="1" si="107"/>
        <v>364.06276899003046</v>
      </c>
      <c r="AC241" s="176">
        <f t="shared" ca="1" si="107"/>
        <v>214.23693713644101</v>
      </c>
      <c r="AD241" s="176">
        <f t="shared" ca="1" si="107"/>
        <v>203.95356415389182</v>
      </c>
      <c r="AE241" s="176">
        <f t="shared" ca="1" si="107"/>
        <v>178.3136875174026</v>
      </c>
      <c r="AF241" s="176">
        <f t="shared" ca="1" si="107"/>
        <v>168.23896417266934</v>
      </c>
      <c r="AG241" s="176">
        <f t="shared" ca="1" si="107"/>
        <v>154.59796707758807</v>
      </c>
      <c r="AH241" s="176">
        <f t="shared" ca="1" si="107"/>
        <v>149.80543009818282</v>
      </c>
      <c r="AI241" s="176">
        <f t="shared" ca="1" si="107"/>
        <v>144.75935245277034</v>
      </c>
      <c r="AJ241" s="176">
        <f t="shared" ca="1" si="107"/>
        <v>139.45150952950212</v>
      </c>
      <c r="AK241" s="176">
        <f t="shared" ca="1" si="107"/>
        <v>133.87344914832201</v>
      </c>
      <c r="AL241" s="176">
        <f t="shared" ca="1" si="107"/>
        <v>128.01648574808294</v>
      </c>
      <c r="AM241" s="176">
        <f t="shared" ca="1" si="107"/>
        <v>121.87169443217496</v>
      </c>
      <c r="AN241" s="176">
        <f t="shared" ca="1" si="107"/>
        <v>124.30912832081846</v>
      </c>
      <c r="AO241" s="176">
        <f t="shared" ca="1" si="107"/>
        <v>117.73850296671806</v>
      </c>
      <c r="AP241" s="176">
        <f t="shared" ca="1" si="107"/>
        <v>0</v>
      </c>
      <c r="AQ241" s="176">
        <f t="shared" ca="1" si="107"/>
        <v>0</v>
      </c>
      <c r="AR241" s="176">
        <f t="shared" ca="1" si="107"/>
        <v>0</v>
      </c>
      <c r="AS241" s="176">
        <f t="shared" ca="1" si="107"/>
        <v>0</v>
      </c>
      <c r="AT241" s="176">
        <f t="shared" ca="1" si="107"/>
        <v>0</v>
      </c>
      <c r="AU241" s="176">
        <f t="shared" ca="1" si="107"/>
        <v>0</v>
      </c>
      <c r="AV241" s="176">
        <f t="shared" ca="1" si="107"/>
        <v>0</v>
      </c>
      <c r="AW241" s="176">
        <f t="shared" ca="1" si="107"/>
        <v>0</v>
      </c>
      <c r="AX241" s="176">
        <f t="shared" ca="1" si="107"/>
        <v>0</v>
      </c>
    </row>
    <row r="242" spans="1:50" ht="15" customHeight="1" x14ac:dyDescent="0.25">
      <c r="A242" s="206"/>
      <c r="B242" s="206"/>
      <c r="C242" s="328"/>
      <c r="D242" s="176"/>
      <c r="E242" s="176" t="str">
        <f xml:space="preserve"> E$226</f>
        <v>Decommissioning costs, after ELT</v>
      </c>
      <c r="F242" s="206"/>
      <c r="G242" s="176" t="str">
        <f xml:space="preserve"> Translate!E$603</f>
        <v>US$ mn</v>
      </c>
      <c r="H242" s="176"/>
      <c r="I242" s="176">
        <f t="shared" ca="1" si="103"/>
        <v>1359.7539711319146</v>
      </c>
      <c r="J242" s="206"/>
      <c r="K242" s="176">
        <f t="shared" ref="K242:AX242" ca="1" si="108" xml:space="preserve"> K226 * K$230</f>
        <v>0</v>
      </c>
      <c r="L242" s="176">
        <f t="shared" ca="1" si="108"/>
        <v>0</v>
      </c>
      <c r="M242" s="176">
        <f t="shared" ca="1" si="108"/>
        <v>0</v>
      </c>
      <c r="N242" s="176">
        <f t="shared" ca="1" si="108"/>
        <v>0</v>
      </c>
      <c r="O242" s="176">
        <f t="shared" ca="1" si="108"/>
        <v>0</v>
      </c>
      <c r="P242" s="176">
        <f t="shared" ca="1" si="108"/>
        <v>0</v>
      </c>
      <c r="Q242" s="176">
        <f t="shared" ca="1" si="108"/>
        <v>0</v>
      </c>
      <c r="R242" s="176">
        <f t="shared" ca="1" si="108"/>
        <v>0</v>
      </c>
      <c r="S242" s="176">
        <f t="shared" ca="1" si="108"/>
        <v>0</v>
      </c>
      <c r="T242" s="176">
        <f t="shared" ca="1" si="108"/>
        <v>0</v>
      </c>
      <c r="U242" s="176">
        <f t="shared" ca="1" si="108"/>
        <v>0</v>
      </c>
      <c r="V242" s="176">
        <f t="shared" ca="1" si="108"/>
        <v>0</v>
      </c>
      <c r="W242" s="176">
        <f t="shared" ca="1" si="108"/>
        <v>0</v>
      </c>
      <c r="X242" s="176">
        <f t="shared" ca="1" si="108"/>
        <v>0</v>
      </c>
      <c r="Y242" s="176">
        <f t="shared" ca="1" si="108"/>
        <v>0</v>
      </c>
      <c r="Z242" s="176">
        <f t="shared" ca="1" si="108"/>
        <v>0</v>
      </c>
      <c r="AA242" s="176">
        <f t="shared" ca="1" si="108"/>
        <v>0</v>
      </c>
      <c r="AB242" s="176">
        <f t="shared" ca="1" si="108"/>
        <v>0</v>
      </c>
      <c r="AC242" s="176">
        <f t="shared" ca="1" si="108"/>
        <v>0</v>
      </c>
      <c r="AD242" s="176">
        <f t="shared" ca="1" si="108"/>
        <v>0</v>
      </c>
      <c r="AE242" s="176">
        <f t="shared" ca="1" si="108"/>
        <v>0</v>
      </c>
      <c r="AF242" s="176">
        <f t="shared" ca="1" si="108"/>
        <v>0</v>
      </c>
      <c r="AG242" s="176">
        <f t="shared" ca="1" si="108"/>
        <v>0</v>
      </c>
      <c r="AH242" s="176">
        <f t="shared" ca="1" si="108"/>
        <v>0</v>
      </c>
      <c r="AI242" s="176">
        <f t="shared" ca="1" si="108"/>
        <v>0</v>
      </c>
      <c r="AJ242" s="176">
        <f t="shared" ca="1" si="108"/>
        <v>0</v>
      </c>
      <c r="AK242" s="176">
        <f t="shared" ca="1" si="108"/>
        <v>0</v>
      </c>
      <c r="AL242" s="176">
        <f t="shared" ca="1" si="108"/>
        <v>426.72161916027648</v>
      </c>
      <c r="AM242" s="176">
        <f t="shared" ca="1" si="108"/>
        <v>0</v>
      </c>
      <c r="AN242" s="176">
        <f t="shared" ca="1" si="108"/>
        <v>0</v>
      </c>
      <c r="AO242" s="176">
        <f t="shared" ca="1" si="108"/>
        <v>0</v>
      </c>
      <c r="AP242" s="176">
        <f t="shared" ca="1" si="108"/>
        <v>461.89720394635549</v>
      </c>
      <c r="AQ242" s="176">
        <f t="shared" ca="1" si="108"/>
        <v>471.1351480252826</v>
      </c>
      <c r="AR242" s="176">
        <f t="shared" ca="1" si="108"/>
        <v>0</v>
      </c>
      <c r="AS242" s="176">
        <f t="shared" ca="1" si="108"/>
        <v>0</v>
      </c>
      <c r="AT242" s="176">
        <f t="shared" ca="1" si="108"/>
        <v>0</v>
      </c>
      <c r="AU242" s="176">
        <f t="shared" ca="1" si="108"/>
        <v>0</v>
      </c>
      <c r="AV242" s="176">
        <f t="shared" ca="1" si="108"/>
        <v>0</v>
      </c>
      <c r="AW242" s="176">
        <f t="shared" ca="1" si="108"/>
        <v>0</v>
      </c>
      <c r="AX242" s="176">
        <f t="shared" ca="1" si="108"/>
        <v>0</v>
      </c>
    </row>
    <row r="243" spans="1:50" s="485" customFormat="1" ht="15" customHeight="1" x14ac:dyDescent="0.25">
      <c r="A243" s="499"/>
      <c r="B243" s="499"/>
      <c r="C243" s="516"/>
      <c r="D243" s="499"/>
      <c r="E243" s="499" t="str">
        <f xml:space="preserve"> E$80</f>
        <v>Project costs</v>
      </c>
      <c r="F243" s="499"/>
      <c r="G243" s="499" t="str">
        <f xml:space="preserve"> Translate!E$603</f>
        <v>US$ mn</v>
      </c>
      <c r="H243" s="499"/>
      <c r="I243" s="499">
        <f t="shared" ca="1" si="103"/>
        <v>18394.43884595282</v>
      </c>
      <c r="J243" s="499"/>
      <c r="K243" s="499">
        <f t="shared" ref="K243:AX243" ca="1" si="109" xml:space="preserve"> K227 * K$230</f>
        <v>420</v>
      </c>
      <c r="L243" s="499">
        <f t="shared" ca="1" si="109"/>
        <v>51</v>
      </c>
      <c r="M243" s="499">
        <f t="shared" ca="1" si="109"/>
        <v>312.12</v>
      </c>
      <c r="N243" s="499">
        <f t="shared" ca="1" si="109"/>
        <v>1273.4495999999999</v>
      </c>
      <c r="O243" s="499">
        <f t="shared" ca="1" si="109"/>
        <v>1353.0401999999999</v>
      </c>
      <c r="P243" s="499">
        <f t="shared" ca="1" si="109"/>
        <v>2517.3042312960001</v>
      </c>
      <c r="Q243" s="499">
        <f t="shared" ca="1" si="109"/>
        <v>1531.5808901990401</v>
      </c>
      <c r="R243" s="499">
        <f t="shared" ca="1" si="109"/>
        <v>815.56682403098887</v>
      </c>
      <c r="S243" s="499">
        <f t="shared" ca="1" si="109"/>
        <v>597.54628431115555</v>
      </c>
      <c r="T243" s="499">
        <f t="shared" ca="1" si="109"/>
        <v>609.4972099973786</v>
      </c>
      <c r="U243" s="499">
        <f t="shared" ca="1" si="109"/>
        <v>621.68715419732621</v>
      </c>
      <c r="V243" s="499">
        <f t="shared" ca="1" si="109"/>
        <v>634.12089728127273</v>
      </c>
      <c r="W243" s="499">
        <f t="shared" ca="1" si="109"/>
        <v>646.80331522689823</v>
      </c>
      <c r="X243" s="499">
        <f t="shared" ca="1" si="109"/>
        <v>659.73938153143615</v>
      </c>
      <c r="Y243" s="499">
        <f t="shared" ca="1" si="109"/>
        <v>672.9341691620649</v>
      </c>
      <c r="Z243" s="499">
        <f t="shared" ca="1" si="109"/>
        <v>686.39285254530625</v>
      </c>
      <c r="AA243" s="499">
        <f t="shared" ca="1" si="109"/>
        <v>700.12070959621235</v>
      </c>
      <c r="AB243" s="499">
        <f t="shared" ca="1" si="109"/>
        <v>364.06276899003046</v>
      </c>
      <c r="AC243" s="499">
        <f t="shared" ca="1" si="109"/>
        <v>214.23693713644101</v>
      </c>
      <c r="AD243" s="499">
        <f t="shared" ca="1" si="109"/>
        <v>495.31579865945162</v>
      </c>
      <c r="AE243" s="499">
        <f t="shared" ca="1" si="109"/>
        <v>475.5031667130736</v>
      </c>
      <c r="AF243" s="499">
        <f t="shared" ca="1" si="109"/>
        <v>168.23896417266934</v>
      </c>
      <c r="AG243" s="499">
        <f t="shared" ca="1" si="109"/>
        <v>154.59796707758807</v>
      </c>
      <c r="AH243" s="499">
        <f t="shared" ca="1" si="109"/>
        <v>149.80543009818282</v>
      </c>
      <c r="AI243" s="499">
        <f t="shared" ca="1" si="109"/>
        <v>144.75935245277034</v>
      </c>
      <c r="AJ243" s="499">
        <f t="shared" ca="1" si="109"/>
        <v>139.45150952950212</v>
      </c>
      <c r="AK243" s="499">
        <f t="shared" ca="1" si="109"/>
        <v>133.87344914832201</v>
      </c>
      <c r="AL243" s="499">
        <f t="shared" ca="1" si="109"/>
        <v>554.73810490835945</v>
      </c>
      <c r="AM243" s="499">
        <f t="shared" ca="1" si="109"/>
        <v>121.87169443217496</v>
      </c>
      <c r="AN243" s="499">
        <f t="shared" ca="1" si="109"/>
        <v>124.30912832081846</v>
      </c>
      <c r="AO243" s="499">
        <f t="shared" ca="1" si="109"/>
        <v>117.73850296671806</v>
      </c>
      <c r="AP243" s="499">
        <f t="shared" ca="1" si="109"/>
        <v>461.89720394635549</v>
      </c>
      <c r="AQ243" s="499">
        <f t="shared" ca="1" si="109"/>
        <v>471.1351480252826</v>
      </c>
      <c r="AR243" s="499">
        <f t="shared" ca="1" si="109"/>
        <v>0</v>
      </c>
      <c r="AS243" s="499">
        <f t="shared" ca="1" si="109"/>
        <v>0</v>
      </c>
      <c r="AT243" s="499">
        <f t="shared" ca="1" si="109"/>
        <v>0</v>
      </c>
      <c r="AU243" s="499">
        <f t="shared" ca="1" si="109"/>
        <v>0</v>
      </c>
      <c r="AV243" s="499">
        <f t="shared" ca="1" si="109"/>
        <v>0</v>
      </c>
      <c r="AW243" s="499">
        <f t="shared" ca="1" si="109"/>
        <v>0</v>
      </c>
      <c r="AX243" s="499">
        <f t="shared" ca="1" si="109"/>
        <v>0</v>
      </c>
    </row>
    <row r="244" spans="1:50" ht="15" customHeight="1" x14ac:dyDescent="0.25">
      <c r="A244" s="86"/>
      <c r="B244" s="175"/>
      <c r="C244" s="88"/>
      <c r="D244" s="169"/>
      <c r="E244" s="13"/>
      <c r="F244" s="89"/>
      <c r="G244" s="13"/>
      <c r="H244" s="13"/>
      <c r="I244" s="98"/>
      <c r="J244" s="89"/>
      <c r="K244" s="217"/>
      <c r="L244" s="217"/>
      <c r="M244" s="217"/>
      <c r="N244" s="217"/>
      <c r="O244" s="217"/>
      <c r="P244" s="217"/>
      <c r="Q244" s="217"/>
      <c r="R244" s="217"/>
      <c r="S244" s="217"/>
      <c r="T244" s="217"/>
      <c r="U244" s="217"/>
      <c r="V244" s="217"/>
      <c r="W244" s="217"/>
      <c r="X244" s="217"/>
      <c r="Y244" s="217"/>
      <c r="Z244" s="217"/>
      <c r="AA244" s="217"/>
      <c r="AB244" s="217"/>
      <c r="AC244" s="217"/>
      <c r="AD244" s="217"/>
      <c r="AE244" s="217"/>
      <c r="AF244" s="217"/>
      <c r="AG244" s="217"/>
      <c r="AH244" s="217"/>
      <c r="AI244" s="217"/>
      <c r="AJ244" s="217"/>
      <c r="AK244" s="217"/>
      <c r="AL244" s="217"/>
      <c r="AM244" s="217"/>
      <c r="AN244" s="217"/>
      <c r="AO244" s="217"/>
      <c r="AP244" s="217"/>
      <c r="AQ244" s="217"/>
      <c r="AR244" s="217"/>
      <c r="AS244" s="217"/>
      <c r="AT244" s="217"/>
      <c r="AU244" s="217"/>
      <c r="AV244" s="217"/>
      <c r="AW244" s="217"/>
      <c r="AX244" s="217"/>
    </row>
    <row r="245" spans="1:50" s="485" customFormat="1" ht="15" customHeight="1" x14ac:dyDescent="0.25">
      <c r="A245" s="499"/>
      <c r="B245" s="499"/>
      <c r="C245" s="516"/>
      <c r="D245" s="499"/>
      <c r="E245" s="499" t="str">
        <f>Translate!E670</f>
        <v>Cashflow before decommissioning fund</v>
      </c>
      <c r="F245" s="499"/>
      <c r="G245" s="499" t="str">
        <f xml:space="preserve"> Translate!E$603</f>
        <v>US$ mn</v>
      </c>
      <c r="H245" s="499"/>
      <c r="I245" s="499">
        <f ca="1" xml:space="preserve"> SUM(K245:AX245)</f>
        <v>38774.104672459696</v>
      </c>
      <c r="J245" s="499"/>
      <c r="K245" s="499">
        <f t="shared" ref="K245:AX245" ca="1" si="110">K236-K243</f>
        <v>-420</v>
      </c>
      <c r="L245" s="499">
        <f t="shared" ca="1" si="110"/>
        <v>-51</v>
      </c>
      <c r="M245" s="499">
        <f t="shared" ca="1" si="110"/>
        <v>-312.12</v>
      </c>
      <c r="N245" s="499">
        <f t="shared" ca="1" si="110"/>
        <v>-1273.4495999999999</v>
      </c>
      <c r="O245" s="499">
        <f t="shared" ca="1" si="110"/>
        <v>-1145.5830293901518</v>
      </c>
      <c r="P245" s="499">
        <f t="shared" ca="1" si="110"/>
        <v>-854.97257197800013</v>
      </c>
      <c r="Q245" s="499">
        <f t="shared" ca="1" si="110"/>
        <v>1859.5756948096803</v>
      </c>
      <c r="R245" s="499">
        <f t="shared" ca="1" si="110"/>
        <v>2643.4128926779058</v>
      </c>
      <c r="S245" s="499">
        <f t="shared" ca="1" si="110"/>
        <v>2930.6130267319172</v>
      </c>
      <c r="T245" s="499">
        <f t="shared" ca="1" si="110"/>
        <v>2989.2252872665558</v>
      </c>
      <c r="U245" s="499">
        <f t="shared" ca="1" si="110"/>
        <v>3049.0097930118864</v>
      </c>
      <c r="V245" s="499">
        <f t="shared" ca="1" si="110"/>
        <v>3109.9899888721243</v>
      </c>
      <c r="W245" s="499">
        <f t="shared" ca="1" si="110"/>
        <v>3172.1897886495672</v>
      </c>
      <c r="X245" s="499">
        <f t="shared" ca="1" si="110"/>
        <v>3235.6335844225578</v>
      </c>
      <c r="Y245" s="499">
        <f t="shared" ca="1" si="110"/>
        <v>3300.3462561110096</v>
      </c>
      <c r="Z245" s="499">
        <f t="shared" ca="1" si="110"/>
        <v>3366.3531812332299</v>
      </c>
      <c r="AA245" s="499">
        <f t="shared" ca="1" si="110"/>
        <v>2648.2580635116151</v>
      </c>
      <c r="AB245" s="499">
        <f t="shared" ca="1" si="110"/>
        <v>2402.367773351657</v>
      </c>
      <c r="AC245" s="499">
        <f t="shared" ca="1" si="110"/>
        <v>2071.387976946261</v>
      </c>
      <c r="AD245" s="499">
        <f t="shared" ca="1" si="110"/>
        <v>1393.0675053556774</v>
      </c>
      <c r="AE245" s="499">
        <f t="shared" ca="1" si="110"/>
        <v>1084.6791190642259</v>
      </c>
      <c r="AF245" s="499">
        <f t="shared" ca="1" si="110"/>
        <v>1120.7836403365359</v>
      </c>
      <c r="AG245" s="499">
        <f t="shared" ca="1" si="110"/>
        <v>910.39250876791743</v>
      </c>
      <c r="AH245" s="499">
        <f t="shared" ca="1" si="110"/>
        <v>730.08970104537377</v>
      </c>
      <c r="AI245" s="499">
        <f t="shared" ca="1" si="110"/>
        <v>582.21000489803623</v>
      </c>
      <c r="AJ245" s="499">
        <f t="shared" ca="1" si="110"/>
        <v>461.17057351373421</v>
      </c>
      <c r="AK245" s="499">
        <f t="shared" ca="1" si="110"/>
        <v>362.36051586199994</v>
      </c>
      <c r="AL245" s="499">
        <f t="shared" ca="1" si="110"/>
        <v>-144.74960301683154</v>
      </c>
      <c r="AM245" s="499">
        <f t="shared" ca="1" si="110"/>
        <v>216.86080583060547</v>
      </c>
      <c r="AN245" s="499">
        <f t="shared" ca="1" si="110"/>
        <v>155.55166339629073</v>
      </c>
      <c r="AO245" s="499">
        <f t="shared" ca="1" si="110"/>
        <v>113.48248314995762</v>
      </c>
      <c r="AP245" s="499">
        <f t="shared" ca="1" si="110"/>
        <v>-461.89720394635549</v>
      </c>
      <c r="AQ245" s="499">
        <f t="shared" ca="1" si="110"/>
        <v>-471.1351480252826</v>
      </c>
      <c r="AR245" s="499">
        <f t="shared" ca="1" si="110"/>
        <v>0</v>
      </c>
      <c r="AS245" s="499">
        <f t="shared" ca="1" si="110"/>
        <v>0</v>
      </c>
      <c r="AT245" s="499">
        <f t="shared" ca="1" si="110"/>
        <v>0</v>
      </c>
      <c r="AU245" s="499">
        <f t="shared" ca="1" si="110"/>
        <v>0</v>
      </c>
      <c r="AV245" s="499">
        <f t="shared" ca="1" si="110"/>
        <v>0</v>
      </c>
      <c r="AW245" s="499">
        <f t="shared" ca="1" si="110"/>
        <v>0</v>
      </c>
      <c r="AX245" s="499">
        <f t="shared" ca="1" si="110"/>
        <v>0</v>
      </c>
    </row>
    <row r="246" spans="1:50" ht="15" customHeight="1" x14ac:dyDescent="0.25">
      <c r="A246" s="86"/>
      <c r="B246" s="91"/>
      <c r="C246" s="88"/>
      <c r="D246" s="169"/>
      <c r="E246" s="98"/>
      <c r="F246" s="218"/>
      <c r="G246" s="98"/>
      <c r="H246" s="98"/>
      <c r="I246" s="98"/>
      <c r="J246" s="98"/>
      <c r="K246" s="98"/>
      <c r="L246" s="98"/>
      <c r="M246" s="98"/>
      <c r="N246" s="98"/>
      <c r="O246" s="98"/>
      <c r="P246" s="98"/>
      <c r="Q246" s="98"/>
      <c r="R246" s="98"/>
      <c r="S246" s="98"/>
      <c r="T246" s="98"/>
      <c r="U246" s="98"/>
      <c r="V246" s="98"/>
      <c r="W246" s="98"/>
      <c r="X246" s="98"/>
      <c r="Y246" s="98"/>
      <c r="Z246" s="98"/>
      <c r="AA246" s="98"/>
      <c r="AB246" s="98"/>
      <c r="AC246" s="98"/>
      <c r="AD246" s="98"/>
      <c r="AE246" s="98"/>
      <c r="AF246" s="98"/>
      <c r="AG246" s="98"/>
      <c r="AH246" s="98"/>
      <c r="AI246" s="98"/>
      <c r="AJ246" s="98"/>
      <c r="AK246" s="98"/>
      <c r="AL246" s="98"/>
      <c r="AM246" s="98"/>
      <c r="AN246" s="98"/>
      <c r="AO246" s="98"/>
      <c r="AP246" s="98"/>
      <c r="AQ246" s="98"/>
      <c r="AR246" s="98"/>
      <c r="AS246" s="98"/>
      <c r="AT246" s="98"/>
      <c r="AU246" s="98"/>
      <c r="AV246" s="98"/>
      <c r="AW246" s="98"/>
      <c r="AX246" s="98"/>
    </row>
    <row r="247" spans="1:50" ht="15" customHeight="1" x14ac:dyDescent="0.25">
      <c r="A247" s="86"/>
      <c r="B247" s="205" t="str">
        <f>Translate!$E$671</f>
        <v>Project benefits</v>
      </c>
      <c r="C247" s="108"/>
      <c r="D247" s="169"/>
      <c r="E247" s="98"/>
      <c r="F247" s="218"/>
      <c r="G247" s="98"/>
      <c r="H247" s="98"/>
      <c r="I247" s="98"/>
      <c r="J247" s="98"/>
      <c r="K247" s="98"/>
      <c r="L247" s="98"/>
      <c r="M247" s="98"/>
      <c r="N247" s="98"/>
      <c r="O247" s="98"/>
      <c r="P247" s="98"/>
      <c r="Q247" s="98"/>
      <c r="R247" s="98"/>
      <c r="S247" s="98"/>
      <c r="T247" s="98"/>
      <c r="U247" s="98"/>
      <c r="V247" s="98"/>
      <c r="W247" s="98"/>
      <c r="X247" s="98"/>
      <c r="Y247" s="98"/>
      <c r="Z247" s="98"/>
      <c r="AA247" s="98"/>
      <c r="AB247" s="98"/>
      <c r="AC247" s="98"/>
      <c r="AD247" s="98"/>
      <c r="AE247" s="98"/>
      <c r="AF247" s="98"/>
      <c r="AG247" s="98"/>
      <c r="AH247" s="98"/>
      <c r="AI247" s="98"/>
      <c r="AJ247" s="98"/>
      <c r="AK247" s="98"/>
      <c r="AL247" s="98"/>
      <c r="AM247" s="98"/>
      <c r="AN247" s="98"/>
      <c r="AO247" s="98"/>
      <c r="AP247" s="98"/>
      <c r="AQ247" s="98"/>
      <c r="AR247" s="98"/>
      <c r="AS247" s="98"/>
      <c r="AT247" s="98"/>
      <c r="AU247" s="98"/>
      <c r="AV247" s="98"/>
      <c r="AW247" s="98"/>
      <c r="AX247" s="98"/>
    </row>
    <row r="248" spans="1:50" ht="15" customHeight="1" x14ac:dyDescent="0.25">
      <c r="A248" s="86"/>
      <c r="B248" s="91"/>
      <c r="C248" s="88"/>
      <c r="D248" s="169" t="str">
        <f>Translate!E529</f>
        <v>add</v>
      </c>
      <c r="E248" s="55" t="str">
        <f t="shared" ref="E248:J248" si="111" xml:space="preserve"> E$236</f>
        <v>Net revenues after ELT</v>
      </c>
      <c r="F248" s="55">
        <f t="shared" si="111"/>
        <v>0</v>
      </c>
      <c r="G248" s="55" t="str">
        <f t="shared" si="111"/>
        <v>US$ mn</v>
      </c>
      <c r="H248" s="55">
        <f t="shared" si="111"/>
        <v>0</v>
      </c>
      <c r="I248" s="55">
        <f ca="1" xml:space="preserve"> I$236</f>
        <v>57168.543518412531</v>
      </c>
      <c r="J248" s="55">
        <f t="shared" si="111"/>
        <v>0</v>
      </c>
      <c r="K248" s="55">
        <f t="shared" ref="K248:AX248" ca="1" si="112" xml:space="preserve"> K$236</f>
        <v>0</v>
      </c>
      <c r="L248" s="55">
        <f t="shared" ca="1" si="112"/>
        <v>0</v>
      </c>
      <c r="M248" s="55">
        <f t="shared" ca="1" si="112"/>
        <v>0</v>
      </c>
      <c r="N248" s="55">
        <f t="shared" ca="1" si="112"/>
        <v>0</v>
      </c>
      <c r="O248" s="55">
        <f t="shared" ca="1" si="112"/>
        <v>207.45717060984819</v>
      </c>
      <c r="P248" s="55">
        <f t="shared" ca="1" si="112"/>
        <v>1662.331659318</v>
      </c>
      <c r="Q248" s="55">
        <f t="shared" ca="1" si="112"/>
        <v>3391.1565850087204</v>
      </c>
      <c r="R248" s="55">
        <f t="shared" ca="1" si="112"/>
        <v>3458.9797167088946</v>
      </c>
      <c r="S248" s="55">
        <f t="shared" ca="1" si="112"/>
        <v>3528.1593110430726</v>
      </c>
      <c r="T248" s="55">
        <f t="shared" ca="1" si="112"/>
        <v>3598.7224972639342</v>
      </c>
      <c r="U248" s="55">
        <f t="shared" ca="1" si="112"/>
        <v>3670.6969472092128</v>
      </c>
      <c r="V248" s="55">
        <f t="shared" ca="1" si="112"/>
        <v>3744.1108861533971</v>
      </c>
      <c r="W248" s="55">
        <f t="shared" ca="1" si="112"/>
        <v>3818.9931038764653</v>
      </c>
      <c r="X248" s="55">
        <f t="shared" ca="1" si="112"/>
        <v>3895.372965953994</v>
      </c>
      <c r="Y248" s="55">
        <f t="shared" ca="1" si="112"/>
        <v>3973.2804252730743</v>
      </c>
      <c r="Z248" s="55">
        <f t="shared" ca="1" si="112"/>
        <v>4052.746033778536</v>
      </c>
      <c r="AA248" s="55">
        <f t="shared" ca="1" si="112"/>
        <v>3348.3787731078273</v>
      </c>
      <c r="AB248" s="55">
        <f t="shared" ca="1" si="112"/>
        <v>2766.4305423416872</v>
      </c>
      <c r="AC248" s="55">
        <f t="shared" ca="1" si="112"/>
        <v>2285.6249140827022</v>
      </c>
      <c r="AD248" s="55">
        <f t="shared" ca="1" si="112"/>
        <v>1888.3833040151289</v>
      </c>
      <c r="AE248" s="55">
        <f t="shared" ca="1" si="112"/>
        <v>1560.1822857772995</v>
      </c>
      <c r="AF248" s="55">
        <f t="shared" ca="1" si="112"/>
        <v>1289.0226045092052</v>
      </c>
      <c r="AG248" s="55">
        <f t="shared" ca="1" si="112"/>
        <v>1064.9904758455054</v>
      </c>
      <c r="AH248" s="55">
        <f t="shared" ca="1" si="112"/>
        <v>879.89513114355657</v>
      </c>
      <c r="AI248" s="55">
        <f t="shared" ca="1" si="112"/>
        <v>726.9693573508066</v>
      </c>
      <c r="AJ248" s="55">
        <f t="shared" ca="1" si="112"/>
        <v>600.62208304323633</v>
      </c>
      <c r="AK248" s="55">
        <f t="shared" ca="1" si="112"/>
        <v>496.23396501032192</v>
      </c>
      <c r="AL248" s="55">
        <f t="shared" ca="1" si="112"/>
        <v>409.9885018915279</v>
      </c>
      <c r="AM248" s="55">
        <f t="shared" ca="1" si="112"/>
        <v>338.73250026278043</v>
      </c>
      <c r="AN248" s="55">
        <f t="shared" ca="1" si="112"/>
        <v>279.86079171710918</v>
      </c>
      <c r="AO248" s="55">
        <f t="shared" ca="1" si="112"/>
        <v>231.22098611667568</v>
      </c>
      <c r="AP248" s="55">
        <f t="shared" ca="1" si="112"/>
        <v>0</v>
      </c>
      <c r="AQ248" s="55">
        <f t="shared" ca="1" si="112"/>
        <v>0</v>
      </c>
      <c r="AR248" s="55">
        <f t="shared" ca="1" si="112"/>
        <v>0</v>
      </c>
      <c r="AS248" s="55">
        <f t="shared" ca="1" si="112"/>
        <v>0</v>
      </c>
      <c r="AT248" s="55">
        <f t="shared" ca="1" si="112"/>
        <v>0</v>
      </c>
      <c r="AU248" s="55">
        <f t="shared" ca="1" si="112"/>
        <v>0</v>
      </c>
      <c r="AV248" s="55">
        <f t="shared" ca="1" si="112"/>
        <v>0</v>
      </c>
      <c r="AW248" s="55">
        <f t="shared" ca="1" si="112"/>
        <v>0</v>
      </c>
      <c r="AX248" s="55">
        <f t="shared" ca="1" si="112"/>
        <v>0</v>
      </c>
    </row>
    <row r="249" spans="1:50" ht="15" customHeight="1" x14ac:dyDescent="0.25">
      <c r="A249" s="86"/>
      <c r="B249" s="91"/>
      <c r="C249" s="88"/>
      <c r="D249" s="169" t="str">
        <f>Translate!E530</f>
        <v>less</v>
      </c>
      <c r="E249" s="55" t="str">
        <f t="shared" ref="E249:J249" si="113" xml:space="preserve"> E$240</f>
        <v>Replacement capital costs, after ELT</v>
      </c>
      <c r="F249" s="55">
        <f t="shared" si="113"/>
        <v>0</v>
      </c>
      <c r="G249" s="55" t="str">
        <f t="shared" si="113"/>
        <v>US$ mn</v>
      </c>
      <c r="H249" s="55">
        <f t="shared" si="113"/>
        <v>0</v>
      </c>
      <c r="I249" s="55">
        <f ca="1" xml:space="preserve"> I$240</f>
        <v>0</v>
      </c>
      <c r="J249" s="55">
        <f t="shared" si="113"/>
        <v>0</v>
      </c>
      <c r="K249" s="55">
        <f t="shared" ref="K249:AX249" ca="1" si="114" xml:space="preserve"> K$240</f>
        <v>0</v>
      </c>
      <c r="L249" s="55">
        <f t="shared" ca="1" si="114"/>
        <v>0</v>
      </c>
      <c r="M249" s="55">
        <f t="shared" ca="1" si="114"/>
        <v>0</v>
      </c>
      <c r="N249" s="55">
        <f t="shared" ca="1" si="114"/>
        <v>0</v>
      </c>
      <c r="O249" s="55">
        <f t="shared" ca="1" si="114"/>
        <v>0</v>
      </c>
      <c r="P249" s="55">
        <f t="shared" ca="1" si="114"/>
        <v>0</v>
      </c>
      <c r="Q249" s="55">
        <f t="shared" ca="1" si="114"/>
        <v>0</v>
      </c>
      <c r="R249" s="55">
        <f t="shared" ca="1" si="114"/>
        <v>0</v>
      </c>
      <c r="S249" s="55">
        <f t="shared" ca="1" si="114"/>
        <v>0</v>
      </c>
      <c r="T249" s="55">
        <f t="shared" ca="1" si="114"/>
        <v>0</v>
      </c>
      <c r="U249" s="55">
        <f t="shared" ca="1" si="114"/>
        <v>0</v>
      </c>
      <c r="V249" s="55">
        <f t="shared" ca="1" si="114"/>
        <v>0</v>
      </c>
      <c r="W249" s="55">
        <f t="shared" ca="1" si="114"/>
        <v>0</v>
      </c>
      <c r="X249" s="55">
        <f t="shared" ca="1" si="114"/>
        <v>0</v>
      </c>
      <c r="Y249" s="55">
        <f t="shared" ca="1" si="114"/>
        <v>0</v>
      </c>
      <c r="Z249" s="55">
        <f t="shared" ca="1" si="114"/>
        <v>0</v>
      </c>
      <c r="AA249" s="55">
        <f t="shared" ca="1" si="114"/>
        <v>0</v>
      </c>
      <c r="AB249" s="55">
        <f t="shared" ca="1" si="114"/>
        <v>0</v>
      </c>
      <c r="AC249" s="55">
        <f t="shared" ca="1" si="114"/>
        <v>0</v>
      </c>
      <c r="AD249" s="55">
        <f t="shared" ca="1" si="114"/>
        <v>0</v>
      </c>
      <c r="AE249" s="55">
        <f t="shared" ca="1" si="114"/>
        <v>0</v>
      </c>
      <c r="AF249" s="55">
        <f t="shared" ca="1" si="114"/>
        <v>0</v>
      </c>
      <c r="AG249" s="55">
        <f t="shared" ca="1" si="114"/>
        <v>0</v>
      </c>
      <c r="AH249" s="55">
        <f t="shared" ca="1" si="114"/>
        <v>0</v>
      </c>
      <c r="AI249" s="55">
        <f t="shared" ca="1" si="114"/>
        <v>0</v>
      </c>
      <c r="AJ249" s="55">
        <f t="shared" ca="1" si="114"/>
        <v>0</v>
      </c>
      <c r="AK249" s="55">
        <f t="shared" ca="1" si="114"/>
        <v>0</v>
      </c>
      <c r="AL249" s="55">
        <f t="shared" ca="1" si="114"/>
        <v>0</v>
      </c>
      <c r="AM249" s="55">
        <f t="shared" ca="1" si="114"/>
        <v>0</v>
      </c>
      <c r="AN249" s="55">
        <f t="shared" ca="1" si="114"/>
        <v>0</v>
      </c>
      <c r="AO249" s="55">
        <f t="shared" ca="1" si="114"/>
        <v>0</v>
      </c>
      <c r="AP249" s="55">
        <f t="shared" ca="1" si="114"/>
        <v>0</v>
      </c>
      <c r="AQ249" s="55">
        <f t="shared" ca="1" si="114"/>
        <v>0</v>
      </c>
      <c r="AR249" s="55">
        <f t="shared" ca="1" si="114"/>
        <v>0</v>
      </c>
      <c r="AS249" s="55">
        <f t="shared" ca="1" si="114"/>
        <v>0</v>
      </c>
      <c r="AT249" s="55">
        <f t="shared" ca="1" si="114"/>
        <v>0</v>
      </c>
      <c r="AU249" s="55">
        <f t="shared" ca="1" si="114"/>
        <v>0</v>
      </c>
      <c r="AV249" s="55">
        <f t="shared" ca="1" si="114"/>
        <v>0</v>
      </c>
      <c r="AW249" s="55">
        <f t="shared" ca="1" si="114"/>
        <v>0</v>
      </c>
      <c r="AX249" s="55">
        <f t="shared" ca="1" si="114"/>
        <v>0</v>
      </c>
    </row>
    <row r="250" spans="1:50" ht="15" customHeight="1" x14ac:dyDescent="0.25">
      <c r="A250" s="86"/>
      <c r="B250" s="91"/>
      <c r="C250" s="88"/>
      <c r="D250" s="169" t="str">
        <f>Translate!E530</f>
        <v>less</v>
      </c>
      <c r="E250" s="55" t="str">
        <f t="shared" ref="E250:J250" si="115" xml:space="preserve"> E$241</f>
        <v>Operating costs, after ELT</v>
      </c>
      <c r="F250" s="55">
        <f t="shared" si="115"/>
        <v>0</v>
      </c>
      <c r="G250" s="55" t="str">
        <f t="shared" si="115"/>
        <v>US$ mn</v>
      </c>
      <c r="H250" s="55">
        <f t="shared" si="115"/>
        <v>0</v>
      </c>
      <c r="I250" s="55">
        <f ca="1" xml:space="preserve"> I$241</f>
        <v>6159.112593390113</v>
      </c>
      <c r="J250" s="55">
        <f t="shared" si="115"/>
        <v>0</v>
      </c>
      <c r="K250" s="55">
        <f t="shared" ref="K250:AX250" ca="1" si="116" xml:space="preserve"> K$241</f>
        <v>0</v>
      </c>
      <c r="L250" s="55">
        <f t="shared" ca="1" si="116"/>
        <v>0</v>
      </c>
      <c r="M250" s="55">
        <f t="shared" ca="1" si="116"/>
        <v>0</v>
      </c>
      <c r="N250" s="55">
        <f t="shared" ca="1" si="116"/>
        <v>0</v>
      </c>
      <c r="O250" s="55">
        <f t="shared" ca="1" si="116"/>
        <v>54.121608000000002</v>
      </c>
      <c r="P250" s="55">
        <f t="shared" ca="1" si="116"/>
        <v>198.73454457599999</v>
      </c>
      <c r="Q250" s="55">
        <f t="shared" ca="1" si="116"/>
        <v>292.80222900864004</v>
      </c>
      <c r="R250" s="55">
        <f t="shared" ca="1" si="116"/>
        <v>298.65827358881279</v>
      </c>
      <c r="S250" s="55">
        <f t="shared" ca="1" si="116"/>
        <v>304.63143906058912</v>
      </c>
      <c r="T250" s="55">
        <f t="shared" ca="1" si="116"/>
        <v>310.72406784180089</v>
      </c>
      <c r="U250" s="55">
        <f t="shared" ca="1" si="116"/>
        <v>316.93854919863691</v>
      </c>
      <c r="V250" s="55">
        <f t="shared" ca="1" si="116"/>
        <v>323.27732018260963</v>
      </c>
      <c r="W250" s="55">
        <f t="shared" ca="1" si="116"/>
        <v>329.74286658626181</v>
      </c>
      <c r="X250" s="55">
        <f t="shared" ca="1" si="116"/>
        <v>336.33772391798703</v>
      </c>
      <c r="Y250" s="55">
        <f t="shared" ca="1" si="116"/>
        <v>343.06447839634683</v>
      </c>
      <c r="Z250" s="55">
        <f t="shared" ca="1" si="116"/>
        <v>349.92576796427375</v>
      </c>
      <c r="AA250" s="55">
        <f t="shared" ca="1" si="116"/>
        <v>356.92428332355922</v>
      </c>
      <c r="AB250" s="55">
        <f t="shared" ca="1" si="116"/>
        <v>364.06276899003046</v>
      </c>
      <c r="AC250" s="55">
        <f t="shared" ca="1" si="116"/>
        <v>214.23693713644101</v>
      </c>
      <c r="AD250" s="55">
        <f t="shared" ca="1" si="116"/>
        <v>203.95356415389182</v>
      </c>
      <c r="AE250" s="55">
        <f t="shared" ca="1" si="116"/>
        <v>178.3136875174026</v>
      </c>
      <c r="AF250" s="55">
        <f t="shared" ca="1" si="116"/>
        <v>168.23896417266934</v>
      </c>
      <c r="AG250" s="55">
        <f t="shared" ca="1" si="116"/>
        <v>154.59796707758807</v>
      </c>
      <c r="AH250" s="55">
        <f t="shared" ca="1" si="116"/>
        <v>149.80543009818282</v>
      </c>
      <c r="AI250" s="55">
        <f t="shared" ca="1" si="116"/>
        <v>144.75935245277034</v>
      </c>
      <c r="AJ250" s="55">
        <f t="shared" ca="1" si="116"/>
        <v>139.45150952950212</v>
      </c>
      <c r="AK250" s="55">
        <f t="shared" ca="1" si="116"/>
        <v>133.87344914832201</v>
      </c>
      <c r="AL250" s="55">
        <f t="shared" ca="1" si="116"/>
        <v>128.01648574808294</v>
      </c>
      <c r="AM250" s="55">
        <f t="shared" ca="1" si="116"/>
        <v>121.87169443217496</v>
      </c>
      <c r="AN250" s="55">
        <f t="shared" ca="1" si="116"/>
        <v>124.30912832081846</v>
      </c>
      <c r="AO250" s="55">
        <f t="shared" ca="1" si="116"/>
        <v>117.73850296671806</v>
      </c>
      <c r="AP250" s="55">
        <f t="shared" ca="1" si="116"/>
        <v>0</v>
      </c>
      <c r="AQ250" s="55">
        <f t="shared" ca="1" si="116"/>
        <v>0</v>
      </c>
      <c r="AR250" s="55">
        <f t="shared" ca="1" si="116"/>
        <v>0</v>
      </c>
      <c r="AS250" s="55">
        <f t="shared" ca="1" si="116"/>
        <v>0</v>
      </c>
      <c r="AT250" s="55">
        <f t="shared" ca="1" si="116"/>
        <v>0</v>
      </c>
      <c r="AU250" s="55">
        <f t="shared" ca="1" si="116"/>
        <v>0</v>
      </c>
      <c r="AV250" s="55">
        <f t="shared" ca="1" si="116"/>
        <v>0</v>
      </c>
      <c r="AW250" s="55">
        <f t="shared" ca="1" si="116"/>
        <v>0</v>
      </c>
      <c r="AX250" s="55">
        <f t="shared" ca="1" si="116"/>
        <v>0</v>
      </c>
    </row>
    <row r="251" spans="1:50" ht="15" customHeight="1" x14ac:dyDescent="0.25">
      <c r="A251" s="86"/>
      <c r="B251" s="91"/>
      <c r="C251" s="88"/>
      <c r="D251" s="169" t="str">
        <f>Translate!E530</f>
        <v>less</v>
      </c>
      <c r="E251" s="55" t="str">
        <f t="shared" ref="E251:J251" si="117" xml:space="preserve"> E$242</f>
        <v>Decommissioning costs, after ELT</v>
      </c>
      <c r="F251" s="55">
        <f t="shared" si="117"/>
        <v>0</v>
      </c>
      <c r="G251" s="55" t="str">
        <f t="shared" si="117"/>
        <v>US$ mn</v>
      </c>
      <c r="H251" s="55">
        <f t="shared" si="117"/>
        <v>0</v>
      </c>
      <c r="I251" s="55">
        <f ca="1" xml:space="preserve"> I$242</f>
        <v>1359.7539711319146</v>
      </c>
      <c r="J251" s="55">
        <f t="shared" si="117"/>
        <v>0</v>
      </c>
      <c r="K251" s="55">
        <f t="shared" ref="K251:AX251" ca="1" si="118" xml:space="preserve"> K$242</f>
        <v>0</v>
      </c>
      <c r="L251" s="55">
        <f t="shared" ca="1" si="118"/>
        <v>0</v>
      </c>
      <c r="M251" s="55">
        <f t="shared" ca="1" si="118"/>
        <v>0</v>
      </c>
      <c r="N251" s="55">
        <f t="shared" ca="1" si="118"/>
        <v>0</v>
      </c>
      <c r="O251" s="55">
        <f t="shared" ca="1" si="118"/>
        <v>0</v>
      </c>
      <c r="P251" s="55">
        <f t="shared" ca="1" si="118"/>
        <v>0</v>
      </c>
      <c r="Q251" s="55">
        <f t="shared" ca="1" si="118"/>
        <v>0</v>
      </c>
      <c r="R251" s="55">
        <f t="shared" ca="1" si="118"/>
        <v>0</v>
      </c>
      <c r="S251" s="55">
        <f t="shared" ca="1" si="118"/>
        <v>0</v>
      </c>
      <c r="T251" s="55">
        <f t="shared" ca="1" si="118"/>
        <v>0</v>
      </c>
      <c r="U251" s="55">
        <f t="shared" ca="1" si="118"/>
        <v>0</v>
      </c>
      <c r="V251" s="55">
        <f t="shared" ca="1" si="118"/>
        <v>0</v>
      </c>
      <c r="W251" s="55">
        <f t="shared" ca="1" si="118"/>
        <v>0</v>
      </c>
      <c r="X251" s="55">
        <f t="shared" ca="1" si="118"/>
        <v>0</v>
      </c>
      <c r="Y251" s="55">
        <f t="shared" ca="1" si="118"/>
        <v>0</v>
      </c>
      <c r="Z251" s="55">
        <f t="shared" ca="1" si="118"/>
        <v>0</v>
      </c>
      <c r="AA251" s="55">
        <f t="shared" ca="1" si="118"/>
        <v>0</v>
      </c>
      <c r="AB251" s="55">
        <f t="shared" ca="1" si="118"/>
        <v>0</v>
      </c>
      <c r="AC251" s="55">
        <f t="shared" ca="1" si="118"/>
        <v>0</v>
      </c>
      <c r="AD251" s="55">
        <f t="shared" ca="1" si="118"/>
        <v>0</v>
      </c>
      <c r="AE251" s="55">
        <f t="shared" ca="1" si="118"/>
        <v>0</v>
      </c>
      <c r="AF251" s="55">
        <f t="shared" ca="1" si="118"/>
        <v>0</v>
      </c>
      <c r="AG251" s="55">
        <f t="shared" ca="1" si="118"/>
        <v>0</v>
      </c>
      <c r="AH251" s="55">
        <f t="shared" ca="1" si="118"/>
        <v>0</v>
      </c>
      <c r="AI251" s="55">
        <f t="shared" ca="1" si="118"/>
        <v>0</v>
      </c>
      <c r="AJ251" s="55">
        <f t="shared" ca="1" si="118"/>
        <v>0</v>
      </c>
      <c r="AK251" s="55">
        <f t="shared" ca="1" si="118"/>
        <v>0</v>
      </c>
      <c r="AL251" s="55">
        <f t="shared" ca="1" si="118"/>
        <v>426.72161916027648</v>
      </c>
      <c r="AM251" s="55">
        <f t="shared" ca="1" si="118"/>
        <v>0</v>
      </c>
      <c r="AN251" s="55">
        <f t="shared" ca="1" si="118"/>
        <v>0</v>
      </c>
      <c r="AO251" s="55">
        <f t="shared" ca="1" si="118"/>
        <v>0</v>
      </c>
      <c r="AP251" s="55">
        <f t="shared" ca="1" si="118"/>
        <v>461.89720394635549</v>
      </c>
      <c r="AQ251" s="55">
        <f t="shared" ca="1" si="118"/>
        <v>471.1351480252826</v>
      </c>
      <c r="AR251" s="55">
        <f t="shared" ca="1" si="118"/>
        <v>0</v>
      </c>
      <c r="AS251" s="55">
        <f t="shared" ca="1" si="118"/>
        <v>0</v>
      </c>
      <c r="AT251" s="55">
        <f t="shared" ca="1" si="118"/>
        <v>0</v>
      </c>
      <c r="AU251" s="55">
        <f t="shared" ca="1" si="118"/>
        <v>0</v>
      </c>
      <c r="AV251" s="55">
        <f t="shared" ca="1" si="118"/>
        <v>0</v>
      </c>
      <c r="AW251" s="55">
        <f t="shared" ca="1" si="118"/>
        <v>0</v>
      </c>
      <c r="AX251" s="55">
        <f t="shared" ca="1" si="118"/>
        <v>0</v>
      </c>
    </row>
    <row r="252" spans="1:50" s="485" customFormat="1" ht="15" customHeight="1" x14ac:dyDescent="0.25">
      <c r="A252" s="499"/>
      <c r="B252" s="499"/>
      <c r="C252" s="516"/>
      <c r="D252" s="499"/>
      <c r="E252" s="499" t="str">
        <f>Translate!E671</f>
        <v>Project benefits</v>
      </c>
      <c r="F252" s="499"/>
      <c r="G252" s="499" t="str">
        <f xml:space="preserve"> Translate!E$603</f>
        <v>US$ mn</v>
      </c>
      <c r="H252" s="499" t="str">
        <f>Translate!E697</f>
        <v>cashflows excluding exploration &amp; development costs</v>
      </c>
      <c r="I252" s="499">
        <f ca="1" xml:space="preserve"> SUM(K252:AX252)</f>
        <v>49649.676953890492</v>
      </c>
      <c r="J252" s="499"/>
      <c r="K252" s="499">
        <f t="shared" ref="K252:AX252" ca="1" si="119" xml:space="preserve"> K248 - K249 - K250 - K251</f>
        <v>0</v>
      </c>
      <c r="L252" s="499">
        <f t="shared" ca="1" si="119"/>
        <v>0</v>
      </c>
      <c r="M252" s="499">
        <f t="shared" ca="1" si="119"/>
        <v>0</v>
      </c>
      <c r="N252" s="499">
        <f t="shared" ca="1" si="119"/>
        <v>0</v>
      </c>
      <c r="O252" s="499">
        <f t="shared" ca="1" si="119"/>
        <v>153.33556260984818</v>
      </c>
      <c r="P252" s="499">
        <f t="shared" ca="1" si="119"/>
        <v>1463.597114742</v>
      </c>
      <c r="Q252" s="499">
        <f t="shared" ca="1" si="119"/>
        <v>3098.3543560000803</v>
      </c>
      <c r="R252" s="499">
        <f t="shared" ca="1" si="119"/>
        <v>3160.3214431200818</v>
      </c>
      <c r="S252" s="499">
        <f t="shared" ca="1" si="119"/>
        <v>3223.5278719824837</v>
      </c>
      <c r="T252" s="499">
        <f t="shared" ca="1" si="119"/>
        <v>3287.9984294221331</v>
      </c>
      <c r="U252" s="499">
        <f t="shared" ca="1" si="119"/>
        <v>3353.758398010576</v>
      </c>
      <c r="V252" s="499">
        <f t="shared" ca="1" si="119"/>
        <v>3420.8335659707873</v>
      </c>
      <c r="W252" s="499">
        <f t="shared" ca="1" si="119"/>
        <v>3489.2502372902036</v>
      </c>
      <c r="X252" s="499">
        <f t="shared" ca="1" si="119"/>
        <v>3559.0352420360068</v>
      </c>
      <c r="Y252" s="499">
        <f t="shared" ca="1" si="119"/>
        <v>3630.2159468767277</v>
      </c>
      <c r="Z252" s="499">
        <f t="shared" ca="1" si="119"/>
        <v>3702.8202658142623</v>
      </c>
      <c r="AA252" s="499">
        <f t="shared" ca="1" si="119"/>
        <v>2991.4544897842679</v>
      </c>
      <c r="AB252" s="499">
        <f t="shared" ca="1" si="119"/>
        <v>2402.367773351657</v>
      </c>
      <c r="AC252" s="499">
        <f t="shared" ca="1" si="119"/>
        <v>2071.387976946261</v>
      </c>
      <c r="AD252" s="499">
        <f t="shared" ca="1" si="119"/>
        <v>1684.4297398612371</v>
      </c>
      <c r="AE252" s="499">
        <f t="shared" ca="1" si="119"/>
        <v>1381.868598259897</v>
      </c>
      <c r="AF252" s="499">
        <f t="shared" ca="1" si="119"/>
        <v>1120.7836403365359</v>
      </c>
      <c r="AG252" s="499">
        <f t="shared" ca="1" si="119"/>
        <v>910.39250876791743</v>
      </c>
      <c r="AH252" s="499">
        <f t="shared" ca="1" si="119"/>
        <v>730.08970104537377</v>
      </c>
      <c r="AI252" s="499">
        <f t="shared" ca="1" si="119"/>
        <v>582.21000489803623</v>
      </c>
      <c r="AJ252" s="499">
        <f t="shared" ca="1" si="119"/>
        <v>461.17057351373421</v>
      </c>
      <c r="AK252" s="499">
        <f t="shared" ca="1" si="119"/>
        <v>362.36051586199994</v>
      </c>
      <c r="AL252" s="499">
        <f t="shared" ca="1" si="119"/>
        <v>-144.74960301683149</v>
      </c>
      <c r="AM252" s="499">
        <f t="shared" ca="1" si="119"/>
        <v>216.86080583060547</v>
      </c>
      <c r="AN252" s="499">
        <f t="shared" ca="1" si="119"/>
        <v>155.55166339629073</v>
      </c>
      <c r="AO252" s="499">
        <f t="shared" ca="1" si="119"/>
        <v>113.48248314995762</v>
      </c>
      <c r="AP252" s="499">
        <f t="shared" ca="1" si="119"/>
        <v>-461.89720394635549</v>
      </c>
      <c r="AQ252" s="499">
        <f t="shared" ca="1" si="119"/>
        <v>-471.1351480252826</v>
      </c>
      <c r="AR252" s="499">
        <f t="shared" ca="1" si="119"/>
        <v>0</v>
      </c>
      <c r="AS252" s="499">
        <f t="shared" ca="1" si="119"/>
        <v>0</v>
      </c>
      <c r="AT252" s="499">
        <f t="shared" ca="1" si="119"/>
        <v>0</v>
      </c>
      <c r="AU252" s="499">
        <f t="shared" ca="1" si="119"/>
        <v>0</v>
      </c>
      <c r="AV252" s="499">
        <f t="shared" ca="1" si="119"/>
        <v>0</v>
      </c>
      <c r="AW252" s="499">
        <f t="shared" ca="1" si="119"/>
        <v>0</v>
      </c>
      <c r="AX252" s="499">
        <f t="shared" ca="1" si="119"/>
        <v>0</v>
      </c>
    </row>
    <row r="253" spans="1:50" ht="15" customHeight="1" x14ac:dyDescent="0.25">
      <c r="A253" s="106"/>
      <c r="B253" s="175"/>
      <c r="C253" s="88"/>
      <c r="D253" s="169"/>
      <c r="E253" s="89"/>
      <c r="F253" s="56"/>
      <c r="G253" s="89"/>
      <c r="H253" s="89"/>
      <c r="I253" s="219"/>
      <c r="J253" s="56"/>
      <c r="K253" s="179"/>
      <c r="L253" s="179"/>
      <c r="M253" s="179"/>
      <c r="N253" s="179"/>
      <c r="O253" s="179"/>
      <c r="P253" s="179"/>
      <c r="Q253" s="179"/>
      <c r="R253" s="179"/>
      <c r="S253" s="179"/>
      <c r="T253" s="179"/>
      <c r="U253" s="179"/>
      <c r="V253" s="179"/>
      <c r="W253" s="179"/>
      <c r="X253" s="179"/>
      <c r="Y253" s="179"/>
      <c r="Z253" s="179"/>
      <c r="AA253" s="179"/>
      <c r="AB253" s="179"/>
      <c r="AC253" s="179"/>
      <c r="AD253" s="179"/>
      <c r="AE253" s="179"/>
      <c r="AF253" s="179"/>
      <c r="AG253" s="179"/>
      <c r="AH253" s="179"/>
      <c r="AI253" s="179"/>
      <c r="AJ253" s="179"/>
      <c r="AK253" s="179"/>
      <c r="AL253" s="179"/>
      <c r="AM253" s="179"/>
      <c r="AN253" s="179"/>
      <c r="AO253" s="179"/>
      <c r="AP253" s="179"/>
      <c r="AQ253" s="179"/>
      <c r="AR253" s="179"/>
      <c r="AS253" s="179"/>
      <c r="AT253" s="179"/>
      <c r="AU253" s="179"/>
      <c r="AV253" s="179"/>
      <c r="AW253" s="179"/>
      <c r="AX253" s="179"/>
    </row>
    <row r="254" spans="1:50" ht="15" customHeight="1" x14ac:dyDescent="0.25">
      <c r="A254" s="106"/>
      <c r="B254" s="205" t="str">
        <f>Translate!$E$690</f>
        <v>Project totals</v>
      </c>
      <c r="C254" s="88"/>
      <c r="D254" s="169"/>
      <c r="E254" s="89"/>
      <c r="F254" s="56"/>
      <c r="G254" s="89"/>
      <c r="H254" s="89"/>
      <c r="I254" s="219"/>
      <c r="J254" s="56"/>
      <c r="K254" s="179"/>
      <c r="L254" s="179"/>
      <c r="M254" s="179"/>
      <c r="N254" s="179"/>
      <c r="O254" s="179"/>
      <c r="P254" s="179"/>
      <c r="Q254" s="179"/>
      <c r="R254" s="179"/>
      <c r="S254" s="179"/>
      <c r="T254" s="179"/>
      <c r="U254" s="179"/>
      <c r="V254" s="179"/>
      <c r="W254" s="179"/>
      <c r="X254" s="179"/>
      <c r="Y254" s="179"/>
      <c r="Z254" s="179"/>
      <c r="AA254" s="179"/>
      <c r="AB254" s="179"/>
      <c r="AC254" s="179"/>
      <c r="AD254" s="179"/>
      <c r="AE254" s="179"/>
      <c r="AF254" s="179"/>
      <c r="AG254" s="179"/>
      <c r="AH254" s="179"/>
      <c r="AI254" s="179"/>
      <c r="AJ254" s="179"/>
      <c r="AK254" s="179"/>
      <c r="AL254" s="179"/>
      <c r="AM254" s="179"/>
      <c r="AN254" s="179"/>
      <c r="AO254" s="179"/>
      <c r="AP254" s="179"/>
      <c r="AQ254" s="179"/>
      <c r="AR254" s="179"/>
      <c r="AS254" s="179"/>
      <c r="AT254" s="179"/>
      <c r="AU254" s="179"/>
      <c r="AV254" s="179"/>
      <c r="AW254" s="179"/>
      <c r="AX254" s="179"/>
    </row>
    <row r="255" spans="1:50" ht="15" customHeight="1" x14ac:dyDescent="0.25">
      <c r="A255" s="106"/>
      <c r="B255" s="175"/>
      <c r="C255" s="88"/>
      <c r="D255" s="169"/>
      <c r="E255" s="48" t="str">
        <f xml:space="preserve"> Translate!E$601 &amp; ": "  &amp; E234</f>
        <v>Total: Oil revenues gross, after ELT</v>
      </c>
      <c r="F255" s="56">
        <f ca="1" xml:space="preserve"> SUM(K234:AX234)</f>
        <v>57168.543518412531</v>
      </c>
      <c r="G255" s="48" t="str">
        <f xml:space="preserve"> G234</f>
        <v>US$ mn</v>
      </c>
      <c r="H255" s="48"/>
      <c r="I255" s="219"/>
      <c r="J255" s="56"/>
      <c r="K255" s="179"/>
      <c r="L255" s="179"/>
      <c r="M255" s="179"/>
      <c r="N255" s="179"/>
      <c r="O255" s="179"/>
      <c r="P255" s="179"/>
      <c r="Q255" s="179"/>
      <c r="R255" s="179"/>
      <c r="S255" s="179"/>
      <c r="T255" s="179"/>
      <c r="U255" s="179"/>
      <c r="V255" s="179"/>
      <c r="W255" s="179"/>
      <c r="X255" s="179"/>
      <c r="Y255" s="179"/>
      <c r="Z255" s="179"/>
      <c r="AA255" s="179"/>
      <c r="AB255" s="179"/>
      <c r="AC255" s="179"/>
      <c r="AD255" s="179"/>
      <c r="AE255" s="179"/>
      <c r="AF255" s="179"/>
      <c r="AG255" s="179"/>
      <c r="AH255" s="179"/>
      <c r="AI255" s="179"/>
      <c r="AJ255" s="179"/>
      <c r="AK255" s="179"/>
      <c r="AL255" s="179"/>
      <c r="AM255" s="179"/>
      <c r="AN255" s="179"/>
      <c r="AO255" s="179"/>
      <c r="AP255" s="179"/>
      <c r="AQ255" s="179"/>
      <c r="AR255" s="179"/>
      <c r="AS255" s="179"/>
      <c r="AT255" s="179"/>
      <c r="AU255" s="179"/>
      <c r="AV255" s="179"/>
      <c r="AW255" s="179"/>
      <c r="AX255" s="179"/>
    </row>
    <row r="256" spans="1:50" ht="15" customHeight="1" x14ac:dyDescent="0.25">
      <c r="A256" s="106"/>
      <c r="B256" s="175"/>
      <c r="C256" s="88"/>
      <c r="D256" s="169"/>
      <c r="E256" s="48" t="str">
        <f xml:space="preserve"> Translate!E$601 &amp; ": "  &amp; E235</f>
        <v>Total: Transport costs post-fiscal point, after ELT</v>
      </c>
      <c r="F256" s="56">
        <f ca="1" xml:space="preserve"> SUM(K235:AX235)</f>
        <v>0</v>
      </c>
      <c r="G256" s="48" t="str">
        <f xml:space="preserve"> G235</f>
        <v>US$ mn</v>
      </c>
      <c r="H256" s="48"/>
      <c r="I256" s="219"/>
      <c r="J256" s="56"/>
      <c r="K256" s="179"/>
      <c r="L256" s="179"/>
      <c r="M256" s="179"/>
      <c r="N256" s="179"/>
      <c r="O256" s="179"/>
      <c r="P256" s="179"/>
      <c r="Q256" s="179"/>
      <c r="R256" s="179"/>
      <c r="S256" s="179"/>
      <c r="T256" s="179"/>
      <c r="U256" s="179"/>
      <c r="V256" s="179"/>
      <c r="W256" s="179"/>
      <c r="X256" s="179"/>
      <c r="Y256" s="179"/>
      <c r="Z256" s="179"/>
      <c r="AA256" s="179"/>
      <c r="AB256" s="179"/>
      <c r="AC256" s="179"/>
      <c r="AD256" s="179"/>
      <c r="AE256" s="179"/>
      <c r="AF256" s="179"/>
      <c r="AG256" s="179"/>
      <c r="AH256" s="179"/>
      <c r="AI256" s="179"/>
      <c r="AJ256" s="179"/>
      <c r="AK256" s="179"/>
      <c r="AL256" s="179"/>
      <c r="AM256" s="179"/>
      <c r="AN256" s="179"/>
      <c r="AO256" s="179"/>
      <c r="AP256" s="179"/>
      <c r="AQ256" s="179"/>
      <c r="AR256" s="179"/>
      <c r="AS256" s="179"/>
      <c r="AT256" s="179"/>
      <c r="AU256" s="179"/>
      <c r="AV256" s="179"/>
      <c r="AW256" s="179"/>
      <c r="AX256" s="179"/>
    </row>
    <row r="257" spans="1:50" ht="15" customHeight="1" x14ac:dyDescent="0.25">
      <c r="A257" s="106"/>
      <c r="B257" s="175"/>
      <c r="C257" s="88"/>
      <c r="D257" s="169"/>
      <c r="E257" s="48"/>
      <c r="F257" s="56"/>
      <c r="G257" s="48"/>
      <c r="H257" s="48"/>
      <c r="I257" s="219"/>
      <c r="J257" s="56"/>
      <c r="K257" s="179"/>
      <c r="L257" s="179"/>
      <c r="M257" s="179"/>
      <c r="N257" s="179"/>
      <c r="O257" s="179"/>
      <c r="P257" s="179"/>
      <c r="Q257" s="179"/>
      <c r="R257" s="179"/>
      <c r="S257" s="179"/>
      <c r="T257" s="179"/>
      <c r="U257" s="179"/>
      <c r="V257" s="179"/>
      <c r="W257" s="179"/>
      <c r="X257" s="179"/>
      <c r="Y257" s="179"/>
      <c r="Z257" s="179"/>
      <c r="AA257" s="179"/>
      <c r="AB257" s="179"/>
      <c r="AC257" s="179"/>
      <c r="AD257" s="179"/>
      <c r="AE257" s="179"/>
      <c r="AF257" s="179"/>
      <c r="AG257" s="179"/>
      <c r="AH257" s="179"/>
      <c r="AI257" s="179"/>
      <c r="AJ257" s="179"/>
      <c r="AK257" s="179"/>
      <c r="AL257" s="179"/>
      <c r="AM257" s="179"/>
      <c r="AN257" s="179"/>
      <c r="AO257" s="179"/>
      <c r="AP257" s="179"/>
      <c r="AQ257" s="179"/>
      <c r="AR257" s="179"/>
      <c r="AS257" s="179"/>
      <c r="AT257" s="179"/>
      <c r="AU257" s="179"/>
      <c r="AV257" s="179"/>
      <c r="AW257" s="179"/>
      <c r="AX257" s="179"/>
    </row>
    <row r="258" spans="1:50" ht="15" customHeight="1" x14ac:dyDescent="0.25">
      <c r="A258" s="106"/>
      <c r="B258" s="175"/>
      <c r="C258" s="88"/>
      <c r="D258" s="169"/>
      <c r="E258" s="48" t="str">
        <f xml:space="preserve"> Translate!E$601 &amp; ": "  &amp; E238</f>
        <v>Total: Exploration costs, after ELT</v>
      </c>
      <c r="F258" s="56">
        <f ca="1" xml:space="preserve"> SUM(K238:AX238)</f>
        <v>420</v>
      </c>
      <c r="G258" s="48" t="str">
        <f xml:space="preserve"> G238</f>
        <v>US$ mn</v>
      </c>
      <c r="H258" s="48"/>
      <c r="I258" s="219"/>
      <c r="J258" s="56"/>
      <c r="K258" s="179"/>
      <c r="L258" s="179"/>
      <c r="M258" s="179"/>
      <c r="N258" s="179"/>
      <c r="O258" s="179"/>
      <c r="P258" s="179"/>
      <c r="Q258" s="179"/>
      <c r="R258" s="179"/>
      <c r="S258" s="179"/>
      <c r="T258" s="179"/>
      <c r="U258" s="179"/>
      <c r="V258" s="179"/>
      <c r="W258" s="179"/>
      <c r="X258" s="179"/>
      <c r="Y258" s="179"/>
      <c r="Z258" s="179"/>
      <c r="AA258" s="179"/>
      <c r="AB258" s="179"/>
      <c r="AC258" s="179"/>
      <c r="AD258" s="179"/>
      <c r="AE258" s="179"/>
      <c r="AF258" s="179"/>
      <c r="AG258" s="179"/>
      <c r="AH258" s="179"/>
      <c r="AI258" s="179"/>
      <c r="AJ258" s="179"/>
      <c r="AK258" s="179"/>
      <c r="AL258" s="179"/>
      <c r="AM258" s="179"/>
      <c r="AN258" s="179"/>
      <c r="AO258" s="179"/>
      <c r="AP258" s="179"/>
      <c r="AQ258" s="179"/>
      <c r="AR258" s="179"/>
      <c r="AS258" s="179"/>
      <c r="AT258" s="179"/>
      <c r="AU258" s="179"/>
      <c r="AV258" s="179"/>
      <c r="AW258" s="179"/>
      <c r="AX258" s="179"/>
    </row>
    <row r="259" spans="1:50" ht="15" customHeight="1" x14ac:dyDescent="0.25">
      <c r="A259" s="106"/>
      <c r="B259" s="175"/>
      <c r="C259" s="88"/>
      <c r="D259" s="169"/>
      <c r="E259" s="48" t="str">
        <f xml:space="preserve"> Translate!E$601 &amp; ": "  &amp; E239</f>
        <v>Total: Development costs, after ELT</v>
      </c>
      <c r="F259" s="56">
        <f ca="1" xml:space="preserve"> SUM(K239:AX239)</f>
        <v>10455.572281430788</v>
      </c>
      <c r="G259" s="48" t="str">
        <f xml:space="preserve"> G239</f>
        <v>US$ mn</v>
      </c>
      <c r="H259" s="48"/>
      <c r="I259" s="219"/>
      <c r="J259" s="56"/>
      <c r="K259" s="179"/>
      <c r="L259" s="179"/>
      <c r="M259" s="179"/>
      <c r="N259" s="179"/>
      <c r="O259" s="179"/>
      <c r="P259" s="179"/>
      <c r="Q259" s="179"/>
      <c r="R259" s="179"/>
      <c r="S259" s="179"/>
      <c r="T259" s="179"/>
      <c r="U259" s="179"/>
      <c r="V259" s="179"/>
      <c r="W259" s="179"/>
      <c r="X259" s="179"/>
      <c r="Y259" s="179"/>
      <c r="Z259" s="179"/>
      <c r="AA259" s="179"/>
      <c r="AB259" s="179"/>
      <c r="AC259" s="179"/>
      <c r="AD259" s="179"/>
      <c r="AE259" s="179"/>
      <c r="AF259" s="179"/>
      <c r="AG259" s="179"/>
      <c r="AH259" s="179"/>
      <c r="AI259" s="179"/>
      <c r="AJ259" s="179"/>
      <c r="AK259" s="179"/>
      <c r="AL259" s="179"/>
      <c r="AM259" s="179"/>
      <c r="AN259" s="179"/>
      <c r="AO259" s="179"/>
      <c r="AP259" s="179"/>
      <c r="AQ259" s="179"/>
      <c r="AR259" s="179"/>
      <c r="AS259" s="179"/>
      <c r="AT259" s="179"/>
      <c r="AU259" s="179"/>
      <c r="AV259" s="179"/>
      <c r="AW259" s="179"/>
      <c r="AX259" s="179"/>
    </row>
    <row r="260" spans="1:50" ht="15" customHeight="1" x14ac:dyDescent="0.25">
      <c r="A260" s="106"/>
      <c r="B260" s="175"/>
      <c r="C260" s="88"/>
      <c r="D260" s="169"/>
      <c r="E260" s="48" t="str">
        <f xml:space="preserve"> Translate!E$601 &amp; ": "  &amp; E240</f>
        <v>Total: Replacement capital costs, after ELT</v>
      </c>
      <c r="F260" s="56">
        <f ca="1" xml:space="preserve"> SUM(K240:AX240)</f>
        <v>0</v>
      </c>
      <c r="G260" s="48" t="str">
        <f xml:space="preserve"> G240</f>
        <v>US$ mn</v>
      </c>
      <c r="H260" s="48"/>
      <c r="I260" s="219"/>
      <c r="J260" s="56"/>
      <c r="K260" s="179"/>
      <c r="L260" s="179"/>
      <c r="M260" s="179"/>
      <c r="N260" s="179"/>
      <c r="O260" s="179"/>
      <c r="P260" s="179"/>
      <c r="Q260" s="179"/>
      <c r="R260" s="179"/>
      <c r="S260" s="179"/>
      <c r="T260" s="179"/>
      <c r="U260" s="179"/>
      <c r="V260" s="179"/>
      <c r="W260" s="179"/>
      <c r="X260" s="179"/>
      <c r="Y260" s="179"/>
      <c r="Z260" s="179"/>
      <c r="AA260" s="179"/>
      <c r="AB260" s="179"/>
      <c r="AC260" s="179"/>
      <c r="AD260" s="179"/>
      <c r="AE260" s="179"/>
      <c r="AF260" s="179"/>
      <c r="AG260" s="179"/>
      <c r="AH260" s="179"/>
      <c r="AI260" s="179"/>
      <c r="AJ260" s="179"/>
      <c r="AK260" s="179"/>
      <c r="AL260" s="179"/>
      <c r="AM260" s="179"/>
      <c r="AN260" s="179"/>
      <c r="AO260" s="179"/>
      <c r="AP260" s="179"/>
      <c r="AQ260" s="179"/>
      <c r="AR260" s="179"/>
      <c r="AS260" s="179"/>
      <c r="AT260" s="179"/>
      <c r="AU260" s="179"/>
      <c r="AV260" s="179"/>
      <c r="AW260" s="179"/>
      <c r="AX260" s="179"/>
    </row>
    <row r="261" spans="1:50" ht="15" customHeight="1" x14ac:dyDescent="0.25">
      <c r="A261" s="106"/>
      <c r="B261" s="175"/>
      <c r="C261" s="88"/>
      <c r="D261" s="169"/>
      <c r="E261" s="48" t="str">
        <f xml:space="preserve"> Translate!E$601 &amp; ": "  &amp; E241</f>
        <v>Total: Operating costs, after ELT</v>
      </c>
      <c r="F261" s="56">
        <f ca="1" xml:space="preserve"> SUM(K241:AX241)</f>
        <v>6159.112593390113</v>
      </c>
      <c r="G261" s="48" t="str">
        <f xml:space="preserve"> G241</f>
        <v>US$ mn</v>
      </c>
      <c r="H261" s="48"/>
      <c r="I261" s="219"/>
      <c r="J261" s="56"/>
      <c r="K261" s="179"/>
      <c r="L261" s="179"/>
      <c r="M261" s="179"/>
      <c r="N261" s="179"/>
      <c r="O261" s="179"/>
      <c r="P261" s="179"/>
      <c r="Q261" s="179"/>
      <c r="R261" s="179"/>
      <c r="S261" s="179"/>
      <c r="T261" s="179"/>
      <c r="U261" s="179"/>
      <c r="V261" s="179"/>
      <c r="W261" s="179"/>
      <c r="X261" s="179"/>
      <c r="Y261" s="179"/>
      <c r="Z261" s="179"/>
      <c r="AA261" s="179"/>
      <c r="AB261" s="179"/>
      <c r="AC261" s="179"/>
      <c r="AD261" s="179"/>
      <c r="AE261" s="179"/>
      <c r="AF261" s="179"/>
      <c r="AG261" s="179"/>
      <c r="AH261" s="179"/>
      <c r="AI261" s="179"/>
      <c r="AJ261" s="179"/>
      <c r="AK261" s="179"/>
      <c r="AL261" s="179"/>
      <c r="AM261" s="179"/>
      <c r="AN261" s="179"/>
      <c r="AO261" s="179"/>
      <c r="AP261" s="179"/>
      <c r="AQ261" s="179"/>
      <c r="AR261" s="179"/>
      <c r="AS261" s="179"/>
      <c r="AT261" s="179"/>
      <c r="AU261" s="179"/>
      <c r="AV261" s="179"/>
      <c r="AW261" s="179"/>
      <c r="AX261" s="179"/>
    </row>
    <row r="262" spans="1:50" ht="15" customHeight="1" x14ac:dyDescent="0.25">
      <c r="A262" s="106"/>
      <c r="B262" s="175"/>
      <c r="C262" s="88"/>
      <c r="D262" s="169"/>
      <c r="E262" s="48" t="str">
        <f xml:space="preserve"> Translate!E$601 &amp; ": "  &amp; E242</f>
        <v>Total: Decommissioning costs, after ELT</v>
      </c>
      <c r="F262" s="56">
        <f ca="1" xml:space="preserve"> SUM(K242:AX242)</f>
        <v>1359.7539711319146</v>
      </c>
      <c r="G262" s="48" t="str">
        <f xml:space="preserve"> G242</f>
        <v>US$ mn</v>
      </c>
      <c r="H262" s="48"/>
      <c r="I262" s="219"/>
      <c r="J262" s="56"/>
      <c r="K262" s="179"/>
      <c r="L262" s="179"/>
      <c r="M262" s="179"/>
      <c r="N262" s="179"/>
      <c r="O262" s="179"/>
      <c r="P262" s="179"/>
      <c r="Q262" s="179"/>
      <c r="R262" s="179"/>
      <c r="S262" s="179"/>
      <c r="T262" s="179"/>
      <c r="U262" s="179"/>
      <c r="V262" s="179"/>
      <c r="W262" s="179"/>
      <c r="X262" s="179"/>
      <c r="Y262" s="179"/>
      <c r="Z262" s="179"/>
      <c r="AA262" s="179"/>
      <c r="AB262" s="179"/>
      <c r="AC262" s="179"/>
      <c r="AD262" s="179"/>
      <c r="AE262" s="179"/>
      <c r="AF262" s="179"/>
      <c r="AG262" s="179"/>
      <c r="AH262" s="179"/>
      <c r="AI262" s="179"/>
      <c r="AJ262" s="179"/>
      <c r="AK262" s="179"/>
      <c r="AL262" s="179"/>
      <c r="AM262" s="179"/>
      <c r="AN262" s="179"/>
      <c r="AO262" s="179"/>
      <c r="AP262" s="179"/>
      <c r="AQ262" s="179"/>
      <c r="AR262" s="179"/>
      <c r="AS262" s="179"/>
      <c r="AT262" s="179"/>
      <c r="AU262" s="179"/>
      <c r="AV262" s="179"/>
      <c r="AW262" s="179"/>
      <c r="AX262" s="179"/>
    </row>
    <row r="263" spans="1:50" ht="15" customHeight="1" x14ac:dyDescent="0.25">
      <c r="A263" s="106"/>
      <c r="B263" s="175"/>
      <c r="C263" s="88"/>
      <c r="D263" s="169"/>
      <c r="E263" s="48"/>
      <c r="F263" s="56"/>
      <c r="G263" s="48"/>
      <c r="H263" s="48"/>
      <c r="I263" s="219"/>
      <c r="J263" s="56"/>
      <c r="K263" s="179"/>
      <c r="L263" s="179"/>
      <c r="M263" s="179"/>
      <c r="N263" s="179"/>
      <c r="O263" s="179"/>
      <c r="P263" s="179"/>
      <c r="Q263" s="179"/>
      <c r="R263" s="179"/>
      <c r="S263" s="179"/>
      <c r="T263" s="179"/>
      <c r="U263" s="179"/>
      <c r="V263" s="179"/>
      <c r="W263" s="179"/>
      <c r="X263" s="179"/>
      <c r="Y263" s="179"/>
      <c r="Z263" s="179"/>
      <c r="AA263" s="179"/>
      <c r="AB263" s="179"/>
      <c r="AC263" s="179"/>
      <c r="AD263" s="179"/>
      <c r="AE263" s="179"/>
      <c r="AF263" s="179"/>
      <c r="AG263" s="179"/>
      <c r="AH263" s="179"/>
      <c r="AI263" s="179"/>
      <c r="AJ263" s="179"/>
      <c r="AK263" s="179"/>
      <c r="AL263" s="179"/>
      <c r="AM263" s="179"/>
      <c r="AN263" s="179"/>
      <c r="AO263" s="179"/>
      <c r="AP263" s="179"/>
      <c r="AQ263" s="179"/>
      <c r="AR263" s="179"/>
      <c r="AS263" s="179"/>
      <c r="AT263" s="179"/>
      <c r="AU263" s="179"/>
      <c r="AV263" s="179"/>
      <c r="AW263" s="179"/>
      <c r="AX263" s="179"/>
    </row>
    <row r="264" spans="1:50" ht="15" customHeight="1" x14ac:dyDescent="0.25">
      <c r="A264" s="106"/>
      <c r="B264" s="175"/>
      <c r="C264" s="88"/>
      <c r="D264" s="169"/>
      <c r="E264" s="48" t="str">
        <f xml:space="preserve"> Translate!E$601 &amp; ": "  &amp; E245</f>
        <v>Total: Cashflow before decommissioning fund</v>
      </c>
      <c r="F264" s="56">
        <f ca="1" xml:space="preserve"> SUM(K245:AX245)</f>
        <v>38774.104672459696</v>
      </c>
      <c r="G264" s="48" t="str">
        <f xml:space="preserve"> G245</f>
        <v>US$ mn</v>
      </c>
      <c r="H264" s="48"/>
      <c r="I264" s="219"/>
      <c r="J264" s="56"/>
      <c r="K264" s="179"/>
      <c r="L264" s="179"/>
      <c r="M264" s="179"/>
      <c r="N264" s="179"/>
      <c r="O264" s="179"/>
      <c r="P264" s="179"/>
      <c r="Q264" s="179"/>
      <c r="R264" s="179"/>
      <c r="S264" s="179"/>
      <c r="T264" s="179"/>
      <c r="U264" s="179"/>
      <c r="V264" s="179"/>
      <c r="W264" s="179"/>
      <c r="X264" s="179"/>
      <c r="Y264" s="179"/>
      <c r="Z264" s="179"/>
      <c r="AA264" s="179"/>
      <c r="AB264" s="179"/>
      <c r="AC264" s="179"/>
      <c r="AD264" s="179"/>
      <c r="AE264" s="179"/>
      <c r="AF264" s="179"/>
      <c r="AG264" s="179"/>
      <c r="AH264" s="179"/>
      <c r="AI264" s="179"/>
      <c r="AJ264" s="179"/>
      <c r="AK264" s="179"/>
      <c r="AL264" s="179"/>
      <c r="AM264" s="179"/>
      <c r="AN264" s="179"/>
      <c r="AO264" s="179"/>
      <c r="AP264" s="179"/>
      <c r="AQ264" s="179"/>
      <c r="AR264" s="179"/>
      <c r="AS264" s="179"/>
      <c r="AT264" s="179"/>
      <c r="AU264" s="179"/>
      <c r="AV264" s="179"/>
      <c r="AW264" s="179"/>
      <c r="AX264" s="179"/>
    </row>
    <row r="265" spans="1:50" ht="15" customHeight="1" x14ac:dyDescent="0.25">
      <c r="A265" s="86"/>
      <c r="B265" s="175"/>
      <c r="C265" s="88"/>
      <c r="D265" s="169"/>
      <c r="E265" s="48"/>
      <c r="F265" s="56"/>
      <c r="G265" s="48"/>
      <c r="H265" s="48"/>
      <c r="I265" s="219"/>
      <c r="J265" s="56"/>
      <c r="K265" s="179"/>
      <c r="L265" s="179"/>
      <c r="M265" s="179"/>
      <c r="N265" s="179"/>
      <c r="O265" s="179"/>
      <c r="P265" s="179"/>
      <c r="Q265" s="179"/>
      <c r="R265" s="179"/>
      <c r="S265" s="179"/>
      <c r="T265" s="179"/>
      <c r="U265" s="179"/>
      <c r="V265" s="179"/>
      <c r="W265" s="179"/>
      <c r="X265" s="179"/>
      <c r="Y265" s="179"/>
      <c r="Z265" s="179"/>
      <c r="AA265" s="179"/>
      <c r="AB265" s="179"/>
      <c r="AC265" s="179"/>
      <c r="AD265" s="179"/>
      <c r="AE265" s="179"/>
      <c r="AF265" s="179"/>
      <c r="AG265" s="179"/>
      <c r="AH265" s="179"/>
      <c r="AI265" s="179"/>
      <c r="AJ265" s="179"/>
      <c r="AK265" s="179"/>
      <c r="AL265" s="179"/>
      <c r="AM265" s="179"/>
      <c r="AN265" s="179"/>
      <c r="AO265" s="179"/>
      <c r="AP265" s="179"/>
      <c r="AQ265" s="179"/>
      <c r="AR265" s="179"/>
      <c r="AS265" s="179"/>
      <c r="AT265" s="179"/>
      <c r="AU265" s="179"/>
      <c r="AV265" s="179"/>
      <c r="AW265" s="179"/>
      <c r="AX265" s="179"/>
    </row>
    <row r="266" spans="1:50" ht="15" customHeight="1" x14ac:dyDescent="0.25">
      <c r="A266" s="86"/>
      <c r="B266" s="175"/>
      <c r="C266" s="88"/>
      <c r="D266" s="169"/>
      <c r="E266" s="48" t="str">
        <f>Translate!E755 &amp; E264</f>
        <v>Check: Total: Cashflow before decommissioning fund</v>
      </c>
      <c r="F266" s="36">
        <f ca="1" xml:space="preserve"> IF( ABS(F255 - F256 - SUM(F258:F262) - F264 ) &gt; CHK_TOL, 1, 0)</f>
        <v>0</v>
      </c>
      <c r="G266" s="48" t="str">
        <f xml:space="preserve"> Translate!E$604</f>
        <v>Check</v>
      </c>
      <c r="H266" s="48"/>
      <c r="I266" s="219"/>
      <c r="J266" s="56"/>
      <c r="K266" s="179"/>
      <c r="L266" s="179"/>
      <c r="M266" s="179"/>
      <c r="N266" s="179"/>
      <c r="O266" s="179"/>
      <c r="P266" s="179"/>
      <c r="Q266" s="179"/>
      <c r="R266" s="179"/>
      <c r="S266" s="179"/>
      <c r="T266" s="179"/>
      <c r="U266" s="179"/>
      <c r="V266" s="179"/>
      <c r="W266" s="179"/>
      <c r="X266" s="179"/>
      <c r="Y266" s="179"/>
      <c r="Z266" s="179"/>
      <c r="AA266" s="179"/>
      <c r="AB266" s="179"/>
      <c r="AC266" s="179"/>
      <c r="AD266" s="179"/>
      <c r="AE266" s="179"/>
      <c r="AF266" s="179"/>
      <c r="AG266" s="179"/>
      <c r="AH266" s="179"/>
      <c r="AI266" s="179"/>
      <c r="AJ266" s="179"/>
      <c r="AK266" s="179"/>
      <c r="AL266" s="179"/>
      <c r="AM266" s="179"/>
      <c r="AN266" s="179"/>
      <c r="AO266" s="179"/>
      <c r="AP266" s="179"/>
      <c r="AQ266" s="179"/>
      <c r="AR266" s="179"/>
      <c r="AS266" s="179"/>
      <c r="AT266" s="179"/>
      <c r="AU266" s="179"/>
      <c r="AV266" s="179"/>
      <c r="AW266" s="179"/>
      <c r="AX266" s="179"/>
    </row>
    <row r="269" spans="1:50" ht="15" customHeight="1" x14ac:dyDescent="0.25">
      <c r="A269" s="202" t="str">
        <f>Translate!$E$678</f>
        <v>GHG emissions</v>
      </c>
      <c r="B269" s="202"/>
      <c r="C269" s="203"/>
      <c r="D269" s="204"/>
      <c r="E269" s="99"/>
      <c r="F269" s="99"/>
      <c r="G269" s="99"/>
      <c r="H269" s="99"/>
      <c r="I269" s="99"/>
      <c r="J269" s="99"/>
      <c r="K269" s="99"/>
      <c r="L269" s="99"/>
      <c r="M269" s="99"/>
      <c r="N269" s="99"/>
      <c r="O269" s="99"/>
      <c r="P269" s="99"/>
      <c r="Q269" s="99"/>
      <c r="R269" s="99"/>
      <c r="S269" s="99"/>
      <c r="T269" s="99"/>
      <c r="U269" s="99"/>
      <c r="V269" s="99"/>
      <c r="W269" s="99"/>
      <c r="X269" s="99"/>
      <c r="Y269" s="99"/>
      <c r="Z269" s="99"/>
      <c r="AA269" s="99"/>
      <c r="AB269" s="99"/>
      <c r="AC269" s="99"/>
      <c r="AD269" s="99"/>
      <c r="AE269" s="99"/>
      <c r="AF269" s="99"/>
      <c r="AG269" s="99"/>
      <c r="AH269" s="99"/>
      <c r="AI269" s="99"/>
      <c r="AJ269" s="99"/>
      <c r="AK269" s="99"/>
      <c r="AL269" s="99"/>
      <c r="AM269" s="99"/>
      <c r="AN269" s="99"/>
      <c r="AO269" s="99"/>
      <c r="AP269" s="99"/>
      <c r="AQ269" s="99"/>
      <c r="AR269" s="99"/>
      <c r="AS269" s="99"/>
      <c r="AT269" s="99"/>
      <c r="AU269" s="99"/>
      <c r="AV269" s="99"/>
      <c r="AW269" s="99"/>
      <c r="AX269" s="99"/>
    </row>
    <row r="270" spans="1:50" ht="15" customHeight="1" x14ac:dyDescent="0.25">
      <c r="A270" s="86"/>
      <c r="B270" s="175"/>
      <c r="C270" s="88"/>
      <c r="D270" s="162"/>
      <c r="E270" s="52"/>
      <c r="F270" s="56"/>
      <c r="G270" s="52"/>
      <c r="H270" s="52"/>
      <c r="I270" s="89"/>
      <c r="J270" s="52"/>
      <c r="K270" s="208"/>
      <c r="L270" s="208"/>
      <c r="M270" s="208"/>
      <c r="N270" s="208"/>
      <c r="O270" s="208"/>
      <c r="P270" s="208"/>
      <c r="Q270" s="208"/>
      <c r="R270" s="208"/>
      <c r="S270" s="208"/>
      <c r="T270" s="208"/>
      <c r="U270" s="208"/>
      <c r="V270" s="208"/>
      <c r="W270" s="208"/>
      <c r="X270" s="208"/>
      <c r="Y270" s="208"/>
      <c r="Z270" s="208"/>
      <c r="AA270" s="208"/>
      <c r="AB270" s="208"/>
      <c r="AC270" s="208"/>
      <c r="AD270" s="208"/>
      <c r="AE270" s="208"/>
      <c r="AF270" s="208"/>
      <c r="AG270" s="208"/>
      <c r="AH270" s="208"/>
      <c r="AI270" s="208"/>
      <c r="AJ270" s="208"/>
      <c r="AK270" s="208"/>
      <c r="AL270" s="208"/>
      <c r="AM270" s="208"/>
      <c r="AN270" s="208"/>
      <c r="AO270" s="208"/>
      <c r="AP270" s="208"/>
      <c r="AQ270" s="208"/>
      <c r="AR270" s="208"/>
      <c r="AS270" s="208"/>
      <c r="AT270" s="208"/>
      <c r="AU270" s="208"/>
      <c r="AV270" s="208"/>
      <c r="AW270" s="208"/>
      <c r="AX270" s="208"/>
    </row>
    <row r="271" spans="1:50" ht="15" customHeight="1" x14ac:dyDescent="0.25">
      <c r="A271" s="86"/>
      <c r="B271" s="205" t="str">
        <f>Translate!$E$691</f>
        <v>Scope 1: Upstream emissions</v>
      </c>
      <c r="C271" s="88"/>
      <c r="D271" s="162"/>
      <c r="E271" s="52"/>
      <c r="F271" s="56"/>
      <c r="G271" s="52"/>
      <c r="H271" s="52"/>
      <c r="I271" s="89"/>
      <c r="J271" s="52"/>
      <c r="K271" s="208"/>
      <c r="L271" s="208"/>
      <c r="M271" s="208"/>
      <c r="N271" s="208"/>
      <c r="O271" s="208"/>
      <c r="P271" s="208"/>
      <c r="Q271" s="208"/>
      <c r="R271" s="208"/>
      <c r="S271" s="208"/>
      <c r="T271" s="208"/>
      <c r="U271" s="208"/>
      <c r="V271" s="208"/>
      <c r="W271" s="208"/>
      <c r="X271" s="208"/>
      <c r="Y271" s="208"/>
      <c r="Z271" s="208"/>
      <c r="AA271" s="208"/>
      <c r="AB271" s="208"/>
      <c r="AC271" s="208"/>
      <c r="AD271" s="208"/>
      <c r="AE271" s="208"/>
      <c r="AF271" s="208"/>
      <c r="AG271" s="208"/>
      <c r="AH271" s="208"/>
      <c r="AI271" s="208"/>
      <c r="AJ271" s="208"/>
      <c r="AK271" s="208"/>
      <c r="AL271" s="208"/>
      <c r="AM271" s="208"/>
      <c r="AN271" s="208"/>
      <c r="AO271" s="208"/>
      <c r="AP271" s="208"/>
      <c r="AQ271" s="208"/>
      <c r="AR271" s="208"/>
      <c r="AS271" s="208"/>
      <c r="AT271" s="208"/>
      <c r="AU271" s="208"/>
      <c r="AV271" s="208"/>
      <c r="AW271" s="208"/>
      <c r="AX271" s="208"/>
    </row>
    <row r="272" spans="1:50" ht="15" customHeight="1" x14ac:dyDescent="0.25">
      <c r="A272" s="86"/>
      <c r="B272" s="205"/>
      <c r="C272" s="88"/>
      <c r="D272" s="162"/>
      <c r="E272" s="140" t="str">
        <f xml:space="preserve"> Inputs!E$69</f>
        <v>BoE energy content</v>
      </c>
      <c r="F272" s="140">
        <f xml:space="preserve"> Inputs!F$69</f>
        <v>6120</v>
      </c>
      <c r="G272" s="140" t="str">
        <f xml:space="preserve"> Inputs!G$69</f>
        <v>MJ/BoE</v>
      </c>
      <c r="H272" s="52"/>
      <c r="I272" s="89"/>
      <c r="J272" s="52"/>
      <c r="K272" s="208"/>
      <c r="L272" s="208"/>
      <c r="M272" s="208"/>
      <c r="N272" s="208"/>
      <c r="O272" s="208"/>
      <c r="P272" s="208"/>
      <c r="Q272" s="208"/>
      <c r="R272" s="208"/>
      <c r="S272" s="208"/>
      <c r="T272" s="208"/>
      <c r="U272" s="208"/>
      <c r="V272" s="208"/>
      <c r="W272" s="208"/>
      <c r="X272" s="208"/>
      <c r="Y272" s="208"/>
      <c r="Z272" s="208"/>
      <c r="AA272" s="208"/>
      <c r="AB272" s="208"/>
      <c r="AC272" s="208"/>
      <c r="AD272" s="208"/>
      <c r="AE272" s="208"/>
      <c r="AF272" s="208"/>
      <c r="AG272" s="208"/>
      <c r="AH272" s="208"/>
      <c r="AI272" s="208"/>
      <c r="AJ272" s="208"/>
      <c r="AK272" s="208"/>
      <c r="AL272" s="208"/>
      <c r="AM272" s="208"/>
      <c r="AN272" s="208"/>
      <c r="AO272" s="208"/>
      <c r="AP272" s="208"/>
      <c r="AQ272" s="208"/>
      <c r="AR272" s="208"/>
      <c r="AS272" s="208"/>
      <c r="AT272" s="208"/>
      <c r="AU272" s="208"/>
      <c r="AV272" s="208"/>
      <c r="AW272" s="208"/>
      <c r="AX272" s="208"/>
    </row>
    <row r="273" spans="1:50" ht="15" customHeight="1" x14ac:dyDescent="0.25">
      <c r="A273" s="86"/>
      <c r="B273" s="205"/>
      <c r="C273" s="88"/>
      <c r="D273" s="162"/>
      <c r="E273" s="190" t="str">
        <f t="shared" ref="E273:AX273" si="120" xml:space="preserve"> E$132</f>
        <v>Oil production Volume after ELT</v>
      </c>
      <c r="F273" s="190">
        <f t="shared" si="120"/>
        <v>0</v>
      </c>
      <c r="G273" s="190" t="str">
        <f t="shared" si="120"/>
        <v>Mn Bbl</v>
      </c>
      <c r="H273" s="190">
        <f t="shared" si="120"/>
        <v>0</v>
      </c>
      <c r="I273" s="190">
        <f t="shared" ca="1" si="120"/>
        <v>801.87316114953705</v>
      </c>
      <c r="J273" s="190">
        <f t="shared" si="120"/>
        <v>0</v>
      </c>
      <c r="K273" s="190">
        <f t="shared" ca="1" si="120"/>
        <v>0</v>
      </c>
      <c r="L273" s="190">
        <f t="shared" ca="1" si="120"/>
        <v>0</v>
      </c>
      <c r="M273" s="190">
        <f t="shared" ca="1" si="120"/>
        <v>0</v>
      </c>
      <c r="N273" s="190">
        <f t="shared" ca="1" si="120"/>
        <v>0</v>
      </c>
      <c r="O273" s="190">
        <f t="shared" ca="1" si="120"/>
        <v>3.4846974211692809</v>
      </c>
      <c r="P273" s="190">
        <f t="shared" ca="1" si="120"/>
        <v>27.375</v>
      </c>
      <c r="Q273" s="190">
        <f t="shared" ca="1" si="120"/>
        <v>54.75</v>
      </c>
      <c r="R273" s="190">
        <f t="shared" ca="1" si="120"/>
        <v>54.75</v>
      </c>
      <c r="S273" s="190">
        <f t="shared" ca="1" si="120"/>
        <v>54.75</v>
      </c>
      <c r="T273" s="190">
        <f t="shared" ca="1" si="120"/>
        <v>54.75</v>
      </c>
      <c r="U273" s="190">
        <f t="shared" ca="1" si="120"/>
        <v>54.75</v>
      </c>
      <c r="V273" s="190">
        <f t="shared" ca="1" si="120"/>
        <v>54.75</v>
      </c>
      <c r="W273" s="190">
        <f t="shared" ca="1" si="120"/>
        <v>54.75</v>
      </c>
      <c r="X273" s="190">
        <f t="shared" ca="1" si="120"/>
        <v>54.75</v>
      </c>
      <c r="Y273" s="190">
        <f t="shared" ca="1" si="120"/>
        <v>54.75</v>
      </c>
      <c r="Z273" s="190">
        <f t="shared" ca="1" si="120"/>
        <v>54.75</v>
      </c>
      <c r="AA273" s="190">
        <f t="shared" ca="1" si="120"/>
        <v>44.347500000000011</v>
      </c>
      <c r="AB273" s="190">
        <f t="shared" ca="1" si="120"/>
        <v>35.921475000000008</v>
      </c>
      <c r="AC273" s="190">
        <f t="shared" ca="1" si="120"/>
        <v>29.096394750000009</v>
      </c>
      <c r="AD273" s="190">
        <f t="shared" ca="1" si="120"/>
        <v>23.568079747500011</v>
      </c>
      <c r="AE273" s="190">
        <f t="shared" ca="1" si="120"/>
        <v>19.09014459547501</v>
      </c>
      <c r="AF273" s="190">
        <f t="shared" ca="1" si="120"/>
        <v>15.463017122334758</v>
      </c>
      <c r="AG273" s="190">
        <f t="shared" ca="1" si="120"/>
        <v>12.525043869091157</v>
      </c>
      <c r="AH273" s="190">
        <f t="shared" ca="1" si="120"/>
        <v>10.145285533963838</v>
      </c>
      <c r="AI273" s="190">
        <f t="shared" ca="1" si="120"/>
        <v>8.2176812825107088</v>
      </c>
      <c r="AJ273" s="190">
        <f t="shared" ca="1" si="120"/>
        <v>6.6563218388336738</v>
      </c>
      <c r="AK273" s="190">
        <f t="shared" ca="1" si="120"/>
        <v>5.3916206894552765</v>
      </c>
      <c r="AL273" s="190">
        <f t="shared" ca="1" si="120"/>
        <v>4.3672127584587734</v>
      </c>
      <c r="AM273" s="190">
        <f t="shared" ca="1" si="120"/>
        <v>3.5374423343516064</v>
      </c>
      <c r="AN273" s="190">
        <f t="shared" ca="1" si="120"/>
        <v>2.8653282908248014</v>
      </c>
      <c r="AO273" s="190">
        <f t="shared" ca="1" si="120"/>
        <v>2.3209159155680896</v>
      </c>
      <c r="AP273" s="190">
        <f t="shared" ca="1" si="120"/>
        <v>0</v>
      </c>
      <c r="AQ273" s="190">
        <f t="shared" ca="1" si="120"/>
        <v>0</v>
      </c>
      <c r="AR273" s="190">
        <f t="shared" ca="1" si="120"/>
        <v>0</v>
      </c>
      <c r="AS273" s="190">
        <f t="shared" ca="1" si="120"/>
        <v>0</v>
      </c>
      <c r="AT273" s="190">
        <f t="shared" ca="1" si="120"/>
        <v>0</v>
      </c>
      <c r="AU273" s="190">
        <f t="shared" ca="1" si="120"/>
        <v>0</v>
      </c>
      <c r="AV273" s="190">
        <f t="shared" ca="1" si="120"/>
        <v>0</v>
      </c>
      <c r="AW273" s="190">
        <f t="shared" ca="1" si="120"/>
        <v>0</v>
      </c>
      <c r="AX273" s="190">
        <f t="shared" ca="1" si="120"/>
        <v>0</v>
      </c>
    </row>
    <row r="274" spans="1:50" ht="15" customHeight="1" x14ac:dyDescent="0.25">
      <c r="A274" s="86"/>
      <c r="B274" s="205"/>
      <c r="C274" s="88"/>
      <c r="D274" s="162"/>
      <c r="E274" s="52" t="str">
        <f>Translate!E672</f>
        <v>Oil production energy content</v>
      </c>
      <c r="F274" s="56"/>
      <c r="G274" s="52" t="str">
        <f xml:space="preserve"> Translate!E$87 &amp; " " &amp; Translate!E$89</f>
        <v>MJ mn</v>
      </c>
      <c r="H274" s="52"/>
      <c r="I274" s="89">
        <f ca="1" xml:space="preserve"> SUM(K274:AX274)</f>
        <v>4907463.7462351676</v>
      </c>
      <c r="J274" s="52"/>
      <c r="K274" s="384">
        <f t="shared" ref="K274:AX274" ca="1" si="121" xml:space="preserve"> K273 * $F272</f>
        <v>0</v>
      </c>
      <c r="L274" s="384">
        <f t="shared" ca="1" si="121"/>
        <v>0</v>
      </c>
      <c r="M274" s="384">
        <f t="shared" ca="1" si="121"/>
        <v>0</v>
      </c>
      <c r="N274" s="384">
        <f t="shared" ca="1" si="121"/>
        <v>0</v>
      </c>
      <c r="O274" s="384">
        <f t="shared" ca="1" si="121"/>
        <v>21326.348217555998</v>
      </c>
      <c r="P274" s="384">
        <f t="shared" ca="1" si="121"/>
        <v>167535</v>
      </c>
      <c r="Q274" s="384">
        <f t="shared" ca="1" si="121"/>
        <v>335070</v>
      </c>
      <c r="R274" s="384">
        <f t="shared" ca="1" si="121"/>
        <v>335070</v>
      </c>
      <c r="S274" s="384">
        <f t="shared" ca="1" si="121"/>
        <v>335070</v>
      </c>
      <c r="T274" s="384">
        <f t="shared" ca="1" si="121"/>
        <v>335070</v>
      </c>
      <c r="U274" s="384">
        <f t="shared" ca="1" si="121"/>
        <v>335070</v>
      </c>
      <c r="V274" s="384">
        <f t="shared" ca="1" si="121"/>
        <v>335070</v>
      </c>
      <c r="W274" s="384">
        <f t="shared" ca="1" si="121"/>
        <v>335070</v>
      </c>
      <c r="X274" s="384">
        <f t="shared" ca="1" si="121"/>
        <v>335070</v>
      </c>
      <c r="Y274" s="384">
        <f t="shared" ca="1" si="121"/>
        <v>335070</v>
      </c>
      <c r="Z274" s="384">
        <f t="shared" ca="1" si="121"/>
        <v>335070</v>
      </c>
      <c r="AA274" s="384">
        <f t="shared" ca="1" si="121"/>
        <v>271406.70000000007</v>
      </c>
      <c r="AB274" s="384">
        <f t="shared" ca="1" si="121"/>
        <v>219839.42700000005</v>
      </c>
      <c r="AC274" s="384">
        <f t="shared" ca="1" si="121"/>
        <v>178069.93587000004</v>
      </c>
      <c r="AD274" s="384">
        <f t="shared" ca="1" si="121"/>
        <v>144236.64805470008</v>
      </c>
      <c r="AE274" s="384">
        <f t="shared" ca="1" si="121"/>
        <v>116831.68492430706</v>
      </c>
      <c r="AF274" s="384">
        <f t="shared" ca="1" si="121"/>
        <v>94633.664788688722</v>
      </c>
      <c r="AG274" s="384">
        <f t="shared" ca="1" si="121"/>
        <v>76653.268478837883</v>
      </c>
      <c r="AH274" s="384">
        <f t="shared" ca="1" si="121"/>
        <v>62089.147467858689</v>
      </c>
      <c r="AI274" s="384">
        <f t="shared" ca="1" si="121"/>
        <v>50292.209448965536</v>
      </c>
      <c r="AJ274" s="384">
        <f t="shared" ca="1" si="121"/>
        <v>40736.689653662084</v>
      </c>
      <c r="AK274" s="384">
        <f t="shared" ca="1" si="121"/>
        <v>32996.718619466294</v>
      </c>
      <c r="AL274" s="384">
        <f t="shared" ca="1" si="121"/>
        <v>26727.342081767692</v>
      </c>
      <c r="AM274" s="384">
        <f t="shared" ca="1" si="121"/>
        <v>21649.147086231831</v>
      </c>
      <c r="AN274" s="384">
        <f t="shared" ca="1" si="121"/>
        <v>17535.809139847785</v>
      </c>
      <c r="AO274" s="384">
        <f t="shared" ca="1" si="121"/>
        <v>14204.005403276709</v>
      </c>
      <c r="AP274" s="384">
        <f t="shared" ca="1" si="121"/>
        <v>0</v>
      </c>
      <c r="AQ274" s="384">
        <f t="shared" ca="1" si="121"/>
        <v>0</v>
      </c>
      <c r="AR274" s="384">
        <f t="shared" ca="1" si="121"/>
        <v>0</v>
      </c>
      <c r="AS274" s="384">
        <f t="shared" ca="1" si="121"/>
        <v>0</v>
      </c>
      <c r="AT274" s="384">
        <f t="shared" ca="1" si="121"/>
        <v>0</v>
      </c>
      <c r="AU274" s="384">
        <f t="shared" ca="1" si="121"/>
        <v>0</v>
      </c>
      <c r="AV274" s="384">
        <f t="shared" ca="1" si="121"/>
        <v>0</v>
      </c>
      <c r="AW274" s="384">
        <f t="shared" ca="1" si="121"/>
        <v>0</v>
      </c>
      <c r="AX274" s="384">
        <f t="shared" ca="1" si="121"/>
        <v>0</v>
      </c>
    </row>
    <row r="275" spans="1:50" ht="15" customHeight="1" x14ac:dyDescent="0.25">
      <c r="A275" s="86"/>
      <c r="B275" s="205"/>
      <c r="C275" s="88"/>
      <c r="D275" s="162"/>
      <c r="E275" s="52"/>
      <c r="F275" s="56"/>
      <c r="G275" s="52"/>
      <c r="H275" s="52"/>
      <c r="I275" s="89"/>
      <c r="J275" s="52"/>
      <c r="K275" s="208"/>
      <c r="L275" s="208"/>
      <c r="M275" s="208"/>
      <c r="N275" s="208"/>
      <c r="O275" s="208"/>
      <c r="P275" s="208"/>
      <c r="Q275" s="208"/>
      <c r="R275" s="208"/>
      <c r="S275" s="208"/>
      <c r="T275" s="208"/>
      <c r="U275" s="208"/>
      <c r="V275" s="208"/>
      <c r="W275" s="208"/>
      <c r="X275" s="208"/>
      <c r="Y275" s="208"/>
      <c r="Z275" s="208"/>
      <c r="AA275" s="208"/>
      <c r="AB275" s="208"/>
      <c r="AC275" s="208"/>
      <c r="AD275" s="208"/>
      <c r="AE275" s="208"/>
      <c r="AF275" s="208"/>
      <c r="AG275" s="208"/>
      <c r="AH275" s="208"/>
      <c r="AI275" s="208"/>
      <c r="AJ275" s="208"/>
      <c r="AK275" s="208"/>
      <c r="AL275" s="208"/>
      <c r="AM275" s="208"/>
      <c r="AN275" s="208"/>
      <c r="AO275" s="208"/>
      <c r="AP275" s="208"/>
      <c r="AQ275" s="208"/>
      <c r="AR275" s="208"/>
      <c r="AS275" s="208"/>
      <c r="AT275" s="208"/>
      <c r="AU275" s="208"/>
      <c r="AV275" s="208"/>
      <c r="AW275" s="208"/>
      <c r="AX275" s="208"/>
    </row>
    <row r="276" spans="1:50" ht="15" customHeight="1" x14ac:dyDescent="0.25">
      <c r="A276" s="86"/>
      <c r="B276" s="205"/>
      <c r="C276" s="88"/>
      <c r="D276" s="162"/>
      <c r="E276" s="55" t="str">
        <f t="shared" ref="E276:J276" si="122" xml:space="preserve"> E274</f>
        <v>Oil production energy content</v>
      </c>
      <c r="F276" s="55">
        <f t="shared" si="122"/>
        <v>0</v>
      </c>
      <c r="G276" s="52" t="str">
        <f xml:space="preserve"> Translate!E$87 &amp; " " &amp; Translate!E$89</f>
        <v>MJ mn</v>
      </c>
      <c r="H276" s="55">
        <f t="shared" si="122"/>
        <v>0</v>
      </c>
      <c r="I276" s="55">
        <f t="shared" ca="1" si="122"/>
        <v>4907463.7462351676</v>
      </c>
      <c r="J276" s="55">
        <f t="shared" si="122"/>
        <v>0</v>
      </c>
      <c r="K276" s="55">
        <f t="shared" ref="K276:AX276" ca="1" si="123" xml:space="preserve"> K274</f>
        <v>0</v>
      </c>
      <c r="L276" s="55">
        <f t="shared" ca="1" si="123"/>
        <v>0</v>
      </c>
      <c r="M276" s="55">
        <f t="shared" ca="1" si="123"/>
        <v>0</v>
      </c>
      <c r="N276" s="55">
        <f t="shared" ca="1" si="123"/>
        <v>0</v>
      </c>
      <c r="O276" s="55">
        <f t="shared" ca="1" si="123"/>
        <v>21326.348217555998</v>
      </c>
      <c r="P276" s="55">
        <f t="shared" ca="1" si="123"/>
        <v>167535</v>
      </c>
      <c r="Q276" s="55">
        <f t="shared" ca="1" si="123"/>
        <v>335070</v>
      </c>
      <c r="R276" s="55">
        <f t="shared" ca="1" si="123"/>
        <v>335070</v>
      </c>
      <c r="S276" s="55">
        <f t="shared" ca="1" si="123"/>
        <v>335070</v>
      </c>
      <c r="T276" s="55">
        <f t="shared" ca="1" si="123"/>
        <v>335070</v>
      </c>
      <c r="U276" s="55">
        <f t="shared" ca="1" si="123"/>
        <v>335070</v>
      </c>
      <c r="V276" s="55">
        <f t="shared" ca="1" si="123"/>
        <v>335070</v>
      </c>
      <c r="W276" s="55">
        <f t="shared" ca="1" si="123"/>
        <v>335070</v>
      </c>
      <c r="X276" s="55">
        <f t="shared" ca="1" si="123"/>
        <v>335070</v>
      </c>
      <c r="Y276" s="55">
        <f t="shared" ca="1" si="123"/>
        <v>335070</v>
      </c>
      <c r="Z276" s="55">
        <f t="shared" ca="1" si="123"/>
        <v>335070</v>
      </c>
      <c r="AA276" s="55">
        <f t="shared" ca="1" si="123"/>
        <v>271406.70000000007</v>
      </c>
      <c r="AB276" s="55">
        <f t="shared" ca="1" si="123"/>
        <v>219839.42700000005</v>
      </c>
      <c r="AC276" s="55">
        <f t="shared" ca="1" si="123"/>
        <v>178069.93587000004</v>
      </c>
      <c r="AD276" s="55">
        <f t="shared" ca="1" si="123"/>
        <v>144236.64805470008</v>
      </c>
      <c r="AE276" s="55">
        <f t="shared" ca="1" si="123"/>
        <v>116831.68492430706</v>
      </c>
      <c r="AF276" s="55">
        <f t="shared" ca="1" si="123"/>
        <v>94633.664788688722</v>
      </c>
      <c r="AG276" s="55">
        <f t="shared" ca="1" si="123"/>
        <v>76653.268478837883</v>
      </c>
      <c r="AH276" s="55">
        <f t="shared" ca="1" si="123"/>
        <v>62089.147467858689</v>
      </c>
      <c r="AI276" s="55">
        <f t="shared" ca="1" si="123"/>
        <v>50292.209448965536</v>
      </c>
      <c r="AJ276" s="55">
        <f t="shared" ca="1" si="123"/>
        <v>40736.689653662084</v>
      </c>
      <c r="AK276" s="55">
        <f t="shared" ca="1" si="123"/>
        <v>32996.718619466294</v>
      </c>
      <c r="AL276" s="55">
        <f t="shared" ca="1" si="123"/>
        <v>26727.342081767692</v>
      </c>
      <c r="AM276" s="55">
        <f t="shared" ca="1" si="123"/>
        <v>21649.147086231831</v>
      </c>
      <c r="AN276" s="55">
        <f t="shared" ca="1" si="123"/>
        <v>17535.809139847785</v>
      </c>
      <c r="AO276" s="55">
        <f t="shared" ca="1" si="123"/>
        <v>14204.005403276709</v>
      </c>
      <c r="AP276" s="55">
        <f t="shared" ca="1" si="123"/>
        <v>0</v>
      </c>
      <c r="AQ276" s="55">
        <f t="shared" ca="1" si="123"/>
        <v>0</v>
      </c>
      <c r="AR276" s="55">
        <f t="shared" ca="1" si="123"/>
        <v>0</v>
      </c>
      <c r="AS276" s="55">
        <f t="shared" ca="1" si="123"/>
        <v>0</v>
      </c>
      <c r="AT276" s="55">
        <f t="shared" ca="1" si="123"/>
        <v>0</v>
      </c>
      <c r="AU276" s="55">
        <f t="shared" ca="1" si="123"/>
        <v>0</v>
      </c>
      <c r="AV276" s="55">
        <f t="shared" ca="1" si="123"/>
        <v>0</v>
      </c>
      <c r="AW276" s="55">
        <f t="shared" ca="1" si="123"/>
        <v>0</v>
      </c>
      <c r="AX276" s="55">
        <f t="shared" ca="1" si="123"/>
        <v>0</v>
      </c>
    </row>
    <row r="277" spans="1:50" ht="15" customHeight="1" x14ac:dyDescent="0.25">
      <c r="A277" s="86"/>
      <c r="B277" s="205"/>
      <c r="C277" s="88"/>
      <c r="D277" s="162"/>
      <c r="E277" s="140" t="str">
        <f xml:space="preserve"> Inputs!E$67</f>
        <v>Scope 1: Upstream carbon intensity</v>
      </c>
      <c r="F277" s="140">
        <f xml:space="preserve"> Inputs!F$67</f>
        <v>10.3</v>
      </c>
      <c r="G277" s="140" t="str">
        <f xml:space="preserve"> Inputs!G$67</f>
        <v>g CO2 eq/MJ</v>
      </c>
      <c r="H277" s="52"/>
      <c r="I277" s="89"/>
      <c r="J277" s="52"/>
      <c r="K277" s="208"/>
      <c r="L277" s="208"/>
      <c r="M277" s="208"/>
      <c r="N277" s="208"/>
      <c r="O277" s="208"/>
      <c r="P277" s="208"/>
      <c r="Q277" s="208"/>
      <c r="R277" s="208"/>
      <c r="S277" s="208"/>
      <c r="T277" s="208"/>
      <c r="U277" s="208"/>
      <c r="V277" s="208"/>
      <c r="W277" s="208"/>
      <c r="X277" s="208"/>
      <c r="Y277" s="208"/>
      <c r="Z277" s="208"/>
      <c r="AA277" s="208"/>
      <c r="AB277" s="208"/>
      <c r="AC277" s="208"/>
      <c r="AD277" s="208"/>
      <c r="AE277" s="208"/>
      <c r="AF277" s="208"/>
      <c r="AG277" s="208"/>
      <c r="AH277" s="208"/>
      <c r="AI277" s="208"/>
      <c r="AJ277" s="208"/>
      <c r="AK277" s="208"/>
      <c r="AL277" s="208"/>
      <c r="AM277" s="208"/>
      <c r="AN277" s="208"/>
      <c r="AO277" s="208"/>
      <c r="AP277" s="208"/>
      <c r="AQ277" s="208"/>
      <c r="AR277" s="208"/>
      <c r="AS277" s="208"/>
      <c r="AT277" s="208"/>
      <c r="AU277" s="208"/>
      <c r="AV277" s="208"/>
      <c r="AW277" s="208"/>
      <c r="AX277" s="208"/>
    </row>
    <row r="278" spans="1:50" ht="15" customHeight="1" x14ac:dyDescent="0.25">
      <c r="A278" s="86"/>
      <c r="B278" s="205"/>
      <c r="C278" s="88"/>
      <c r="D278" s="162"/>
      <c r="E278" s="140" t="str">
        <f xml:space="preserve"> Inputs!E$80</f>
        <v>one million</v>
      </c>
      <c r="F278" s="140">
        <f xml:space="preserve"> Inputs!F$80</f>
        <v>1000000</v>
      </c>
      <c r="G278" s="140" t="str">
        <f xml:space="preserve"> Inputs!G$80</f>
        <v>Constant</v>
      </c>
      <c r="H278" s="52"/>
      <c r="I278" s="89"/>
      <c r="J278" s="52"/>
      <c r="K278" s="208"/>
      <c r="L278" s="208"/>
      <c r="M278" s="208"/>
      <c r="N278" s="208"/>
      <c r="O278" s="208"/>
      <c r="P278" s="208"/>
      <c r="Q278" s="208"/>
      <c r="R278" s="208"/>
      <c r="S278" s="208"/>
      <c r="T278" s="208"/>
      <c r="U278" s="208"/>
      <c r="V278" s="208"/>
      <c r="W278" s="208"/>
      <c r="X278" s="208"/>
      <c r="Y278" s="208"/>
      <c r="Z278" s="208"/>
      <c r="AA278" s="208"/>
      <c r="AB278" s="208"/>
      <c r="AC278" s="208"/>
      <c r="AD278" s="208"/>
      <c r="AE278" s="208"/>
      <c r="AF278" s="208"/>
      <c r="AG278" s="208"/>
      <c r="AH278" s="208"/>
      <c r="AI278" s="208"/>
      <c r="AJ278" s="208"/>
      <c r="AK278" s="208"/>
      <c r="AL278" s="208"/>
      <c r="AM278" s="208"/>
      <c r="AN278" s="208"/>
      <c r="AO278" s="208"/>
      <c r="AP278" s="208"/>
      <c r="AQ278" s="208"/>
      <c r="AR278" s="208"/>
      <c r="AS278" s="208"/>
      <c r="AT278" s="208"/>
      <c r="AU278" s="208"/>
      <c r="AV278" s="208"/>
      <c r="AW278" s="208"/>
      <c r="AX278" s="208"/>
    </row>
    <row r="279" spans="1:50" s="538" customFormat="1" ht="15" customHeight="1" x14ac:dyDescent="0.25">
      <c r="A279" s="177"/>
      <c r="B279" s="536"/>
      <c r="C279" s="537"/>
      <c r="D279" s="232"/>
      <c r="E279" s="176" t="str">
        <f>Translate!E673</f>
        <v>Scope 1: Upstream GHG emissions</v>
      </c>
      <c r="F279" s="176"/>
      <c r="G279" s="1" t="str">
        <f xml:space="preserve"> Translate!E$797</f>
        <v>Mn t CO2 eq</v>
      </c>
      <c r="H279" s="176"/>
      <c r="I279" s="176">
        <f ca="1" xml:space="preserve"> SUM(K279:AX279)</f>
        <v>50.546876586222226</v>
      </c>
      <c r="J279" s="176"/>
      <c r="K279" s="176">
        <f t="shared" ref="K279:AX279" ca="1" si="124" xml:space="preserve"> K276 * $F277 / $F278</f>
        <v>0</v>
      </c>
      <c r="L279" s="176">
        <f t="shared" ca="1" si="124"/>
        <v>0</v>
      </c>
      <c r="M279" s="176">
        <f t="shared" ca="1" si="124"/>
        <v>0</v>
      </c>
      <c r="N279" s="176">
        <f t="shared" ca="1" si="124"/>
        <v>0</v>
      </c>
      <c r="O279" s="176">
        <f t="shared" ca="1" si="124"/>
        <v>0.21966138664082679</v>
      </c>
      <c r="P279" s="176">
        <f t="shared" ca="1" si="124"/>
        <v>1.7256105000000002</v>
      </c>
      <c r="Q279" s="176">
        <f t="shared" ca="1" si="124"/>
        <v>3.4512210000000003</v>
      </c>
      <c r="R279" s="176">
        <f t="shared" ca="1" si="124"/>
        <v>3.4512210000000003</v>
      </c>
      <c r="S279" s="176">
        <f t="shared" ca="1" si="124"/>
        <v>3.4512210000000003</v>
      </c>
      <c r="T279" s="176">
        <f t="shared" ca="1" si="124"/>
        <v>3.4512210000000003</v>
      </c>
      <c r="U279" s="176">
        <f t="shared" ca="1" si="124"/>
        <v>3.4512210000000003</v>
      </c>
      <c r="V279" s="176">
        <f t="shared" ca="1" si="124"/>
        <v>3.4512210000000003</v>
      </c>
      <c r="W279" s="176">
        <f t="shared" ca="1" si="124"/>
        <v>3.4512210000000003</v>
      </c>
      <c r="X279" s="176">
        <f t="shared" ca="1" si="124"/>
        <v>3.4512210000000003</v>
      </c>
      <c r="Y279" s="176">
        <f t="shared" ca="1" si="124"/>
        <v>3.4512210000000003</v>
      </c>
      <c r="Z279" s="176">
        <f t="shared" ca="1" si="124"/>
        <v>3.4512210000000003</v>
      </c>
      <c r="AA279" s="176">
        <f t="shared" ca="1" si="124"/>
        <v>2.7954890100000007</v>
      </c>
      <c r="AB279" s="176">
        <f t="shared" ca="1" si="124"/>
        <v>2.2643460981000003</v>
      </c>
      <c r="AC279" s="176">
        <f t="shared" ca="1" si="124"/>
        <v>1.8341203394610006</v>
      </c>
      <c r="AD279" s="176">
        <f t="shared" ca="1" si="124"/>
        <v>1.4856374749634109</v>
      </c>
      <c r="AE279" s="176">
        <f t="shared" ca="1" si="124"/>
        <v>1.203366354720363</v>
      </c>
      <c r="AF279" s="176">
        <f t="shared" ca="1" si="124"/>
        <v>0.97472674732349396</v>
      </c>
      <c r="AG279" s="176">
        <f t="shared" ca="1" si="124"/>
        <v>0.78952866533203026</v>
      </c>
      <c r="AH279" s="176">
        <f t="shared" ca="1" si="124"/>
        <v>0.63951821891894456</v>
      </c>
      <c r="AI279" s="176">
        <f t="shared" ca="1" si="124"/>
        <v>0.51800975732434507</v>
      </c>
      <c r="AJ279" s="176">
        <f t="shared" ca="1" si="124"/>
        <v>0.41958790343271951</v>
      </c>
      <c r="AK279" s="176">
        <f t="shared" ca="1" si="124"/>
        <v>0.33986620178050286</v>
      </c>
      <c r="AL279" s="176">
        <f t="shared" ca="1" si="124"/>
        <v>0.27529162344220726</v>
      </c>
      <c r="AM279" s="176">
        <f t="shared" ca="1" si="124"/>
        <v>0.22298621498818788</v>
      </c>
      <c r="AN279" s="176">
        <f t="shared" ca="1" si="124"/>
        <v>0.18061883414043217</v>
      </c>
      <c r="AO279" s="176">
        <f t="shared" ca="1" si="124"/>
        <v>0.14630125565375013</v>
      </c>
      <c r="AP279" s="176">
        <f t="shared" ca="1" si="124"/>
        <v>0</v>
      </c>
      <c r="AQ279" s="176">
        <f t="shared" ca="1" si="124"/>
        <v>0</v>
      </c>
      <c r="AR279" s="176">
        <f t="shared" ca="1" si="124"/>
        <v>0</v>
      </c>
      <c r="AS279" s="176">
        <f t="shared" ca="1" si="124"/>
        <v>0</v>
      </c>
      <c r="AT279" s="176">
        <f t="shared" ca="1" si="124"/>
        <v>0</v>
      </c>
      <c r="AU279" s="176">
        <f t="shared" ca="1" si="124"/>
        <v>0</v>
      </c>
      <c r="AV279" s="176">
        <f t="shared" ca="1" si="124"/>
        <v>0</v>
      </c>
      <c r="AW279" s="176">
        <f t="shared" ca="1" si="124"/>
        <v>0</v>
      </c>
      <c r="AX279" s="176">
        <f t="shared" ca="1" si="124"/>
        <v>0</v>
      </c>
    </row>
    <row r="280" spans="1:50" s="7" customFormat="1" ht="15" customHeight="1" x14ac:dyDescent="0.25">
      <c r="A280" s="178"/>
      <c r="B280" s="363"/>
      <c r="C280" s="180"/>
      <c r="D280" s="151"/>
      <c r="E280" s="55"/>
      <c r="F280" s="55"/>
      <c r="G280" s="55"/>
      <c r="H280" s="55"/>
      <c r="I280" s="55"/>
      <c r="J280" s="55"/>
      <c r="K280" s="55"/>
      <c r="L280" s="55"/>
      <c r="M280" s="55"/>
      <c r="N280" s="55"/>
      <c r="O280" s="55"/>
      <c r="P280" s="55"/>
      <c r="Q280" s="55"/>
      <c r="R280" s="55"/>
      <c r="S280" s="55"/>
      <c r="T280" s="55"/>
      <c r="U280" s="55"/>
      <c r="V280" s="55"/>
      <c r="W280" s="55"/>
      <c r="X280" s="55"/>
      <c r="Y280" s="55"/>
      <c r="Z280" s="55"/>
      <c r="AA280" s="55"/>
      <c r="AB280" s="55"/>
      <c r="AC280" s="55"/>
      <c r="AD280" s="55"/>
      <c r="AE280" s="55"/>
      <c r="AF280" s="55"/>
      <c r="AG280" s="55"/>
      <c r="AH280" s="55"/>
      <c r="AI280" s="55"/>
      <c r="AJ280" s="55"/>
      <c r="AK280" s="55"/>
      <c r="AL280" s="55"/>
      <c r="AM280" s="55"/>
      <c r="AN280" s="55"/>
      <c r="AO280" s="55"/>
      <c r="AP280" s="55"/>
      <c r="AQ280" s="55"/>
      <c r="AR280" s="55"/>
      <c r="AS280" s="55"/>
      <c r="AT280" s="55"/>
      <c r="AU280" s="55"/>
      <c r="AV280" s="55"/>
      <c r="AW280" s="55"/>
      <c r="AX280" s="55"/>
    </row>
    <row r="281" spans="1:50" s="7" customFormat="1" ht="15" customHeight="1" x14ac:dyDescent="0.25">
      <c r="A281" s="178"/>
      <c r="B281" s="363" t="str">
        <f>Translate!$E$692</f>
        <v>Scope 3: Downstream emissions</v>
      </c>
      <c r="C281" s="180"/>
      <c r="D281" s="151"/>
      <c r="E281" s="52"/>
      <c r="F281" s="56"/>
      <c r="G281" s="52"/>
      <c r="H281" s="52"/>
      <c r="I281" s="56"/>
      <c r="J281" s="52"/>
      <c r="K281" s="208"/>
      <c r="L281" s="208"/>
      <c r="M281" s="208"/>
      <c r="N281" s="208"/>
      <c r="O281" s="208"/>
      <c r="P281" s="208"/>
      <c r="Q281" s="208"/>
      <c r="R281" s="208"/>
      <c r="S281" s="208"/>
      <c r="T281" s="208"/>
      <c r="U281" s="208"/>
      <c r="V281" s="208"/>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row>
    <row r="282" spans="1:50" ht="15" customHeight="1" x14ac:dyDescent="0.25">
      <c r="A282" s="86"/>
      <c r="B282" s="205"/>
      <c r="C282" s="88"/>
      <c r="D282" s="162"/>
      <c r="E282" s="190" t="str">
        <f t="shared" ref="E282:AX282" si="125" xml:space="preserve"> E$132</f>
        <v>Oil production Volume after ELT</v>
      </c>
      <c r="F282" s="190">
        <f t="shared" si="125"/>
        <v>0</v>
      </c>
      <c r="G282" s="190" t="str">
        <f t="shared" si="125"/>
        <v>Mn Bbl</v>
      </c>
      <c r="H282" s="190">
        <f t="shared" si="125"/>
        <v>0</v>
      </c>
      <c r="I282" s="190">
        <f t="shared" ca="1" si="125"/>
        <v>801.87316114953705</v>
      </c>
      <c r="J282" s="190">
        <f t="shared" si="125"/>
        <v>0</v>
      </c>
      <c r="K282" s="190">
        <f t="shared" ca="1" si="125"/>
        <v>0</v>
      </c>
      <c r="L282" s="190">
        <f t="shared" ca="1" si="125"/>
        <v>0</v>
      </c>
      <c r="M282" s="190">
        <f t="shared" ca="1" si="125"/>
        <v>0</v>
      </c>
      <c r="N282" s="190">
        <f t="shared" ca="1" si="125"/>
        <v>0</v>
      </c>
      <c r="O282" s="190">
        <f t="shared" ca="1" si="125"/>
        <v>3.4846974211692809</v>
      </c>
      <c r="P282" s="190">
        <f t="shared" ca="1" si="125"/>
        <v>27.375</v>
      </c>
      <c r="Q282" s="190">
        <f t="shared" ca="1" si="125"/>
        <v>54.75</v>
      </c>
      <c r="R282" s="190">
        <f t="shared" ca="1" si="125"/>
        <v>54.75</v>
      </c>
      <c r="S282" s="190">
        <f t="shared" ca="1" si="125"/>
        <v>54.75</v>
      </c>
      <c r="T282" s="190">
        <f t="shared" ca="1" si="125"/>
        <v>54.75</v>
      </c>
      <c r="U282" s="190">
        <f t="shared" ca="1" si="125"/>
        <v>54.75</v>
      </c>
      <c r="V282" s="190">
        <f t="shared" ca="1" si="125"/>
        <v>54.75</v>
      </c>
      <c r="W282" s="190">
        <f t="shared" ca="1" si="125"/>
        <v>54.75</v>
      </c>
      <c r="X282" s="190">
        <f t="shared" ca="1" si="125"/>
        <v>54.75</v>
      </c>
      <c r="Y282" s="190">
        <f t="shared" ca="1" si="125"/>
        <v>54.75</v>
      </c>
      <c r="Z282" s="190">
        <f t="shared" ca="1" si="125"/>
        <v>54.75</v>
      </c>
      <c r="AA282" s="190">
        <f t="shared" ca="1" si="125"/>
        <v>44.347500000000011</v>
      </c>
      <c r="AB282" s="190">
        <f t="shared" ca="1" si="125"/>
        <v>35.921475000000008</v>
      </c>
      <c r="AC282" s="190">
        <f t="shared" ca="1" si="125"/>
        <v>29.096394750000009</v>
      </c>
      <c r="AD282" s="190">
        <f t="shared" ca="1" si="125"/>
        <v>23.568079747500011</v>
      </c>
      <c r="AE282" s="190">
        <f t="shared" ca="1" si="125"/>
        <v>19.09014459547501</v>
      </c>
      <c r="AF282" s="190">
        <f t="shared" ca="1" si="125"/>
        <v>15.463017122334758</v>
      </c>
      <c r="AG282" s="190">
        <f t="shared" ca="1" si="125"/>
        <v>12.525043869091157</v>
      </c>
      <c r="AH282" s="190">
        <f t="shared" ca="1" si="125"/>
        <v>10.145285533963838</v>
      </c>
      <c r="AI282" s="190">
        <f t="shared" ca="1" si="125"/>
        <v>8.2176812825107088</v>
      </c>
      <c r="AJ282" s="190">
        <f t="shared" ca="1" si="125"/>
        <v>6.6563218388336738</v>
      </c>
      <c r="AK282" s="190">
        <f t="shared" ca="1" si="125"/>
        <v>5.3916206894552765</v>
      </c>
      <c r="AL282" s="190">
        <f t="shared" ca="1" si="125"/>
        <v>4.3672127584587734</v>
      </c>
      <c r="AM282" s="190">
        <f t="shared" ca="1" si="125"/>
        <v>3.5374423343516064</v>
      </c>
      <c r="AN282" s="190">
        <f t="shared" ca="1" si="125"/>
        <v>2.8653282908248014</v>
      </c>
      <c r="AO282" s="190">
        <f t="shared" ca="1" si="125"/>
        <v>2.3209159155680896</v>
      </c>
      <c r="AP282" s="190">
        <f t="shared" ca="1" si="125"/>
        <v>0</v>
      </c>
      <c r="AQ282" s="190">
        <f t="shared" ca="1" si="125"/>
        <v>0</v>
      </c>
      <c r="AR282" s="190">
        <f t="shared" ca="1" si="125"/>
        <v>0</v>
      </c>
      <c r="AS282" s="190">
        <f t="shared" ca="1" si="125"/>
        <v>0</v>
      </c>
      <c r="AT282" s="190">
        <f t="shared" ca="1" si="125"/>
        <v>0</v>
      </c>
      <c r="AU282" s="190">
        <f t="shared" ca="1" si="125"/>
        <v>0</v>
      </c>
      <c r="AV282" s="190">
        <f t="shared" ca="1" si="125"/>
        <v>0</v>
      </c>
      <c r="AW282" s="190">
        <f t="shared" ca="1" si="125"/>
        <v>0</v>
      </c>
      <c r="AX282" s="190">
        <f t="shared" ca="1" si="125"/>
        <v>0</v>
      </c>
    </row>
    <row r="283" spans="1:50" s="7" customFormat="1" ht="15" customHeight="1" x14ac:dyDescent="0.25">
      <c r="A283" s="178"/>
      <c r="B283" s="363"/>
      <c r="C283" s="180"/>
      <c r="D283" s="151"/>
      <c r="E283" s="140" t="str">
        <f xml:space="preserve"> Inputs!E$68</f>
        <v>Scope 3: Emissions per barrel of oil consumed</v>
      </c>
      <c r="F283" s="140">
        <f xml:space="preserve"> Inputs!F$68</f>
        <v>0.43</v>
      </c>
      <c r="G283" s="140" t="str">
        <f xml:space="preserve"> Inputs!G$68</f>
        <v>t CO2/barrel</v>
      </c>
      <c r="H283" s="52"/>
      <c r="I283" s="56"/>
      <c r="J283" s="52"/>
      <c r="K283" s="208"/>
      <c r="L283" s="208"/>
      <c r="M283" s="208"/>
      <c r="N283" s="208"/>
      <c r="O283" s="208"/>
      <c r="P283" s="208"/>
      <c r="Q283" s="208"/>
      <c r="R283" s="208"/>
      <c r="S283" s="208"/>
      <c r="T283" s="208"/>
      <c r="U283" s="208"/>
      <c r="V283" s="208"/>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row>
    <row r="284" spans="1:50" s="538" customFormat="1" ht="15" customHeight="1" x14ac:dyDescent="0.25">
      <c r="A284" s="177"/>
      <c r="B284" s="536"/>
      <c r="C284" s="537"/>
      <c r="D284" s="232"/>
      <c r="E284" s="176" t="str">
        <f>Translate!E674</f>
        <v>Scope 3: GHG emissions from oil consumed</v>
      </c>
      <c r="F284" s="176"/>
      <c r="G284" s="1" t="str">
        <f xml:space="preserve"> Translate!E$797</f>
        <v>Mn t CO2 eq</v>
      </c>
      <c r="H284" s="176"/>
      <c r="I284" s="176">
        <f ca="1" xml:space="preserve"> SUM(K284:AX284)</f>
        <v>344.80545929430093</v>
      </c>
      <c r="J284" s="176"/>
      <c r="K284" s="176">
        <f t="shared" ref="K284:AX284" ca="1" si="126" xml:space="preserve"> K282 * $F283</f>
        <v>0</v>
      </c>
      <c r="L284" s="176">
        <f t="shared" ca="1" si="126"/>
        <v>0</v>
      </c>
      <c r="M284" s="176">
        <f t="shared" ca="1" si="126"/>
        <v>0</v>
      </c>
      <c r="N284" s="176">
        <f t="shared" ca="1" si="126"/>
        <v>0</v>
      </c>
      <c r="O284" s="176">
        <f t="shared" ca="1" si="126"/>
        <v>1.4984198911027908</v>
      </c>
      <c r="P284" s="176">
        <f t="shared" ca="1" si="126"/>
        <v>11.77125</v>
      </c>
      <c r="Q284" s="176">
        <f t="shared" ca="1" si="126"/>
        <v>23.5425</v>
      </c>
      <c r="R284" s="176">
        <f t="shared" ca="1" si="126"/>
        <v>23.5425</v>
      </c>
      <c r="S284" s="176">
        <f t="shared" ca="1" si="126"/>
        <v>23.5425</v>
      </c>
      <c r="T284" s="176">
        <f t="shared" ca="1" si="126"/>
        <v>23.5425</v>
      </c>
      <c r="U284" s="176">
        <f t="shared" ca="1" si="126"/>
        <v>23.5425</v>
      </c>
      <c r="V284" s="176">
        <f t="shared" ca="1" si="126"/>
        <v>23.5425</v>
      </c>
      <c r="W284" s="176">
        <f t="shared" ca="1" si="126"/>
        <v>23.5425</v>
      </c>
      <c r="X284" s="176">
        <f t="shared" ca="1" si="126"/>
        <v>23.5425</v>
      </c>
      <c r="Y284" s="176">
        <f t="shared" ca="1" si="126"/>
        <v>23.5425</v>
      </c>
      <c r="Z284" s="176">
        <f t="shared" ca="1" si="126"/>
        <v>23.5425</v>
      </c>
      <c r="AA284" s="176">
        <f t="shared" ca="1" si="126"/>
        <v>19.069425000000006</v>
      </c>
      <c r="AB284" s="176">
        <f t="shared" ca="1" si="126"/>
        <v>15.446234250000003</v>
      </c>
      <c r="AC284" s="176">
        <f t="shared" ca="1" si="126"/>
        <v>12.511449742500004</v>
      </c>
      <c r="AD284" s="176">
        <f t="shared" ca="1" si="126"/>
        <v>10.134274291425005</v>
      </c>
      <c r="AE284" s="176">
        <f t="shared" ca="1" si="126"/>
        <v>8.208762176054254</v>
      </c>
      <c r="AF284" s="176">
        <f t="shared" ca="1" si="126"/>
        <v>6.6490973626039462</v>
      </c>
      <c r="AG284" s="176">
        <f t="shared" ca="1" si="126"/>
        <v>5.3857688637091972</v>
      </c>
      <c r="AH284" s="176">
        <f t="shared" ca="1" si="126"/>
        <v>4.3624727796044507</v>
      </c>
      <c r="AI284" s="176">
        <f t="shared" ca="1" si="126"/>
        <v>3.5336029514796046</v>
      </c>
      <c r="AJ284" s="176">
        <f t="shared" ca="1" si="126"/>
        <v>2.8622183906984797</v>
      </c>
      <c r="AK284" s="176">
        <f t="shared" ca="1" si="126"/>
        <v>2.3183968964657691</v>
      </c>
      <c r="AL284" s="176">
        <f t="shared" ca="1" si="126"/>
        <v>1.8779014861372725</v>
      </c>
      <c r="AM284" s="176">
        <f t="shared" ca="1" si="126"/>
        <v>1.5211002037711907</v>
      </c>
      <c r="AN284" s="176">
        <f t="shared" ca="1" si="126"/>
        <v>1.2320911650546646</v>
      </c>
      <c r="AO284" s="176">
        <f t="shared" ca="1" si="126"/>
        <v>0.99799384369427857</v>
      </c>
      <c r="AP284" s="176">
        <f t="shared" ca="1" si="126"/>
        <v>0</v>
      </c>
      <c r="AQ284" s="176">
        <f t="shared" ca="1" si="126"/>
        <v>0</v>
      </c>
      <c r="AR284" s="176">
        <f t="shared" ca="1" si="126"/>
        <v>0</v>
      </c>
      <c r="AS284" s="176">
        <f t="shared" ca="1" si="126"/>
        <v>0</v>
      </c>
      <c r="AT284" s="176">
        <f t="shared" ca="1" si="126"/>
        <v>0</v>
      </c>
      <c r="AU284" s="176">
        <f t="shared" ca="1" si="126"/>
        <v>0</v>
      </c>
      <c r="AV284" s="176">
        <f t="shared" ca="1" si="126"/>
        <v>0</v>
      </c>
      <c r="AW284" s="176">
        <f t="shared" ca="1" si="126"/>
        <v>0</v>
      </c>
      <c r="AX284" s="176">
        <f t="shared" ca="1" si="126"/>
        <v>0</v>
      </c>
    </row>
    <row r="285" spans="1:50" ht="15" customHeight="1" x14ac:dyDescent="0.25">
      <c r="A285" s="86"/>
      <c r="B285" s="205"/>
      <c r="C285" s="88"/>
      <c r="D285" s="162"/>
      <c r="E285" s="52"/>
      <c r="F285" s="56"/>
      <c r="G285" s="52"/>
      <c r="H285" s="52"/>
      <c r="I285" s="89"/>
      <c r="J285" s="52"/>
      <c r="K285" s="208"/>
      <c r="L285" s="208"/>
      <c r="M285" s="208"/>
      <c r="N285" s="208"/>
      <c r="O285" s="208"/>
      <c r="P285" s="208"/>
      <c r="Q285" s="208"/>
      <c r="R285" s="208"/>
      <c r="S285" s="208"/>
      <c r="T285" s="208"/>
      <c r="U285" s="208"/>
      <c r="V285" s="208"/>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row>
    <row r="286" spans="1:50" ht="15" customHeight="1" x14ac:dyDescent="0.25">
      <c r="A286" s="66" t="str">
        <f ca="1">A$1 &amp; ": " &amp; Translate!E$626</f>
        <v>ProjectCashflows: Sheet checks</v>
      </c>
      <c r="B286" s="66"/>
      <c r="C286" s="285"/>
      <c r="D286" s="286"/>
      <c r="E286" s="66"/>
      <c r="F286" s="66"/>
      <c r="G286" s="66"/>
    </row>
    <row r="287" spans="1:50" ht="15" customHeight="1" x14ac:dyDescent="0.25">
      <c r="A287" s="67"/>
      <c r="B287" s="68"/>
      <c r="C287" s="287"/>
      <c r="D287" s="69"/>
      <c r="E287" s="67"/>
      <c r="F287" s="1077" t="str">
        <f xml:space="preserve"> Translate!E$651</f>
        <v>do not delete row</v>
      </c>
      <c r="G287" s="67"/>
    </row>
    <row r="288" spans="1:50" ht="15" customHeight="1" x14ac:dyDescent="0.25">
      <c r="A288" s="56"/>
      <c r="B288" s="56"/>
      <c r="C288" s="150"/>
      <c r="D288" s="151"/>
      <c r="E288" s="70" t="str">
        <f xml:space="preserve"> E$26</f>
        <v>Check:  First row of project data</v>
      </c>
      <c r="F288" s="71">
        <f xml:space="preserve"> F$26</f>
        <v>0</v>
      </c>
      <c r="G288" s="70" t="str">
        <f xml:space="preserve"> G$26</f>
        <v>Check</v>
      </c>
    </row>
    <row r="289" spans="1:50" ht="15" customHeight="1" x14ac:dyDescent="0.25">
      <c r="A289" s="56"/>
      <c r="B289" s="56"/>
      <c r="C289" s="150"/>
      <c r="D289" s="151"/>
      <c r="E289" s="70" t="str">
        <f xml:space="preserve"> ProjectCashflows!E$266</f>
        <v>Check: Total: Cashflow before decommissioning fund</v>
      </c>
      <c r="F289" s="71">
        <f ca="1" xml:space="preserve"> ProjectCashflows!F$266</f>
        <v>0</v>
      </c>
      <c r="G289" s="70" t="str">
        <f xml:space="preserve"> ProjectCashflows!G$266</f>
        <v>Check</v>
      </c>
      <c r="H289" s="52"/>
      <c r="I289" s="52"/>
      <c r="J289" s="52"/>
      <c r="K289" s="56"/>
      <c r="L289" s="56"/>
      <c r="M289" s="56"/>
      <c r="N289" s="56"/>
      <c r="O289" s="56"/>
      <c r="P289" s="56"/>
      <c r="Q289" s="56"/>
      <c r="R289" s="56"/>
      <c r="S289" s="56"/>
      <c r="T289" s="56"/>
      <c r="U289" s="56"/>
      <c r="V289" s="56"/>
      <c r="W289" s="56"/>
      <c r="X289" s="56"/>
      <c r="Y289" s="56"/>
      <c r="Z289" s="56"/>
      <c r="AA289" s="56"/>
      <c r="AB289" s="56"/>
      <c r="AC289" s="56"/>
      <c r="AD289" s="56"/>
      <c r="AE289" s="56"/>
      <c r="AF289" s="56"/>
      <c r="AG289" s="56"/>
      <c r="AH289" s="56"/>
      <c r="AI289" s="56"/>
      <c r="AJ289" s="56"/>
      <c r="AK289" s="56"/>
      <c r="AL289" s="56"/>
      <c r="AM289" s="56"/>
      <c r="AN289" s="56"/>
      <c r="AO289" s="56"/>
      <c r="AP289" s="56"/>
      <c r="AQ289" s="56"/>
      <c r="AR289" s="56"/>
      <c r="AS289" s="56"/>
      <c r="AT289" s="56"/>
      <c r="AU289" s="56"/>
      <c r="AV289" s="56"/>
      <c r="AW289" s="56"/>
      <c r="AX289" s="56"/>
    </row>
    <row r="290" spans="1:50" ht="15" customHeight="1" x14ac:dyDescent="0.25">
      <c r="A290" s="67"/>
      <c r="B290" s="68"/>
      <c r="C290" s="287"/>
      <c r="D290" s="69"/>
      <c r="E290" s="67"/>
      <c r="F290" s="1077" t="str">
        <f xml:space="preserve"> Translate!E$651</f>
        <v>do not delete row</v>
      </c>
      <c r="G290" s="67"/>
    </row>
    <row r="291" spans="1:50" ht="15" customHeight="1" x14ac:dyDescent="0.25">
      <c r="A291" s="21"/>
      <c r="B291" s="21"/>
      <c r="C291" s="288"/>
      <c r="D291" s="289"/>
      <c r="E291" s="544" t="str">
        <f ca="1" xml:space="preserve"> Translate!E$604 &amp; ": " &amp; A$1</f>
        <v>Check: ProjectCashflows</v>
      </c>
      <c r="F291" s="72">
        <f ca="1" xml:space="preserve"> SUM(F287:F290)</f>
        <v>0</v>
      </c>
      <c r="G291" s="544" t="str">
        <f xml:space="preserve"> Translate!E$604</f>
        <v>Check</v>
      </c>
    </row>
  </sheetData>
  <conditionalFormatting sqref="F3">
    <cfRule type="cellIs" dxfId="134" priority="21" stopIfTrue="1" operator="notEqual">
      <formula>0</formula>
    </cfRule>
    <cfRule type="cellIs" dxfId="133" priority="22" stopIfTrue="1" operator="equal">
      <formula>""</formula>
    </cfRule>
  </conditionalFormatting>
  <conditionalFormatting sqref="F3">
    <cfRule type="cellIs" dxfId="132" priority="19" stopIfTrue="1" operator="notEqual">
      <formula>0</formula>
    </cfRule>
    <cfRule type="cellIs" dxfId="131" priority="20" stopIfTrue="1" operator="equal">
      <formula>""</formula>
    </cfRule>
  </conditionalFormatting>
  <conditionalFormatting sqref="F266">
    <cfRule type="cellIs" dxfId="130" priority="17" stopIfTrue="1" operator="notEqual">
      <formula>0</formula>
    </cfRule>
    <cfRule type="cellIs" dxfId="129" priority="18" stopIfTrue="1" operator="equal">
      <formula>""</formula>
    </cfRule>
  </conditionalFormatting>
  <conditionalFormatting sqref="F26">
    <cfRule type="cellIs" dxfId="128" priority="15" stopIfTrue="1" operator="notEqual">
      <formula>0</formula>
    </cfRule>
    <cfRule type="cellIs" dxfId="127" priority="16" stopIfTrue="1" operator="equal">
      <formula>""</formula>
    </cfRule>
  </conditionalFormatting>
  <conditionalFormatting sqref="F26">
    <cfRule type="cellIs" dxfId="126" priority="13" stopIfTrue="1" operator="notEqual">
      <formula>0</formula>
    </cfRule>
    <cfRule type="cellIs" dxfId="125" priority="14" stopIfTrue="1" operator="equal">
      <formula>""</formula>
    </cfRule>
  </conditionalFormatting>
  <conditionalFormatting sqref="F288">
    <cfRule type="cellIs" dxfId="124" priority="11" stopIfTrue="1" operator="notEqual">
      <formula>0</formula>
    </cfRule>
    <cfRule type="cellIs" dxfId="123" priority="12" stopIfTrue="1" operator="equal">
      <formula>""</formula>
    </cfRule>
  </conditionalFormatting>
  <conditionalFormatting sqref="F291">
    <cfRule type="cellIs" dxfId="122" priority="9" stopIfTrue="1" operator="notEqual">
      <formula>0</formula>
    </cfRule>
    <cfRule type="cellIs" dxfId="121" priority="10" stopIfTrue="1" operator="equal">
      <formula>""</formula>
    </cfRule>
  </conditionalFormatting>
  <conditionalFormatting sqref="F289">
    <cfRule type="cellIs" dxfId="120" priority="7" stopIfTrue="1" operator="notEqual">
      <formula>0</formula>
    </cfRule>
    <cfRule type="cellIs" dxfId="119" priority="8" stopIfTrue="1" operator="equal">
      <formula>""</formula>
    </cfRule>
  </conditionalFormatting>
  <conditionalFormatting sqref="K3">
    <cfRule type="cellIs" dxfId="118" priority="1" stopIfTrue="1" operator="notEqual">
      <formula>0</formula>
    </cfRule>
    <cfRule type="cellIs" dxfId="117" priority="2" stopIfTrue="1" operator="equal">
      <formula>""</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00B0F0"/>
    <pageSetUpPr autoPageBreaks="0"/>
  </sheetPr>
  <dimension ref="A1:AX329"/>
  <sheetViews>
    <sheetView zoomScale="70" zoomScaleNormal="70" workbookViewId="0">
      <pane xSplit="10" ySplit="3" topLeftCell="K4" activePane="bottomRight" state="frozen"/>
      <selection pane="topRight" activeCell="H20" sqref="H20"/>
      <selection pane="bottomLeft" activeCell="H20" sqref="H20"/>
      <selection pane="bottomRight" activeCell="F13" sqref="F13"/>
    </sheetView>
  </sheetViews>
  <sheetFormatPr defaultColWidth="0" defaultRowHeight="14.5" outlineLevelCol="1" x14ac:dyDescent="0.25"/>
  <cols>
    <col min="1" max="1" width="1.26953125" style="86" customWidth="1"/>
    <col min="2" max="4" width="1.26953125" style="89" customWidth="1"/>
    <col min="5" max="5" width="50.7265625" style="89" customWidth="1"/>
    <col min="6" max="6" width="12.7265625" style="89" customWidth="1"/>
    <col min="7" max="7" width="15.7265625" style="90" customWidth="1"/>
    <col min="8" max="8" width="40.7265625" style="90" customWidth="1" outlineLevel="1"/>
    <col min="9" max="9" width="12.7265625" style="90" customWidth="1"/>
    <col min="10" max="10" width="3.7265625" style="90" customWidth="1"/>
    <col min="11" max="12" width="10.7265625" style="89" customWidth="1"/>
    <col min="13" max="13" width="10.7265625" style="91" customWidth="1"/>
    <col min="14" max="50" width="10.7265625" style="89" customWidth="1"/>
    <col min="51" max="16384" width="9.1796875" style="89" hidden="1"/>
  </cols>
  <sheetData>
    <row r="1" spans="1:50" s="364" customFormat="1" x14ac:dyDescent="0.25">
      <c r="A1" s="396" t="str">
        <f ca="1" xml:space="preserve"> RIGHT( CELL("filename",$A$1), LEN( CELL("filename",$A$1)) - SEARCH("]", CELL("filename",$A$1)))</f>
        <v>Analysis</v>
      </c>
      <c r="K1" s="364">
        <f xml:space="preserve"> ProjectCashflows!K$34</f>
        <v>2021</v>
      </c>
      <c r="L1" s="364">
        <f xml:space="preserve"> ProjectCashflows!L$34</f>
        <v>2022</v>
      </c>
      <c r="M1" s="364">
        <f xml:space="preserve"> ProjectCashflows!M$34</f>
        <v>2023</v>
      </c>
      <c r="N1" s="364">
        <f xml:space="preserve"> ProjectCashflows!N$34</f>
        <v>2024</v>
      </c>
      <c r="O1" s="364">
        <f xml:space="preserve"> ProjectCashflows!O$34</f>
        <v>2025</v>
      </c>
      <c r="P1" s="364">
        <f xml:space="preserve"> ProjectCashflows!P$34</f>
        <v>2026</v>
      </c>
      <c r="Q1" s="364">
        <f xml:space="preserve"> ProjectCashflows!Q$34</f>
        <v>2027</v>
      </c>
      <c r="R1" s="364">
        <f xml:space="preserve"> ProjectCashflows!R$34</f>
        <v>2028</v>
      </c>
      <c r="S1" s="364">
        <f xml:space="preserve"> ProjectCashflows!S$34</f>
        <v>2029</v>
      </c>
      <c r="T1" s="364">
        <f xml:space="preserve"> ProjectCashflows!T$34</f>
        <v>2030</v>
      </c>
      <c r="U1" s="364">
        <f xml:space="preserve"> ProjectCashflows!U$34</f>
        <v>2031</v>
      </c>
      <c r="V1" s="364">
        <f xml:space="preserve"> ProjectCashflows!V$34</f>
        <v>2032</v>
      </c>
      <c r="W1" s="364">
        <f xml:space="preserve"> ProjectCashflows!W$34</f>
        <v>2033</v>
      </c>
      <c r="X1" s="364">
        <f xml:space="preserve"> ProjectCashflows!X$34</f>
        <v>2034</v>
      </c>
      <c r="Y1" s="364">
        <f xml:space="preserve"> ProjectCashflows!Y$34</f>
        <v>2035</v>
      </c>
      <c r="Z1" s="364">
        <f xml:space="preserve"> ProjectCashflows!Z$34</f>
        <v>2036</v>
      </c>
      <c r="AA1" s="364">
        <f xml:space="preserve"> ProjectCashflows!AA$34</f>
        <v>2037</v>
      </c>
      <c r="AB1" s="364">
        <f xml:space="preserve"> ProjectCashflows!AB$34</f>
        <v>2038</v>
      </c>
      <c r="AC1" s="364">
        <f xml:space="preserve"> ProjectCashflows!AC$34</f>
        <v>2039</v>
      </c>
      <c r="AD1" s="364">
        <f xml:space="preserve"> ProjectCashflows!AD$34</f>
        <v>2040</v>
      </c>
      <c r="AE1" s="364">
        <f xml:space="preserve"> ProjectCashflows!AE$34</f>
        <v>2041</v>
      </c>
      <c r="AF1" s="364">
        <f xml:space="preserve"> ProjectCashflows!AF$34</f>
        <v>2042</v>
      </c>
      <c r="AG1" s="364">
        <f xml:space="preserve"> ProjectCashflows!AG$34</f>
        <v>2043</v>
      </c>
      <c r="AH1" s="364">
        <f xml:space="preserve"> ProjectCashflows!AH$34</f>
        <v>2044</v>
      </c>
      <c r="AI1" s="364">
        <f xml:space="preserve"> ProjectCashflows!AI$34</f>
        <v>2045</v>
      </c>
      <c r="AJ1" s="364">
        <f xml:space="preserve"> ProjectCashflows!AJ$34</f>
        <v>2046</v>
      </c>
      <c r="AK1" s="364">
        <f xml:space="preserve"> ProjectCashflows!AK$34</f>
        <v>2047</v>
      </c>
      <c r="AL1" s="364">
        <f xml:space="preserve"> ProjectCashflows!AL$34</f>
        <v>2048</v>
      </c>
      <c r="AM1" s="364">
        <f xml:space="preserve"> ProjectCashflows!AM$34</f>
        <v>2049</v>
      </c>
      <c r="AN1" s="364">
        <f xml:space="preserve"> ProjectCashflows!AN$34</f>
        <v>2050</v>
      </c>
      <c r="AO1" s="364">
        <f xml:space="preserve"> ProjectCashflows!AO$34</f>
        <v>2051</v>
      </c>
      <c r="AP1" s="364">
        <f xml:space="preserve"> ProjectCashflows!AP$34</f>
        <v>2052</v>
      </c>
      <c r="AQ1" s="364">
        <f xml:space="preserve"> ProjectCashflows!AQ$34</f>
        <v>2053</v>
      </c>
      <c r="AR1" s="364">
        <f xml:space="preserve"> ProjectCashflows!AR$34</f>
        <v>2054</v>
      </c>
      <c r="AS1" s="364">
        <f xml:space="preserve"> ProjectCashflows!AS$34</f>
        <v>2055</v>
      </c>
      <c r="AT1" s="364">
        <f xml:space="preserve"> ProjectCashflows!AT$34</f>
        <v>2056</v>
      </c>
      <c r="AU1" s="364">
        <f xml:space="preserve"> ProjectCashflows!AU$34</f>
        <v>2057</v>
      </c>
      <c r="AV1" s="364">
        <f xml:space="preserve"> ProjectCashflows!AV$34</f>
        <v>2058</v>
      </c>
      <c r="AW1" s="364">
        <f xml:space="preserve"> ProjectCashflows!AW$34</f>
        <v>2059</v>
      </c>
      <c r="AX1" s="364">
        <f xml:space="preserve"> ProjectCashflows!AX$34</f>
        <v>2060</v>
      </c>
    </row>
    <row r="2" spans="1:50" s="96" customFormat="1" ht="15" customHeight="1" x14ac:dyDescent="0.25">
      <c r="A2" s="93"/>
      <c r="B2" s="94"/>
      <c r="C2" s="95"/>
      <c r="D2" s="95"/>
      <c r="E2" s="3" t="str">
        <f xml:space="preserve"> Translate!E$597</f>
        <v>Row description</v>
      </c>
      <c r="F2" s="250" t="str">
        <f xml:space="preserve"> Translate!E$598</f>
        <v>Constant</v>
      </c>
      <c r="G2" s="931" t="str">
        <f xml:space="preserve"> Translate!E$599</f>
        <v>Units</v>
      </c>
      <c r="H2" s="90" t="str">
        <f>Translate!E600</f>
        <v>Comments</v>
      </c>
      <c r="I2" s="213" t="str">
        <f xml:space="preserve"> Translate!E$601</f>
        <v>Total</v>
      </c>
      <c r="J2" s="48"/>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row>
    <row r="3" spans="1:50" s="96" customFormat="1" ht="15" customHeight="1" x14ac:dyDescent="0.25">
      <c r="A3" s="93"/>
      <c r="B3" s="94"/>
      <c r="C3" s="95"/>
      <c r="D3" s="95"/>
      <c r="E3" s="89"/>
      <c r="F3" s="159">
        <f ca="1" xml:space="preserve"> ReadMe!$D$7</f>
        <v>0</v>
      </c>
      <c r="G3" s="90" t="str">
        <f xml:space="preserve"> ReadMe!$E$7</f>
        <v>Checks</v>
      </c>
      <c r="H3" s="90"/>
      <c r="I3" s="90"/>
      <c r="J3" s="48"/>
      <c r="K3" s="465">
        <f ca="1" xml:space="preserve"> Track!F$1</f>
        <v>0</v>
      </c>
      <c r="L3" s="3" t="str">
        <f xml:space="preserve"> Track!G$1</f>
        <v>Track changes</v>
      </c>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row>
    <row r="4" spans="1:50" s="109" customFormat="1" ht="15" customHeight="1" x14ac:dyDescent="0.25">
      <c r="A4" s="66"/>
      <c r="B4" s="66" t="str">
        <f>Translate!$E$699</f>
        <v>Effective Royalty Rate calculation</v>
      </c>
      <c r="C4" s="66"/>
      <c r="D4" s="66"/>
      <c r="E4" s="66"/>
      <c r="F4" s="66"/>
      <c r="G4" s="66"/>
      <c r="H4" s="66"/>
      <c r="I4" s="66"/>
      <c r="J4" s="66"/>
      <c r="K4" s="66"/>
      <c r="L4" s="66"/>
      <c r="M4" s="66"/>
      <c r="N4" s="66"/>
      <c r="O4" s="66"/>
      <c r="P4" s="66"/>
      <c r="Q4" s="66"/>
      <c r="R4" s="66"/>
      <c r="S4" s="66"/>
      <c r="T4" s="66"/>
      <c r="U4" s="66"/>
      <c r="V4" s="66"/>
      <c r="W4" s="66"/>
      <c r="X4" s="66"/>
      <c r="Y4" s="66"/>
      <c r="Z4" s="66"/>
      <c r="AA4" s="66"/>
      <c r="AB4" s="66"/>
      <c r="AC4" s="66"/>
      <c r="AD4" s="66"/>
      <c r="AE4" s="66"/>
      <c r="AF4" s="66"/>
      <c r="AG4" s="66"/>
      <c r="AH4" s="66"/>
      <c r="AI4" s="66"/>
      <c r="AJ4" s="66"/>
      <c r="AK4" s="66"/>
      <c r="AL4" s="66"/>
      <c r="AM4" s="66"/>
      <c r="AN4" s="66"/>
      <c r="AO4" s="66"/>
      <c r="AP4" s="66"/>
      <c r="AQ4" s="66"/>
      <c r="AR4" s="66"/>
      <c r="AS4" s="66"/>
      <c r="AT4" s="66"/>
      <c r="AU4" s="66"/>
      <c r="AV4" s="66"/>
      <c r="AW4" s="66"/>
      <c r="AX4" s="66"/>
    </row>
    <row r="5" spans="1:50" s="109" customFormat="1" ht="15" customHeight="1" x14ac:dyDescent="0.25">
      <c r="A5" s="106"/>
      <c r="B5" s="168"/>
    </row>
    <row r="6" spans="1:50" s="109" customFormat="1" ht="15" customHeight="1" x14ac:dyDescent="0.25">
      <c r="A6" s="106"/>
      <c r="B6" s="168"/>
      <c r="E6" s="995" t="str">
        <f xml:space="preserve"> FiscalModel!E$40</f>
        <v>Regime type</v>
      </c>
      <c r="F6" s="996" t="str">
        <f xml:space="preserve"> FiscalModel!F$40</f>
        <v>T&amp;R</v>
      </c>
      <c r="G6" s="995" t="str">
        <f xml:space="preserve"> FiscalModel!G$40</f>
        <v>Switch</v>
      </c>
    </row>
    <row r="7" spans="1:50" s="109" customFormat="1" ht="15" customHeight="1" x14ac:dyDescent="0.25">
      <c r="A7" s="106"/>
      <c r="B7" s="168"/>
      <c r="E7" s="290" t="str">
        <f xml:space="preserve"> FiscalModel!E$423</f>
        <v>Production Sharing Contract regime</v>
      </c>
      <c r="F7" s="357" t="str">
        <f xml:space="preserve"> FiscalModel!F$423</f>
        <v>PSC</v>
      </c>
      <c r="G7" s="290" t="str">
        <f xml:space="preserve"> FiscalModel!G$423</f>
        <v>Option</v>
      </c>
    </row>
    <row r="8" spans="1:50" s="109" customFormat="1" ht="15" customHeight="1" x14ac:dyDescent="0.25">
      <c r="A8" s="106"/>
      <c r="B8" s="168"/>
      <c r="E8" s="290"/>
      <c r="F8" s="357"/>
      <c r="G8" s="290"/>
    </row>
    <row r="9" spans="1:50" s="111" customFormat="1" ht="15" customHeight="1" x14ac:dyDescent="0.25">
      <c r="A9" s="142"/>
      <c r="B9" s="458"/>
      <c r="C9" s="459"/>
      <c r="D9" s="142"/>
      <c r="E9" s="141" t="str">
        <f xml:space="preserve"> FiscalModel!E$20</f>
        <v>Royalty rate</v>
      </c>
      <c r="F9" s="445">
        <f xml:space="preserve"> FiscalModel!F$20</f>
        <v>0.2</v>
      </c>
      <c r="G9" s="141" t="str">
        <f xml:space="preserve"> FiscalModel!G$20</f>
        <v>%</v>
      </c>
      <c r="H9" s="141">
        <f xml:space="preserve"> FiscalModel!H20</f>
        <v>0</v>
      </c>
      <c r="I9" s="141"/>
      <c r="J9" s="141"/>
      <c r="K9" s="141"/>
      <c r="L9" s="141"/>
      <c r="M9" s="141"/>
      <c r="N9" s="141"/>
      <c r="O9" s="141"/>
      <c r="P9" s="141"/>
      <c r="Q9" s="142"/>
      <c r="R9" s="142"/>
      <c r="S9" s="142"/>
      <c r="T9" s="142"/>
      <c r="U9" s="142"/>
      <c r="V9" s="142"/>
      <c r="W9" s="142"/>
      <c r="X9" s="142"/>
      <c r="Y9" s="142"/>
      <c r="Z9" s="142"/>
      <c r="AA9" s="142"/>
      <c r="AB9" s="142"/>
      <c r="AC9" s="142"/>
      <c r="AD9" s="142"/>
      <c r="AE9" s="142"/>
      <c r="AF9" s="142"/>
      <c r="AG9" s="142"/>
      <c r="AH9" s="142"/>
      <c r="AI9" s="142"/>
      <c r="AJ9" s="142"/>
      <c r="AK9" s="142"/>
      <c r="AL9" s="142"/>
      <c r="AM9" s="142"/>
      <c r="AN9" s="142"/>
      <c r="AO9" s="142"/>
      <c r="AP9" s="142"/>
      <c r="AQ9" s="142"/>
      <c r="AR9" s="142"/>
      <c r="AS9" s="142"/>
      <c r="AT9" s="142"/>
      <c r="AU9" s="142"/>
      <c r="AV9" s="142"/>
      <c r="AW9" s="142"/>
      <c r="AX9" s="142"/>
    </row>
    <row r="10" spans="1:50" s="140" customFormat="1" ht="15" customHeight="1" x14ac:dyDescent="0.25">
      <c r="A10" s="142"/>
      <c r="B10" s="458"/>
      <c r="C10" s="459"/>
      <c r="D10" s="142"/>
      <c r="E10" s="141" t="str">
        <f xml:space="preserve"> FiscalModel!E$299</f>
        <v>Carbon tax as share of net revenue</v>
      </c>
      <c r="F10" s="445">
        <f ca="1" xml:space="preserve"> FiscalModel!F$299</f>
        <v>1.7683457886221065E-2</v>
      </c>
      <c r="G10" s="141" t="str">
        <f xml:space="preserve"> FiscalModel!G$299</f>
        <v>%</v>
      </c>
      <c r="H10" s="141"/>
      <c r="I10" s="141"/>
      <c r="J10" s="141"/>
      <c r="K10" s="141"/>
      <c r="L10" s="141"/>
      <c r="M10" s="141"/>
      <c r="N10" s="141"/>
      <c r="O10" s="141"/>
      <c r="P10" s="141"/>
      <c r="Q10" s="142"/>
      <c r="R10" s="142"/>
      <c r="S10" s="142"/>
      <c r="T10" s="142"/>
      <c r="U10" s="142"/>
      <c r="V10" s="142"/>
      <c r="W10" s="142"/>
      <c r="X10" s="142"/>
      <c r="Y10" s="142"/>
      <c r="Z10" s="142"/>
      <c r="AA10" s="142"/>
      <c r="AB10" s="142"/>
      <c r="AC10" s="142"/>
      <c r="AD10" s="142"/>
      <c r="AE10" s="142"/>
      <c r="AF10" s="142"/>
      <c r="AG10" s="142"/>
      <c r="AH10" s="142"/>
      <c r="AI10" s="142"/>
      <c r="AJ10" s="142"/>
      <c r="AK10" s="142"/>
      <c r="AL10" s="142"/>
      <c r="AM10" s="142"/>
      <c r="AN10" s="142"/>
      <c r="AO10" s="142"/>
      <c r="AP10" s="142"/>
      <c r="AQ10" s="142"/>
      <c r="AR10" s="142"/>
      <c r="AS10" s="142"/>
      <c r="AT10" s="142"/>
      <c r="AU10" s="142"/>
      <c r="AV10" s="142"/>
      <c r="AW10" s="142"/>
      <c r="AX10" s="142"/>
    </row>
    <row r="11" spans="1:50" s="111" customFormat="1" ht="15" customHeight="1" x14ac:dyDescent="0.25">
      <c r="A11" s="142"/>
      <c r="B11" s="458"/>
      <c r="C11" s="459"/>
      <c r="D11" s="142"/>
      <c r="E11" s="141" t="str">
        <f xml:space="preserve"> FiscalModel!E$42</f>
        <v>Cost recovery limit</v>
      </c>
      <c r="F11" s="445">
        <f xml:space="preserve"> FiscalModel!F$42</f>
        <v>0</v>
      </c>
      <c r="G11" s="141" t="str">
        <f xml:space="preserve"> FiscalModel!G$42</f>
        <v>%</v>
      </c>
      <c r="H11" s="141" t="str">
        <f xml:space="preserve"> FiscalModel!H42</f>
        <v>% of revenues after royalty</v>
      </c>
      <c r="I11" s="141"/>
      <c r="J11" s="141"/>
      <c r="K11" s="141"/>
      <c r="L11" s="141"/>
      <c r="M11" s="141"/>
      <c r="N11" s="141"/>
      <c r="O11" s="141"/>
      <c r="P11" s="141"/>
      <c r="Q11" s="142"/>
      <c r="R11" s="142"/>
      <c r="S11" s="142"/>
      <c r="T11" s="142"/>
      <c r="U11" s="142"/>
      <c r="V11" s="142"/>
      <c r="W11" s="142"/>
      <c r="X11" s="142"/>
      <c r="Y11" s="142"/>
      <c r="Z11" s="142"/>
      <c r="AA11" s="142"/>
      <c r="AB11" s="142"/>
      <c r="AC11" s="142"/>
      <c r="AD11" s="142"/>
      <c r="AE11" s="142"/>
      <c r="AF11" s="142"/>
      <c r="AG11" s="142"/>
      <c r="AH11" s="142"/>
      <c r="AI11" s="142"/>
      <c r="AJ11" s="142"/>
      <c r="AK11" s="142"/>
      <c r="AL11" s="142"/>
      <c r="AM11" s="142"/>
      <c r="AN11" s="142"/>
      <c r="AO11" s="142"/>
      <c r="AP11" s="142"/>
      <c r="AQ11" s="142"/>
      <c r="AR11" s="142"/>
      <c r="AS11" s="142"/>
      <c r="AT11" s="142"/>
      <c r="AU11" s="142"/>
      <c r="AV11" s="142"/>
      <c r="AW11" s="142"/>
      <c r="AX11" s="142"/>
    </row>
    <row r="12" spans="1:50" s="111" customFormat="1" ht="15" customHeight="1" x14ac:dyDescent="0.25">
      <c r="A12" s="142"/>
      <c r="B12" s="458"/>
      <c r="C12" s="459"/>
      <c r="D12" s="142"/>
      <c r="E12" s="141" t="str">
        <f xml:space="preserve"> FiscalModel!E$59</f>
        <v>Government profit oil share tier 1</v>
      </c>
      <c r="F12" s="445">
        <f xml:space="preserve"> FiscalModel!F$59</f>
        <v>0</v>
      </c>
      <c r="G12" s="141" t="str">
        <f xml:space="preserve"> FiscalModel!G$59</f>
        <v>%</v>
      </c>
      <c r="H12" s="141">
        <f xml:space="preserve"> FiscalModel!H59</f>
        <v>0</v>
      </c>
      <c r="I12" s="141"/>
      <c r="J12" s="141"/>
      <c r="K12" s="141"/>
      <c r="L12" s="141"/>
      <c r="M12" s="141"/>
      <c r="N12" s="141"/>
      <c r="O12" s="141"/>
      <c r="P12" s="141"/>
      <c r="Q12" s="142"/>
      <c r="R12" s="142"/>
      <c r="S12" s="142"/>
      <c r="T12" s="142"/>
      <c r="U12" s="142"/>
      <c r="V12" s="142"/>
      <c r="W12" s="142"/>
      <c r="X12" s="142"/>
      <c r="Y12" s="142"/>
      <c r="Z12" s="142"/>
      <c r="AA12" s="142"/>
      <c r="AB12" s="142"/>
      <c r="AC12" s="142"/>
      <c r="AD12" s="142"/>
      <c r="AE12" s="142"/>
      <c r="AF12" s="142"/>
      <c r="AG12" s="142"/>
      <c r="AH12" s="142"/>
      <c r="AI12" s="142"/>
      <c r="AJ12" s="142"/>
      <c r="AK12" s="142"/>
      <c r="AL12" s="142"/>
      <c r="AM12" s="142"/>
      <c r="AN12" s="142"/>
      <c r="AO12" s="142"/>
      <c r="AP12" s="142"/>
      <c r="AQ12" s="142"/>
      <c r="AR12" s="142"/>
      <c r="AS12" s="142"/>
      <c r="AT12" s="142"/>
      <c r="AU12" s="142"/>
      <c r="AV12" s="142"/>
      <c r="AW12" s="142"/>
      <c r="AX12" s="142"/>
    </row>
    <row r="13" spans="1:50" s="3" customFormat="1" ht="15" customHeight="1" x14ac:dyDescent="0.25">
      <c r="A13" s="89"/>
      <c r="B13" s="87"/>
      <c r="C13" s="88"/>
      <c r="D13" s="89"/>
      <c r="E13" s="500" t="str">
        <f>Translate!E705</f>
        <v>Effective royalty rate (calculated)</v>
      </c>
      <c r="F13" s="522">
        <f ca="1" xml:space="preserve"> F9 + F10 + IF(F6 = F7, (1 - F9) * ( 1 - F11 ) * F12, 0)</f>
        <v>0.21768345788622107</v>
      </c>
      <c r="G13" s="523" t="s">
        <v>24</v>
      </c>
      <c r="H13" s="89"/>
      <c r="I13" s="89"/>
      <c r="J13" s="89"/>
      <c r="K13" s="61"/>
      <c r="L13" s="61"/>
      <c r="M13" s="61"/>
      <c r="N13" s="61"/>
      <c r="O13" s="61"/>
      <c r="P13" s="61"/>
      <c r="Q13" s="89"/>
      <c r="R13" s="89"/>
      <c r="S13" s="89"/>
      <c r="T13" s="89"/>
      <c r="U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89"/>
      <c r="AV13" s="89"/>
      <c r="AW13" s="89"/>
      <c r="AX13" s="89"/>
    </row>
    <row r="14" spans="1:50" s="3" customFormat="1" ht="15" customHeight="1" x14ac:dyDescent="0.25">
      <c r="A14" s="89"/>
      <c r="B14" s="87"/>
      <c r="C14" s="88"/>
      <c r="D14" s="89"/>
      <c r="E14" s="201"/>
      <c r="F14" s="460"/>
      <c r="G14" s="457"/>
      <c r="H14" s="89"/>
      <c r="I14" s="89"/>
      <c r="J14" s="89"/>
      <c r="K14" s="61"/>
      <c r="L14" s="61"/>
      <c r="M14" s="61"/>
      <c r="N14" s="61"/>
      <c r="O14" s="61"/>
      <c r="P14" s="61"/>
      <c r="Q14" s="89"/>
      <c r="R14" s="89"/>
      <c r="S14" s="89"/>
      <c r="T14" s="89"/>
      <c r="U14" s="89"/>
      <c r="V14" s="89"/>
      <c r="W14" s="89"/>
      <c r="X14" s="89"/>
      <c r="Y14" s="89"/>
      <c r="Z14" s="89"/>
      <c r="AA14" s="89"/>
      <c r="AB14" s="89"/>
      <c r="AC14" s="89"/>
      <c r="AD14" s="89"/>
      <c r="AE14" s="89"/>
      <c r="AF14" s="89"/>
      <c r="AG14" s="89"/>
      <c r="AH14" s="89"/>
      <c r="AI14" s="89"/>
      <c r="AJ14" s="89"/>
      <c r="AK14" s="89"/>
      <c r="AL14" s="89"/>
      <c r="AM14" s="89"/>
      <c r="AN14" s="89"/>
      <c r="AO14" s="89"/>
      <c r="AP14" s="89"/>
      <c r="AQ14" s="89"/>
      <c r="AR14" s="89"/>
      <c r="AS14" s="89"/>
      <c r="AT14" s="89"/>
      <c r="AU14" s="89"/>
      <c r="AV14" s="89"/>
      <c r="AW14" s="89"/>
      <c r="AX14" s="89"/>
    </row>
    <row r="15" spans="1:50" s="109" customFormat="1" ht="15" customHeight="1" x14ac:dyDescent="0.25">
      <c r="A15" s="66" t="str">
        <f xml:space="preserve"> Translate!E$698 &amp; ": "  &amp; Inputs!F$89 &amp; ", " &amp; Inputs!F$92</f>
        <v>Analysis: full-cycle, nominal</v>
      </c>
      <c r="B15" s="66"/>
      <c r="C15" s="66"/>
      <c r="D15" s="66"/>
      <c r="E15" s="66"/>
      <c r="F15" s="66"/>
      <c r="G15" s="66"/>
      <c r="H15" s="66"/>
      <c r="I15" s="66"/>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row>
    <row r="16" spans="1:50" s="109" customFormat="1" ht="15" customHeight="1" x14ac:dyDescent="0.25">
      <c r="A16" s="106"/>
      <c r="B16" s="168"/>
    </row>
    <row r="17" spans="1:50" s="109" customFormat="1" ht="15" customHeight="1" x14ac:dyDescent="0.25">
      <c r="A17" s="106"/>
      <c r="B17" s="189" t="str">
        <f xml:space="preserve"> Translate!E$813 &amp; ": "  &amp; Inputs!F$89 &amp; ", " &amp; Inputs!F$92</f>
        <v>Cashflows: full-cycle, nominal</v>
      </c>
    </row>
    <row r="18" spans="1:50" s="109" customFormat="1" ht="15" customHeight="1" x14ac:dyDescent="0.25">
      <c r="A18" s="106"/>
      <c r="B18" s="189"/>
      <c r="C18" s="108" t="str">
        <f>Translate!E701  &amp; ": "  &amp; Inputs!F$89 &amp; ", " &amp; Inputs!F$92</f>
        <v>Project cashflows: full-cycle, nominal</v>
      </c>
    </row>
    <row r="19" spans="1:50" s="290" customFormat="1" ht="15" customHeight="1" x14ac:dyDescent="0.25">
      <c r="B19" s="291"/>
      <c r="E19" s="290" t="str">
        <f xml:space="preserve"> ProjectCashflows!E$234</f>
        <v>Oil revenues gross, after ELT</v>
      </c>
      <c r="F19" s="290">
        <f xml:space="preserve"> ProjectCashflows!F$234</f>
        <v>0</v>
      </c>
      <c r="G19" s="290" t="str">
        <f xml:space="preserve"> ProjectCashflows!G$234</f>
        <v>US$ mn</v>
      </c>
      <c r="H19" s="290">
        <f xml:space="preserve"> ProjectCashflows!H$234</f>
        <v>0</v>
      </c>
      <c r="I19" s="290">
        <f ca="1" xml:space="preserve"> ProjectCashflows!I$234</f>
        <v>57168.543518412531</v>
      </c>
      <c r="J19" s="290">
        <f xml:space="preserve"> ProjectCashflows!J$234</f>
        <v>0</v>
      </c>
      <c r="K19" s="290">
        <f ca="1" xml:space="preserve"> ProjectCashflows!K$234</f>
        <v>0</v>
      </c>
      <c r="L19" s="290">
        <f ca="1" xml:space="preserve"> ProjectCashflows!L$234</f>
        <v>0</v>
      </c>
      <c r="M19" s="290">
        <f ca="1" xml:space="preserve"> ProjectCashflows!M$234</f>
        <v>0</v>
      </c>
      <c r="N19" s="290">
        <f ca="1" xml:space="preserve"> ProjectCashflows!N$234</f>
        <v>0</v>
      </c>
      <c r="O19" s="290">
        <f ca="1" xml:space="preserve"> ProjectCashflows!O$234</f>
        <v>207.45717060984819</v>
      </c>
      <c r="P19" s="290">
        <f ca="1" xml:space="preserve"> ProjectCashflows!P$234</f>
        <v>1662.331659318</v>
      </c>
      <c r="Q19" s="290">
        <f ca="1" xml:space="preserve"> ProjectCashflows!Q$234</f>
        <v>3391.1565850087204</v>
      </c>
      <c r="R19" s="290">
        <f ca="1" xml:space="preserve"> ProjectCashflows!R$234</f>
        <v>3458.9797167088946</v>
      </c>
      <c r="S19" s="290">
        <f ca="1" xml:space="preserve"> ProjectCashflows!S$234</f>
        <v>3528.1593110430726</v>
      </c>
      <c r="T19" s="290">
        <f ca="1" xml:space="preserve"> ProjectCashflows!T$234</f>
        <v>3598.7224972639342</v>
      </c>
      <c r="U19" s="290">
        <f ca="1" xml:space="preserve"> ProjectCashflows!U$234</f>
        <v>3670.6969472092128</v>
      </c>
      <c r="V19" s="290">
        <f ca="1" xml:space="preserve"> ProjectCashflows!V$234</f>
        <v>3744.1108861533971</v>
      </c>
      <c r="W19" s="290">
        <f ca="1" xml:space="preserve"> ProjectCashflows!W$234</f>
        <v>3818.9931038764653</v>
      </c>
      <c r="X19" s="290">
        <f ca="1" xml:space="preserve"> ProjectCashflows!X$234</f>
        <v>3895.372965953994</v>
      </c>
      <c r="Y19" s="290">
        <f ca="1" xml:space="preserve"> ProjectCashflows!Y$234</f>
        <v>3973.2804252730743</v>
      </c>
      <c r="Z19" s="290">
        <f ca="1" xml:space="preserve"> ProjectCashflows!Z$234</f>
        <v>4052.746033778536</v>
      </c>
      <c r="AA19" s="290">
        <f ca="1" xml:space="preserve"> ProjectCashflows!AA$234</f>
        <v>3348.3787731078273</v>
      </c>
      <c r="AB19" s="290">
        <f ca="1" xml:space="preserve"> ProjectCashflows!AB$234</f>
        <v>2766.4305423416872</v>
      </c>
      <c r="AC19" s="290">
        <f ca="1" xml:space="preserve"> ProjectCashflows!AC$234</f>
        <v>2285.6249140827022</v>
      </c>
      <c r="AD19" s="290">
        <f ca="1" xml:space="preserve"> ProjectCashflows!AD$234</f>
        <v>1888.3833040151289</v>
      </c>
      <c r="AE19" s="290">
        <f ca="1" xml:space="preserve"> ProjectCashflows!AE$234</f>
        <v>1560.1822857772995</v>
      </c>
      <c r="AF19" s="290">
        <f ca="1" xml:space="preserve"> ProjectCashflows!AF$234</f>
        <v>1289.0226045092052</v>
      </c>
      <c r="AG19" s="290">
        <f ca="1" xml:space="preserve"> ProjectCashflows!AG$234</f>
        <v>1064.9904758455054</v>
      </c>
      <c r="AH19" s="290">
        <f ca="1" xml:space="preserve"> ProjectCashflows!AH$234</f>
        <v>879.89513114355657</v>
      </c>
      <c r="AI19" s="290">
        <f ca="1" xml:space="preserve"> ProjectCashflows!AI$234</f>
        <v>726.9693573508066</v>
      </c>
      <c r="AJ19" s="290">
        <f ca="1" xml:space="preserve"> ProjectCashflows!AJ$234</f>
        <v>600.62208304323633</v>
      </c>
      <c r="AK19" s="290">
        <f ca="1" xml:space="preserve"> ProjectCashflows!AK$234</f>
        <v>496.23396501032192</v>
      </c>
      <c r="AL19" s="290">
        <f ca="1" xml:space="preserve"> ProjectCashflows!AL$234</f>
        <v>409.9885018915279</v>
      </c>
      <c r="AM19" s="290">
        <f ca="1" xml:space="preserve"> ProjectCashflows!AM$234</f>
        <v>338.73250026278043</v>
      </c>
      <c r="AN19" s="290">
        <f ca="1" xml:space="preserve"> ProjectCashflows!AN$234</f>
        <v>279.86079171710918</v>
      </c>
      <c r="AO19" s="290">
        <f ca="1" xml:space="preserve"> ProjectCashflows!AO$234</f>
        <v>231.22098611667568</v>
      </c>
      <c r="AP19" s="290">
        <f ca="1" xml:space="preserve"> ProjectCashflows!AP$234</f>
        <v>0</v>
      </c>
      <c r="AQ19" s="290">
        <f ca="1" xml:space="preserve"> ProjectCashflows!AQ$234</f>
        <v>0</v>
      </c>
      <c r="AR19" s="290">
        <f ca="1" xml:space="preserve"> ProjectCashflows!AR$234</f>
        <v>0</v>
      </c>
      <c r="AS19" s="290">
        <f ca="1" xml:space="preserve"> ProjectCashflows!AS$234</f>
        <v>0</v>
      </c>
      <c r="AT19" s="290">
        <f ca="1" xml:space="preserve"> ProjectCashflows!AT$234</f>
        <v>0</v>
      </c>
      <c r="AU19" s="290">
        <f ca="1" xml:space="preserve"> ProjectCashflows!AU$234</f>
        <v>0</v>
      </c>
      <c r="AV19" s="290">
        <f ca="1" xml:space="preserve"> ProjectCashflows!AV$234</f>
        <v>0</v>
      </c>
      <c r="AW19" s="290">
        <f ca="1" xml:space="preserve"> ProjectCashflows!AW$234</f>
        <v>0</v>
      </c>
      <c r="AX19" s="290">
        <f ca="1" xml:space="preserve"> ProjectCashflows!AX$234</f>
        <v>0</v>
      </c>
    </row>
    <row r="20" spans="1:50" s="290" customFormat="1" ht="15" customHeight="1" x14ac:dyDescent="0.25">
      <c r="B20" s="291"/>
      <c r="E20" s="290" t="str">
        <f xml:space="preserve"> ProjectCashflows!E$235</f>
        <v>Transport costs post-fiscal point, after ELT</v>
      </c>
      <c r="F20" s="290">
        <f xml:space="preserve"> ProjectCashflows!F$235</f>
        <v>0</v>
      </c>
      <c r="G20" s="290" t="str">
        <f xml:space="preserve"> ProjectCashflows!G$235</f>
        <v>US$ mn</v>
      </c>
      <c r="H20" s="290">
        <f xml:space="preserve"> ProjectCashflows!H$235</f>
        <v>0</v>
      </c>
      <c r="I20" s="290">
        <f ca="1" xml:space="preserve"> ProjectCashflows!I$235</f>
        <v>0</v>
      </c>
      <c r="J20" s="290">
        <f xml:space="preserve"> ProjectCashflows!J$235</f>
        <v>0</v>
      </c>
      <c r="K20" s="290">
        <f ca="1" xml:space="preserve"> ProjectCashflows!K$235</f>
        <v>0</v>
      </c>
      <c r="L20" s="290">
        <f ca="1" xml:space="preserve"> ProjectCashflows!L$235</f>
        <v>0</v>
      </c>
      <c r="M20" s="290">
        <f ca="1" xml:space="preserve"> ProjectCashflows!M$235</f>
        <v>0</v>
      </c>
      <c r="N20" s="290">
        <f ca="1" xml:space="preserve"> ProjectCashflows!N$235</f>
        <v>0</v>
      </c>
      <c r="O20" s="290">
        <f ca="1" xml:space="preserve"> ProjectCashflows!O$235</f>
        <v>0</v>
      </c>
      <c r="P20" s="290">
        <f ca="1" xml:space="preserve"> ProjectCashflows!P$235</f>
        <v>0</v>
      </c>
      <c r="Q20" s="290">
        <f ca="1" xml:space="preserve"> ProjectCashflows!Q$235</f>
        <v>0</v>
      </c>
      <c r="R20" s="290">
        <f ca="1" xml:space="preserve"> ProjectCashflows!R$235</f>
        <v>0</v>
      </c>
      <c r="S20" s="290">
        <f ca="1" xml:space="preserve"> ProjectCashflows!S$235</f>
        <v>0</v>
      </c>
      <c r="T20" s="290">
        <f ca="1" xml:space="preserve"> ProjectCashflows!T$235</f>
        <v>0</v>
      </c>
      <c r="U20" s="290">
        <f ca="1" xml:space="preserve"> ProjectCashflows!U$235</f>
        <v>0</v>
      </c>
      <c r="V20" s="290">
        <f ca="1" xml:space="preserve"> ProjectCashflows!V$235</f>
        <v>0</v>
      </c>
      <c r="W20" s="290">
        <f ca="1" xml:space="preserve"> ProjectCashflows!W$235</f>
        <v>0</v>
      </c>
      <c r="X20" s="290">
        <f ca="1" xml:space="preserve"> ProjectCashflows!X$235</f>
        <v>0</v>
      </c>
      <c r="Y20" s="290">
        <f ca="1" xml:space="preserve"> ProjectCashflows!Y$235</f>
        <v>0</v>
      </c>
      <c r="Z20" s="290">
        <f ca="1" xml:space="preserve"> ProjectCashflows!Z$235</f>
        <v>0</v>
      </c>
      <c r="AA20" s="290">
        <f ca="1" xml:space="preserve"> ProjectCashflows!AA$235</f>
        <v>0</v>
      </c>
      <c r="AB20" s="290">
        <f ca="1" xml:space="preserve"> ProjectCashflows!AB$235</f>
        <v>0</v>
      </c>
      <c r="AC20" s="290">
        <f ca="1" xml:space="preserve"> ProjectCashflows!AC$235</f>
        <v>0</v>
      </c>
      <c r="AD20" s="290">
        <f ca="1" xml:space="preserve"> ProjectCashflows!AD$235</f>
        <v>0</v>
      </c>
      <c r="AE20" s="290">
        <f ca="1" xml:space="preserve"> ProjectCashflows!AE$235</f>
        <v>0</v>
      </c>
      <c r="AF20" s="290">
        <f ca="1" xml:space="preserve"> ProjectCashflows!AF$235</f>
        <v>0</v>
      </c>
      <c r="AG20" s="290">
        <f ca="1" xml:space="preserve"> ProjectCashflows!AG$235</f>
        <v>0</v>
      </c>
      <c r="AH20" s="290">
        <f ca="1" xml:space="preserve"> ProjectCashflows!AH$235</f>
        <v>0</v>
      </c>
      <c r="AI20" s="290">
        <f ca="1" xml:space="preserve"> ProjectCashflows!AI$235</f>
        <v>0</v>
      </c>
      <c r="AJ20" s="290">
        <f ca="1" xml:space="preserve"> ProjectCashflows!AJ$235</f>
        <v>0</v>
      </c>
      <c r="AK20" s="290">
        <f ca="1" xml:space="preserve"> ProjectCashflows!AK$235</f>
        <v>0</v>
      </c>
      <c r="AL20" s="290">
        <f ca="1" xml:space="preserve"> ProjectCashflows!AL$235</f>
        <v>0</v>
      </c>
      <c r="AM20" s="290">
        <f ca="1" xml:space="preserve"> ProjectCashflows!AM$235</f>
        <v>0</v>
      </c>
      <c r="AN20" s="290">
        <f ca="1" xml:space="preserve"> ProjectCashflows!AN$235</f>
        <v>0</v>
      </c>
      <c r="AO20" s="290">
        <f ca="1" xml:space="preserve"> ProjectCashflows!AO$235</f>
        <v>0</v>
      </c>
      <c r="AP20" s="290">
        <f ca="1" xml:space="preserve"> ProjectCashflows!AP$235</f>
        <v>0</v>
      </c>
      <c r="AQ20" s="290">
        <f ca="1" xml:space="preserve"> ProjectCashflows!AQ$235</f>
        <v>0</v>
      </c>
      <c r="AR20" s="290">
        <f ca="1" xml:space="preserve"> ProjectCashflows!AR$235</f>
        <v>0</v>
      </c>
      <c r="AS20" s="290">
        <f ca="1" xml:space="preserve"> ProjectCashflows!AS$235</f>
        <v>0</v>
      </c>
      <c r="AT20" s="290">
        <f ca="1" xml:space="preserve"> ProjectCashflows!AT$235</f>
        <v>0</v>
      </c>
      <c r="AU20" s="290">
        <f ca="1" xml:space="preserve"> ProjectCashflows!AU$235</f>
        <v>0</v>
      </c>
      <c r="AV20" s="290">
        <f ca="1" xml:space="preserve"> ProjectCashflows!AV$235</f>
        <v>0</v>
      </c>
      <c r="AW20" s="290">
        <f ca="1" xml:space="preserve"> ProjectCashflows!AW$235</f>
        <v>0</v>
      </c>
      <c r="AX20" s="290">
        <f ca="1" xml:space="preserve"> ProjectCashflows!AX$235</f>
        <v>0</v>
      </c>
    </row>
    <row r="21" spans="1:50" s="290" customFormat="1" ht="15" customHeight="1" x14ac:dyDescent="0.25">
      <c r="B21" s="291"/>
      <c r="E21" s="290" t="str">
        <f xml:space="preserve"> ProjectCashflows!E$236</f>
        <v>Net revenues after ELT</v>
      </c>
      <c r="F21" s="290">
        <f xml:space="preserve"> ProjectCashflows!F$236</f>
        <v>0</v>
      </c>
      <c r="G21" s="290" t="str">
        <f xml:space="preserve"> ProjectCashflows!G$236</f>
        <v>US$ mn</v>
      </c>
      <c r="H21" s="290">
        <f xml:space="preserve"> ProjectCashflows!H$236</f>
        <v>0</v>
      </c>
      <c r="I21" s="290">
        <f ca="1" xml:space="preserve"> ProjectCashflows!I$236</f>
        <v>57168.543518412531</v>
      </c>
      <c r="J21" s="290">
        <f xml:space="preserve"> ProjectCashflows!J$236</f>
        <v>0</v>
      </c>
      <c r="K21" s="290">
        <f ca="1" xml:space="preserve"> ProjectCashflows!K$236</f>
        <v>0</v>
      </c>
      <c r="L21" s="290">
        <f ca="1" xml:space="preserve"> ProjectCashflows!L$236</f>
        <v>0</v>
      </c>
      <c r="M21" s="290">
        <f ca="1" xml:space="preserve"> ProjectCashflows!M$236</f>
        <v>0</v>
      </c>
      <c r="N21" s="290">
        <f ca="1" xml:space="preserve"> ProjectCashflows!N$236</f>
        <v>0</v>
      </c>
      <c r="O21" s="290">
        <f ca="1" xml:space="preserve"> ProjectCashflows!O$236</f>
        <v>207.45717060984819</v>
      </c>
      <c r="P21" s="290">
        <f ca="1" xml:space="preserve"> ProjectCashflows!P$236</f>
        <v>1662.331659318</v>
      </c>
      <c r="Q21" s="290">
        <f ca="1" xml:space="preserve"> ProjectCashflows!Q$236</f>
        <v>3391.1565850087204</v>
      </c>
      <c r="R21" s="290">
        <f ca="1" xml:space="preserve"> ProjectCashflows!R$236</f>
        <v>3458.9797167088946</v>
      </c>
      <c r="S21" s="290">
        <f ca="1" xml:space="preserve"> ProjectCashflows!S$236</f>
        <v>3528.1593110430726</v>
      </c>
      <c r="T21" s="290">
        <f ca="1" xml:space="preserve"> ProjectCashflows!T$236</f>
        <v>3598.7224972639342</v>
      </c>
      <c r="U21" s="290">
        <f ca="1" xml:space="preserve"> ProjectCashflows!U$236</f>
        <v>3670.6969472092128</v>
      </c>
      <c r="V21" s="290">
        <f ca="1" xml:space="preserve"> ProjectCashflows!V$236</f>
        <v>3744.1108861533971</v>
      </c>
      <c r="W21" s="290">
        <f ca="1" xml:space="preserve"> ProjectCashflows!W$236</f>
        <v>3818.9931038764653</v>
      </c>
      <c r="X21" s="290">
        <f ca="1" xml:space="preserve"> ProjectCashflows!X$236</f>
        <v>3895.372965953994</v>
      </c>
      <c r="Y21" s="290">
        <f ca="1" xml:space="preserve"> ProjectCashflows!Y$236</f>
        <v>3973.2804252730743</v>
      </c>
      <c r="Z21" s="290">
        <f ca="1" xml:space="preserve"> ProjectCashflows!Z$236</f>
        <v>4052.746033778536</v>
      </c>
      <c r="AA21" s="290">
        <f ca="1" xml:space="preserve"> ProjectCashflows!AA$236</f>
        <v>3348.3787731078273</v>
      </c>
      <c r="AB21" s="290">
        <f ca="1" xml:space="preserve"> ProjectCashflows!AB$236</f>
        <v>2766.4305423416872</v>
      </c>
      <c r="AC21" s="290">
        <f ca="1" xml:space="preserve"> ProjectCashflows!AC$236</f>
        <v>2285.6249140827022</v>
      </c>
      <c r="AD21" s="290">
        <f ca="1" xml:space="preserve"> ProjectCashflows!AD$236</f>
        <v>1888.3833040151289</v>
      </c>
      <c r="AE21" s="290">
        <f ca="1" xml:space="preserve"> ProjectCashflows!AE$236</f>
        <v>1560.1822857772995</v>
      </c>
      <c r="AF21" s="290">
        <f ca="1" xml:space="preserve"> ProjectCashflows!AF$236</f>
        <v>1289.0226045092052</v>
      </c>
      <c r="AG21" s="290">
        <f ca="1" xml:space="preserve"> ProjectCashflows!AG$236</f>
        <v>1064.9904758455054</v>
      </c>
      <c r="AH21" s="290">
        <f ca="1" xml:space="preserve"> ProjectCashflows!AH$236</f>
        <v>879.89513114355657</v>
      </c>
      <c r="AI21" s="290">
        <f ca="1" xml:space="preserve"> ProjectCashflows!AI$236</f>
        <v>726.9693573508066</v>
      </c>
      <c r="AJ21" s="290">
        <f ca="1" xml:space="preserve"> ProjectCashflows!AJ$236</f>
        <v>600.62208304323633</v>
      </c>
      <c r="AK21" s="290">
        <f ca="1" xml:space="preserve"> ProjectCashflows!AK$236</f>
        <v>496.23396501032192</v>
      </c>
      <c r="AL21" s="290">
        <f ca="1" xml:space="preserve"> ProjectCashflows!AL$236</f>
        <v>409.9885018915279</v>
      </c>
      <c r="AM21" s="290">
        <f ca="1" xml:space="preserve"> ProjectCashflows!AM$236</f>
        <v>338.73250026278043</v>
      </c>
      <c r="AN21" s="290">
        <f ca="1" xml:space="preserve"> ProjectCashflows!AN$236</f>
        <v>279.86079171710918</v>
      </c>
      <c r="AO21" s="290">
        <f ca="1" xml:space="preserve"> ProjectCashflows!AO$236</f>
        <v>231.22098611667568</v>
      </c>
      <c r="AP21" s="290">
        <f ca="1" xml:space="preserve"> ProjectCashflows!AP$236</f>
        <v>0</v>
      </c>
      <c r="AQ21" s="290">
        <f ca="1" xml:space="preserve"> ProjectCashflows!AQ$236</f>
        <v>0</v>
      </c>
      <c r="AR21" s="290">
        <f ca="1" xml:space="preserve"> ProjectCashflows!AR$236</f>
        <v>0</v>
      </c>
      <c r="AS21" s="290">
        <f ca="1" xml:space="preserve"> ProjectCashflows!AS$236</f>
        <v>0</v>
      </c>
      <c r="AT21" s="290">
        <f ca="1" xml:space="preserve"> ProjectCashflows!AT$236</f>
        <v>0</v>
      </c>
      <c r="AU21" s="290">
        <f ca="1" xml:space="preserve"> ProjectCashflows!AU$236</f>
        <v>0</v>
      </c>
      <c r="AV21" s="290">
        <f ca="1" xml:space="preserve"> ProjectCashflows!AV$236</f>
        <v>0</v>
      </c>
      <c r="AW21" s="290">
        <f ca="1" xml:space="preserve"> ProjectCashflows!AW$236</f>
        <v>0</v>
      </c>
      <c r="AX21" s="290">
        <f ca="1" xml:space="preserve"> ProjectCashflows!AX$236</f>
        <v>0</v>
      </c>
    </row>
    <row r="22" spans="1:50" s="290" customFormat="1" ht="15" customHeight="1" x14ac:dyDescent="0.25">
      <c r="B22" s="291"/>
      <c r="E22" s="40"/>
      <c r="F22" s="40"/>
      <c r="G22" s="40"/>
      <c r="H22" s="40"/>
      <c r="I22" s="40"/>
      <c r="J22" s="40"/>
      <c r="K22" s="40"/>
      <c r="L22" s="40"/>
      <c r="M22" s="40"/>
      <c r="N22" s="40"/>
      <c r="O22" s="40"/>
      <c r="P22" s="40"/>
      <c r="Q22" s="40"/>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row>
    <row r="23" spans="1:50" s="290" customFormat="1" ht="15" customHeight="1" x14ac:dyDescent="0.25">
      <c r="B23" s="291"/>
      <c r="E23" s="290" t="str">
        <f xml:space="preserve"> ProjectCashflows!E$238</f>
        <v>Exploration costs, after ELT</v>
      </c>
      <c r="F23" s="290">
        <f xml:space="preserve"> ProjectCashflows!F$238</f>
        <v>0</v>
      </c>
      <c r="G23" s="290" t="str">
        <f xml:space="preserve"> ProjectCashflows!G$238</f>
        <v>US$ mn</v>
      </c>
      <c r="H23" s="290">
        <f xml:space="preserve"> ProjectCashflows!H$238</f>
        <v>0</v>
      </c>
      <c r="I23" s="290">
        <f ca="1" xml:space="preserve"> ProjectCashflows!I$238</f>
        <v>420</v>
      </c>
      <c r="J23" s="290">
        <f xml:space="preserve"> ProjectCashflows!J$238</f>
        <v>0</v>
      </c>
      <c r="K23" s="290">
        <f ca="1" xml:space="preserve"> ProjectCashflows!K$238</f>
        <v>420</v>
      </c>
      <c r="L23" s="290">
        <f ca="1" xml:space="preserve"> ProjectCashflows!L$238</f>
        <v>0</v>
      </c>
      <c r="M23" s="290">
        <f ca="1" xml:space="preserve"> ProjectCashflows!M$238</f>
        <v>0</v>
      </c>
      <c r="N23" s="290">
        <f ca="1" xml:space="preserve"> ProjectCashflows!N$238</f>
        <v>0</v>
      </c>
      <c r="O23" s="290">
        <f ca="1" xml:space="preserve"> ProjectCashflows!O$238</f>
        <v>0</v>
      </c>
      <c r="P23" s="290">
        <f ca="1" xml:space="preserve"> ProjectCashflows!P$238</f>
        <v>0</v>
      </c>
      <c r="Q23" s="290">
        <f ca="1" xml:space="preserve"> ProjectCashflows!Q$238</f>
        <v>0</v>
      </c>
      <c r="R23" s="290">
        <f ca="1" xml:space="preserve"> ProjectCashflows!R$238</f>
        <v>0</v>
      </c>
      <c r="S23" s="290">
        <f ca="1" xml:space="preserve"> ProjectCashflows!S$238</f>
        <v>0</v>
      </c>
      <c r="T23" s="290">
        <f ca="1" xml:space="preserve"> ProjectCashflows!T$238</f>
        <v>0</v>
      </c>
      <c r="U23" s="290">
        <f ca="1" xml:space="preserve"> ProjectCashflows!U$238</f>
        <v>0</v>
      </c>
      <c r="V23" s="290">
        <f ca="1" xml:space="preserve"> ProjectCashflows!V$238</f>
        <v>0</v>
      </c>
      <c r="W23" s="290">
        <f ca="1" xml:space="preserve"> ProjectCashflows!W$238</f>
        <v>0</v>
      </c>
      <c r="X23" s="290">
        <f ca="1" xml:space="preserve"> ProjectCashflows!X$238</f>
        <v>0</v>
      </c>
      <c r="Y23" s="290">
        <f ca="1" xml:space="preserve"> ProjectCashflows!Y$238</f>
        <v>0</v>
      </c>
      <c r="Z23" s="290">
        <f ca="1" xml:space="preserve"> ProjectCashflows!Z$238</f>
        <v>0</v>
      </c>
      <c r="AA23" s="290">
        <f ca="1" xml:space="preserve"> ProjectCashflows!AA$238</f>
        <v>0</v>
      </c>
      <c r="AB23" s="290">
        <f ca="1" xml:space="preserve"> ProjectCashflows!AB$238</f>
        <v>0</v>
      </c>
      <c r="AC23" s="290">
        <f ca="1" xml:space="preserve"> ProjectCashflows!AC$238</f>
        <v>0</v>
      </c>
      <c r="AD23" s="290">
        <f ca="1" xml:space="preserve"> ProjectCashflows!AD$238</f>
        <v>0</v>
      </c>
      <c r="AE23" s="290">
        <f ca="1" xml:space="preserve"> ProjectCashflows!AE$238</f>
        <v>0</v>
      </c>
      <c r="AF23" s="290">
        <f ca="1" xml:space="preserve"> ProjectCashflows!AF$238</f>
        <v>0</v>
      </c>
      <c r="AG23" s="290">
        <f ca="1" xml:space="preserve"> ProjectCashflows!AG$238</f>
        <v>0</v>
      </c>
      <c r="AH23" s="290">
        <f ca="1" xml:space="preserve"> ProjectCashflows!AH$238</f>
        <v>0</v>
      </c>
      <c r="AI23" s="290">
        <f ca="1" xml:space="preserve"> ProjectCashflows!AI$238</f>
        <v>0</v>
      </c>
      <c r="AJ23" s="290">
        <f ca="1" xml:space="preserve"> ProjectCashflows!AJ$238</f>
        <v>0</v>
      </c>
      <c r="AK23" s="290">
        <f ca="1" xml:space="preserve"> ProjectCashflows!AK$238</f>
        <v>0</v>
      </c>
      <c r="AL23" s="290">
        <f ca="1" xml:space="preserve"> ProjectCashflows!AL$238</f>
        <v>0</v>
      </c>
      <c r="AM23" s="290">
        <f ca="1" xml:space="preserve"> ProjectCashflows!AM$238</f>
        <v>0</v>
      </c>
      <c r="AN23" s="290">
        <f ca="1" xml:space="preserve"> ProjectCashflows!AN$238</f>
        <v>0</v>
      </c>
      <c r="AO23" s="290">
        <f ca="1" xml:space="preserve"> ProjectCashflows!AO$238</f>
        <v>0</v>
      </c>
      <c r="AP23" s="290">
        <f ca="1" xml:space="preserve"> ProjectCashflows!AP$238</f>
        <v>0</v>
      </c>
      <c r="AQ23" s="290">
        <f ca="1" xml:space="preserve"> ProjectCashflows!AQ$238</f>
        <v>0</v>
      </c>
      <c r="AR23" s="290">
        <f ca="1" xml:space="preserve"> ProjectCashflows!AR$238</f>
        <v>0</v>
      </c>
      <c r="AS23" s="290">
        <f ca="1" xml:space="preserve"> ProjectCashflows!AS$238</f>
        <v>0</v>
      </c>
      <c r="AT23" s="290">
        <f ca="1" xml:space="preserve"> ProjectCashflows!AT$238</f>
        <v>0</v>
      </c>
      <c r="AU23" s="290">
        <f ca="1" xml:space="preserve"> ProjectCashflows!AU$238</f>
        <v>0</v>
      </c>
      <c r="AV23" s="290">
        <f ca="1" xml:space="preserve"> ProjectCashflows!AV$238</f>
        <v>0</v>
      </c>
      <c r="AW23" s="290">
        <f ca="1" xml:space="preserve"> ProjectCashflows!AW$238</f>
        <v>0</v>
      </c>
      <c r="AX23" s="290">
        <f ca="1" xml:space="preserve"> ProjectCashflows!AX$238</f>
        <v>0</v>
      </c>
    </row>
    <row r="24" spans="1:50" s="290" customFormat="1" ht="15" customHeight="1" x14ac:dyDescent="0.25">
      <c r="B24" s="291"/>
      <c r="E24" s="290" t="str">
        <f xml:space="preserve"> ProjectCashflows!E$239</f>
        <v>Development costs, after ELT</v>
      </c>
      <c r="F24" s="290">
        <f xml:space="preserve"> ProjectCashflows!F$239</f>
        <v>0</v>
      </c>
      <c r="G24" s="290" t="str">
        <f xml:space="preserve"> ProjectCashflows!G$239</f>
        <v>US$ mn</v>
      </c>
      <c r="H24" s="290">
        <f xml:space="preserve"> ProjectCashflows!H$239</f>
        <v>0</v>
      </c>
      <c r="I24" s="290">
        <f ca="1" xml:space="preserve"> ProjectCashflows!I$239</f>
        <v>10455.572281430788</v>
      </c>
      <c r="J24" s="290">
        <f xml:space="preserve"> ProjectCashflows!J$239</f>
        <v>0</v>
      </c>
      <c r="K24" s="290">
        <f ca="1" xml:space="preserve"> ProjectCashflows!K$239</f>
        <v>0</v>
      </c>
      <c r="L24" s="290">
        <f ca="1" xml:space="preserve"> ProjectCashflows!L$239</f>
        <v>51</v>
      </c>
      <c r="M24" s="290">
        <f ca="1" xml:space="preserve"> ProjectCashflows!M$239</f>
        <v>312.12</v>
      </c>
      <c r="N24" s="290">
        <f ca="1" xml:space="preserve"> ProjectCashflows!N$239</f>
        <v>1273.4495999999999</v>
      </c>
      <c r="O24" s="290">
        <f ca="1" xml:space="preserve"> ProjectCashflows!O$239</f>
        <v>1298.918592</v>
      </c>
      <c r="P24" s="290">
        <f ca="1" xml:space="preserve"> ProjectCashflows!P$239</f>
        <v>2318.5696867199999</v>
      </c>
      <c r="Q24" s="290">
        <f ca="1" xml:space="preserve"> ProjectCashflows!Q$239</f>
        <v>1238.7786611904</v>
      </c>
      <c r="R24" s="290">
        <f ca="1" xml:space="preserve"> ProjectCashflows!R$239</f>
        <v>516.90855044217597</v>
      </c>
      <c r="S24" s="290">
        <f ca="1" xml:space="preserve"> ProjectCashflows!S$239</f>
        <v>292.91484525056643</v>
      </c>
      <c r="T24" s="290">
        <f ca="1" xml:space="preserve"> ProjectCashflows!T$239</f>
        <v>298.77314215557777</v>
      </c>
      <c r="U24" s="290">
        <f ca="1" xml:space="preserve"> ProjectCashflows!U$239</f>
        <v>304.74860499868936</v>
      </c>
      <c r="V24" s="290">
        <f ca="1" xml:space="preserve"> ProjectCashflows!V$239</f>
        <v>310.8435770986631</v>
      </c>
      <c r="W24" s="290">
        <f ca="1" xml:space="preserve"> ProjectCashflows!W$239</f>
        <v>317.06044864063637</v>
      </c>
      <c r="X24" s="290">
        <f ca="1" xml:space="preserve"> ProjectCashflows!X$239</f>
        <v>323.40165761344906</v>
      </c>
      <c r="Y24" s="290">
        <f ca="1" xml:space="preserve"> ProjectCashflows!Y$239</f>
        <v>329.86969076571808</v>
      </c>
      <c r="Z24" s="290">
        <f ca="1" xml:space="preserve"> ProjectCashflows!Z$239</f>
        <v>336.46708458103245</v>
      </c>
      <c r="AA24" s="290">
        <f ca="1" xml:space="preserve"> ProjectCashflows!AA$239</f>
        <v>343.19642627265313</v>
      </c>
      <c r="AB24" s="290">
        <f ca="1" xml:space="preserve"> ProjectCashflows!AB$239</f>
        <v>0</v>
      </c>
      <c r="AC24" s="290">
        <f ca="1" xml:space="preserve"> ProjectCashflows!AC$239</f>
        <v>0</v>
      </c>
      <c r="AD24" s="290">
        <f ca="1" xml:space="preserve"> ProjectCashflows!AD$239</f>
        <v>291.36223450555974</v>
      </c>
      <c r="AE24" s="290">
        <f ca="1" xml:space="preserve"> ProjectCashflows!AE$239</f>
        <v>297.18947919567097</v>
      </c>
      <c r="AF24" s="290">
        <f ca="1" xml:space="preserve"> ProjectCashflows!AF$239</f>
        <v>0</v>
      </c>
      <c r="AG24" s="290">
        <f ca="1" xml:space="preserve"> ProjectCashflows!AG$239</f>
        <v>0</v>
      </c>
      <c r="AH24" s="290">
        <f ca="1" xml:space="preserve"> ProjectCashflows!AH$239</f>
        <v>0</v>
      </c>
      <c r="AI24" s="290">
        <f ca="1" xml:space="preserve"> ProjectCashflows!AI$239</f>
        <v>0</v>
      </c>
      <c r="AJ24" s="290">
        <f ca="1" xml:space="preserve"> ProjectCashflows!AJ$239</f>
        <v>0</v>
      </c>
      <c r="AK24" s="290">
        <f ca="1" xml:space="preserve"> ProjectCashflows!AK$239</f>
        <v>0</v>
      </c>
      <c r="AL24" s="290">
        <f ca="1" xml:space="preserve"> ProjectCashflows!AL$239</f>
        <v>0</v>
      </c>
      <c r="AM24" s="290">
        <f ca="1" xml:space="preserve"> ProjectCashflows!AM$239</f>
        <v>0</v>
      </c>
      <c r="AN24" s="290">
        <f ca="1" xml:space="preserve"> ProjectCashflows!AN$239</f>
        <v>0</v>
      </c>
      <c r="AO24" s="290">
        <f ca="1" xml:space="preserve"> ProjectCashflows!AO$239</f>
        <v>0</v>
      </c>
      <c r="AP24" s="290">
        <f ca="1" xml:space="preserve"> ProjectCashflows!AP$239</f>
        <v>0</v>
      </c>
      <c r="AQ24" s="290">
        <f ca="1" xml:space="preserve"> ProjectCashflows!AQ$239</f>
        <v>0</v>
      </c>
      <c r="AR24" s="290">
        <f ca="1" xml:space="preserve"> ProjectCashflows!AR$239</f>
        <v>0</v>
      </c>
      <c r="AS24" s="290">
        <f ca="1" xml:space="preserve"> ProjectCashflows!AS$239</f>
        <v>0</v>
      </c>
      <c r="AT24" s="290">
        <f ca="1" xml:space="preserve"> ProjectCashflows!AT$239</f>
        <v>0</v>
      </c>
      <c r="AU24" s="290">
        <f ca="1" xml:space="preserve"> ProjectCashflows!AU$239</f>
        <v>0</v>
      </c>
      <c r="AV24" s="290">
        <f ca="1" xml:space="preserve"> ProjectCashflows!AV$239</f>
        <v>0</v>
      </c>
      <c r="AW24" s="290">
        <f ca="1" xml:space="preserve"> ProjectCashflows!AW$239</f>
        <v>0</v>
      </c>
      <c r="AX24" s="290">
        <f ca="1" xml:space="preserve"> ProjectCashflows!AX$239</f>
        <v>0</v>
      </c>
    </row>
    <row r="25" spans="1:50" s="290" customFormat="1" ht="15" customHeight="1" x14ac:dyDescent="0.25">
      <c r="B25" s="291"/>
      <c r="E25" s="290" t="str">
        <f xml:space="preserve"> ProjectCashflows!E$240</f>
        <v>Replacement capital costs, after ELT</v>
      </c>
      <c r="F25" s="290">
        <f xml:space="preserve"> ProjectCashflows!F$240</f>
        <v>0</v>
      </c>
      <c r="G25" s="290" t="str">
        <f xml:space="preserve"> ProjectCashflows!G$240</f>
        <v>US$ mn</v>
      </c>
      <c r="H25" s="290">
        <f xml:space="preserve"> ProjectCashflows!H$240</f>
        <v>0</v>
      </c>
      <c r="I25" s="290">
        <f ca="1" xml:space="preserve"> ProjectCashflows!I$240</f>
        <v>0</v>
      </c>
      <c r="J25" s="290">
        <f xml:space="preserve"> ProjectCashflows!J$240</f>
        <v>0</v>
      </c>
      <c r="K25" s="290">
        <f ca="1" xml:space="preserve"> ProjectCashflows!K$240</f>
        <v>0</v>
      </c>
      <c r="L25" s="290">
        <f ca="1" xml:space="preserve"> ProjectCashflows!L$240</f>
        <v>0</v>
      </c>
      <c r="M25" s="290">
        <f ca="1" xml:space="preserve"> ProjectCashflows!M$240</f>
        <v>0</v>
      </c>
      <c r="N25" s="290">
        <f ca="1" xml:space="preserve"> ProjectCashflows!N$240</f>
        <v>0</v>
      </c>
      <c r="O25" s="290">
        <f ca="1" xml:space="preserve"> ProjectCashflows!O$240</f>
        <v>0</v>
      </c>
      <c r="P25" s="290">
        <f ca="1" xml:space="preserve"> ProjectCashflows!P$240</f>
        <v>0</v>
      </c>
      <c r="Q25" s="290">
        <f ca="1" xml:space="preserve"> ProjectCashflows!Q$240</f>
        <v>0</v>
      </c>
      <c r="R25" s="290">
        <f ca="1" xml:space="preserve"> ProjectCashflows!R$240</f>
        <v>0</v>
      </c>
      <c r="S25" s="290">
        <f ca="1" xml:space="preserve"> ProjectCashflows!S$240</f>
        <v>0</v>
      </c>
      <c r="T25" s="290">
        <f ca="1" xml:space="preserve"> ProjectCashflows!T$240</f>
        <v>0</v>
      </c>
      <c r="U25" s="290">
        <f ca="1" xml:space="preserve"> ProjectCashflows!U$240</f>
        <v>0</v>
      </c>
      <c r="V25" s="290">
        <f ca="1" xml:space="preserve"> ProjectCashflows!V$240</f>
        <v>0</v>
      </c>
      <c r="W25" s="290">
        <f ca="1" xml:space="preserve"> ProjectCashflows!W$240</f>
        <v>0</v>
      </c>
      <c r="X25" s="290">
        <f ca="1" xml:space="preserve"> ProjectCashflows!X$240</f>
        <v>0</v>
      </c>
      <c r="Y25" s="290">
        <f ca="1" xml:space="preserve"> ProjectCashflows!Y$240</f>
        <v>0</v>
      </c>
      <c r="Z25" s="290">
        <f ca="1" xml:space="preserve"> ProjectCashflows!Z$240</f>
        <v>0</v>
      </c>
      <c r="AA25" s="290">
        <f ca="1" xml:space="preserve"> ProjectCashflows!AA$240</f>
        <v>0</v>
      </c>
      <c r="AB25" s="290">
        <f ca="1" xml:space="preserve"> ProjectCashflows!AB$240</f>
        <v>0</v>
      </c>
      <c r="AC25" s="290">
        <f ca="1" xml:space="preserve"> ProjectCashflows!AC$240</f>
        <v>0</v>
      </c>
      <c r="AD25" s="290">
        <f ca="1" xml:space="preserve"> ProjectCashflows!AD$240</f>
        <v>0</v>
      </c>
      <c r="AE25" s="290">
        <f ca="1" xml:space="preserve"> ProjectCashflows!AE$240</f>
        <v>0</v>
      </c>
      <c r="AF25" s="290">
        <f ca="1" xml:space="preserve"> ProjectCashflows!AF$240</f>
        <v>0</v>
      </c>
      <c r="AG25" s="290">
        <f ca="1" xml:space="preserve"> ProjectCashflows!AG$240</f>
        <v>0</v>
      </c>
      <c r="AH25" s="290">
        <f ca="1" xml:space="preserve"> ProjectCashflows!AH$240</f>
        <v>0</v>
      </c>
      <c r="AI25" s="290">
        <f ca="1" xml:space="preserve"> ProjectCashflows!AI$240</f>
        <v>0</v>
      </c>
      <c r="AJ25" s="290">
        <f ca="1" xml:space="preserve"> ProjectCashflows!AJ$240</f>
        <v>0</v>
      </c>
      <c r="AK25" s="290">
        <f ca="1" xml:space="preserve"> ProjectCashflows!AK$240</f>
        <v>0</v>
      </c>
      <c r="AL25" s="290">
        <f ca="1" xml:space="preserve"> ProjectCashflows!AL$240</f>
        <v>0</v>
      </c>
      <c r="AM25" s="290">
        <f ca="1" xml:space="preserve"> ProjectCashflows!AM$240</f>
        <v>0</v>
      </c>
      <c r="AN25" s="290">
        <f ca="1" xml:space="preserve"> ProjectCashflows!AN$240</f>
        <v>0</v>
      </c>
      <c r="AO25" s="290">
        <f ca="1" xml:space="preserve"> ProjectCashflows!AO$240</f>
        <v>0</v>
      </c>
      <c r="AP25" s="290">
        <f ca="1" xml:space="preserve"> ProjectCashflows!AP$240</f>
        <v>0</v>
      </c>
      <c r="AQ25" s="290">
        <f ca="1" xml:space="preserve"> ProjectCashflows!AQ$240</f>
        <v>0</v>
      </c>
      <c r="AR25" s="290">
        <f ca="1" xml:space="preserve"> ProjectCashflows!AR$240</f>
        <v>0</v>
      </c>
      <c r="AS25" s="290">
        <f ca="1" xml:space="preserve"> ProjectCashflows!AS$240</f>
        <v>0</v>
      </c>
      <c r="AT25" s="290">
        <f ca="1" xml:space="preserve"> ProjectCashflows!AT$240</f>
        <v>0</v>
      </c>
      <c r="AU25" s="290">
        <f ca="1" xml:space="preserve"> ProjectCashflows!AU$240</f>
        <v>0</v>
      </c>
      <c r="AV25" s="290">
        <f ca="1" xml:space="preserve"> ProjectCashflows!AV$240</f>
        <v>0</v>
      </c>
      <c r="AW25" s="290">
        <f ca="1" xml:space="preserve"> ProjectCashflows!AW$240</f>
        <v>0</v>
      </c>
      <c r="AX25" s="290">
        <f ca="1" xml:space="preserve"> ProjectCashflows!AX$240</f>
        <v>0</v>
      </c>
    </row>
    <row r="26" spans="1:50" s="290" customFormat="1" ht="15" customHeight="1" x14ac:dyDescent="0.25">
      <c r="B26" s="291"/>
      <c r="E26" s="290" t="str">
        <f xml:space="preserve"> ProjectCashflows!E$241</f>
        <v>Operating costs, after ELT</v>
      </c>
      <c r="F26" s="290">
        <f xml:space="preserve"> ProjectCashflows!F$241</f>
        <v>0</v>
      </c>
      <c r="G26" s="290" t="str">
        <f xml:space="preserve"> ProjectCashflows!G$241</f>
        <v>US$ mn</v>
      </c>
      <c r="H26" s="290">
        <f xml:space="preserve"> ProjectCashflows!H$241</f>
        <v>0</v>
      </c>
      <c r="I26" s="290">
        <f ca="1" xml:space="preserve"> ProjectCashflows!I$241</f>
        <v>6159.112593390113</v>
      </c>
      <c r="J26" s="290">
        <f xml:space="preserve"> ProjectCashflows!J$241</f>
        <v>0</v>
      </c>
      <c r="K26" s="290">
        <f ca="1" xml:space="preserve"> ProjectCashflows!K$241</f>
        <v>0</v>
      </c>
      <c r="L26" s="290">
        <f ca="1" xml:space="preserve"> ProjectCashflows!L$241</f>
        <v>0</v>
      </c>
      <c r="M26" s="290">
        <f ca="1" xml:space="preserve"> ProjectCashflows!M$241</f>
        <v>0</v>
      </c>
      <c r="N26" s="290">
        <f ca="1" xml:space="preserve"> ProjectCashflows!N$241</f>
        <v>0</v>
      </c>
      <c r="O26" s="290">
        <f ca="1" xml:space="preserve"> ProjectCashflows!O$241</f>
        <v>54.121608000000002</v>
      </c>
      <c r="P26" s="290">
        <f ca="1" xml:space="preserve"> ProjectCashflows!P$241</f>
        <v>198.73454457599999</v>
      </c>
      <c r="Q26" s="290">
        <f ca="1" xml:space="preserve"> ProjectCashflows!Q$241</f>
        <v>292.80222900864004</v>
      </c>
      <c r="R26" s="290">
        <f ca="1" xml:space="preserve"> ProjectCashflows!R$241</f>
        <v>298.65827358881279</v>
      </c>
      <c r="S26" s="290">
        <f ca="1" xml:space="preserve"> ProjectCashflows!S$241</f>
        <v>304.63143906058912</v>
      </c>
      <c r="T26" s="290">
        <f ca="1" xml:space="preserve"> ProjectCashflows!T$241</f>
        <v>310.72406784180089</v>
      </c>
      <c r="U26" s="290">
        <f ca="1" xml:space="preserve"> ProjectCashflows!U$241</f>
        <v>316.93854919863691</v>
      </c>
      <c r="V26" s="290">
        <f ca="1" xml:space="preserve"> ProjectCashflows!V$241</f>
        <v>323.27732018260963</v>
      </c>
      <c r="W26" s="290">
        <f ca="1" xml:space="preserve"> ProjectCashflows!W$241</f>
        <v>329.74286658626181</v>
      </c>
      <c r="X26" s="290">
        <f ca="1" xml:space="preserve"> ProjectCashflows!X$241</f>
        <v>336.33772391798703</v>
      </c>
      <c r="Y26" s="290">
        <f ca="1" xml:space="preserve"> ProjectCashflows!Y$241</f>
        <v>343.06447839634683</v>
      </c>
      <c r="Z26" s="290">
        <f ca="1" xml:space="preserve"> ProjectCashflows!Z$241</f>
        <v>349.92576796427375</v>
      </c>
      <c r="AA26" s="290">
        <f ca="1" xml:space="preserve"> ProjectCashflows!AA$241</f>
        <v>356.92428332355922</v>
      </c>
      <c r="AB26" s="290">
        <f ca="1" xml:space="preserve"> ProjectCashflows!AB$241</f>
        <v>364.06276899003046</v>
      </c>
      <c r="AC26" s="290">
        <f ca="1" xml:space="preserve"> ProjectCashflows!AC$241</f>
        <v>214.23693713644101</v>
      </c>
      <c r="AD26" s="290">
        <f ca="1" xml:space="preserve"> ProjectCashflows!AD$241</f>
        <v>203.95356415389182</v>
      </c>
      <c r="AE26" s="290">
        <f ca="1" xml:space="preserve"> ProjectCashflows!AE$241</f>
        <v>178.3136875174026</v>
      </c>
      <c r="AF26" s="290">
        <f ca="1" xml:space="preserve"> ProjectCashflows!AF$241</f>
        <v>168.23896417266934</v>
      </c>
      <c r="AG26" s="290">
        <f ca="1" xml:space="preserve"> ProjectCashflows!AG$241</f>
        <v>154.59796707758807</v>
      </c>
      <c r="AH26" s="290">
        <f ca="1" xml:space="preserve"> ProjectCashflows!AH$241</f>
        <v>149.80543009818282</v>
      </c>
      <c r="AI26" s="290">
        <f ca="1" xml:space="preserve"> ProjectCashflows!AI$241</f>
        <v>144.75935245277034</v>
      </c>
      <c r="AJ26" s="290">
        <f ca="1" xml:space="preserve"> ProjectCashflows!AJ$241</f>
        <v>139.45150952950212</v>
      </c>
      <c r="AK26" s="290">
        <f ca="1" xml:space="preserve"> ProjectCashflows!AK$241</f>
        <v>133.87344914832201</v>
      </c>
      <c r="AL26" s="290">
        <f ca="1" xml:space="preserve"> ProjectCashflows!AL$241</f>
        <v>128.01648574808294</v>
      </c>
      <c r="AM26" s="290">
        <f ca="1" xml:space="preserve"> ProjectCashflows!AM$241</f>
        <v>121.87169443217496</v>
      </c>
      <c r="AN26" s="290">
        <f ca="1" xml:space="preserve"> ProjectCashflows!AN$241</f>
        <v>124.30912832081846</v>
      </c>
      <c r="AO26" s="290">
        <f ca="1" xml:space="preserve"> ProjectCashflows!AO$241</f>
        <v>117.73850296671806</v>
      </c>
      <c r="AP26" s="290">
        <f ca="1" xml:space="preserve"> ProjectCashflows!AP$241</f>
        <v>0</v>
      </c>
      <c r="AQ26" s="290">
        <f ca="1" xml:space="preserve"> ProjectCashflows!AQ$241</f>
        <v>0</v>
      </c>
      <c r="AR26" s="290">
        <f ca="1" xml:space="preserve"> ProjectCashflows!AR$241</f>
        <v>0</v>
      </c>
      <c r="AS26" s="290">
        <f ca="1" xml:space="preserve"> ProjectCashflows!AS$241</f>
        <v>0</v>
      </c>
      <c r="AT26" s="290">
        <f ca="1" xml:space="preserve"> ProjectCashflows!AT$241</f>
        <v>0</v>
      </c>
      <c r="AU26" s="290">
        <f ca="1" xml:space="preserve"> ProjectCashflows!AU$241</f>
        <v>0</v>
      </c>
      <c r="AV26" s="290">
        <f ca="1" xml:space="preserve"> ProjectCashflows!AV$241</f>
        <v>0</v>
      </c>
      <c r="AW26" s="290">
        <f ca="1" xml:space="preserve"> ProjectCashflows!AW$241</f>
        <v>0</v>
      </c>
      <c r="AX26" s="290">
        <f ca="1" xml:space="preserve"> ProjectCashflows!AX$241</f>
        <v>0</v>
      </c>
    </row>
    <row r="27" spans="1:50" s="290" customFormat="1" ht="15" customHeight="1" x14ac:dyDescent="0.25">
      <c r="B27" s="291"/>
      <c r="E27" s="290" t="str">
        <f xml:space="preserve"> ProjectCashflows!E$242</f>
        <v>Decommissioning costs, after ELT</v>
      </c>
      <c r="F27" s="290">
        <f xml:space="preserve"> ProjectCashflows!F$242</f>
        <v>0</v>
      </c>
      <c r="G27" s="290" t="str">
        <f xml:space="preserve"> ProjectCashflows!G$242</f>
        <v>US$ mn</v>
      </c>
      <c r="H27" s="290">
        <f xml:space="preserve"> ProjectCashflows!H$242</f>
        <v>0</v>
      </c>
      <c r="I27" s="290">
        <f ca="1" xml:space="preserve"> ProjectCashflows!I$242</f>
        <v>1359.7539711319146</v>
      </c>
      <c r="J27" s="290">
        <f xml:space="preserve"> ProjectCashflows!J$242</f>
        <v>0</v>
      </c>
      <c r="K27" s="290">
        <f ca="1" xml:space="preserve"> ProjectCashflows!K$242</f>
        <v>0</v>
      </c>
      <c r="L27" s="290">
        <f ca="1" xml:space="preserve"> ProjectCashflows!L$242</f>
        <v>0</v>
      </c>
      <c r="M27" s="290">
        <f ca="1" xml:space="preserve"> ProjectCashflows!M$242</f>
        <v>0</v>
      </c>
      <c r="N27" s="290">
        <f ca="1" xml:space="preserve"> ProjectCashflows!N$242</f>
        <v>0</v>
      </c>
      <c r="O27" s="290">
        <f ca="1" xml:space="preserve"> ProjectCashflows!O$242</f>
        <v>0</v>
      </c>
      <c r="P27" s="290">
        <f ca="1" xml:space="preserve"> ProjectCashflows!P$242</f>
        <v>0</v>
      </c>
      <c r="Q27" s="290">
        <f ca="1" xml:space="preserve"> ProjectCashflows!Q$242</f>
        <v>0</v>
      </c>
      <c r="R27" s="290">
        <f ca="1" xml:space="preserve"> ProjectCashflows!R$242</f>
        <v>0</v>
      </c>
      <c r="S27" s="290">
        <f ca="1" xml:space="preserve"> ProjectCashflows!S$242</f>
        <v>0</v>
      </c>
      <c r="T27" s="290">
        <f ca="1" xml:space="preserve"> ProjectCashflows!T$242</f>
        <v>0</v>
      </c>
      <c r="U27" s="290">
        <f ca="1" xml:space="preserve"> ProjectCashflows!U$242</f>
        <v>0</v>
      </c>
      <c r="V27" s="290">
        <f ca="1" xml:space="preserve"> ProjectCashflows!V$242</f>
        <v>0</v>
      </c>
      <c r="W27" s="290">
        <f ca="1" xml:space="preserve"> ProjectCashflows!W$242</f>
        <v>0</v>
      </c>
      <c r="X27" s="290">
        <f ca="1" xml:space="preserve"> ProjectCashflows!X$242</f>
        <v>0</v>
      </c>
      <c r="Y27" s="290">
        <f ca="1" xml:space="preserve"> ProjectCashflows!Y$242</f>
        <v>0</v>
      </c>
      <c r="Z27" s="290">
        <f ca="1" xml:space="preserve"> ProjectCashflows!Z$242</f>
        <v>0</v>
      </c>
      <c r="AA27" s="290">
        <f ca="1" xml:space="preserve"> ProjectCashflows!AA$242</f>
        <v>0</v>
      </c>
      <c r="AB27" s="290">
        <f ca="1" xml:space="preserve"> ProjectCashflows!AB$242</f>
        <v>0</v>
      </c>
      <c r="AC27" s="290">
        <f ca="1" xml:space="preserve"> ProjectCashflows!AC$242</f>
        <v>0</v>
      </c>
      <c r="AD27" s="290">
        <f ca="1" xml:space="preserve"> ProjectCashflows!AD$242</f>
        <v>0</v>
      </c>
      <c r="AE27" s="290">
        <f ca="1" xml:space="preserve"> ProjectCashflows!AE$242</f>
        <v>0</v>
      </c>
      <c r="AF27" s="290">
        <f ca="1" xml:space="preserve"> ProjectCashflows!AF$242</f>
        <v>0</v>
      </c>
      <c r="AG27" s="290">
        <f ca="1" xml:space="preserve"> ProjectCashflows!AG$242</f>
        <v>0</v>
      </c>
      <c r="AH27" s="290">
        <f ca="1" xml:space="preserve"> ProjectCashflows!AH$242</f>
        <v>0</v>
      </c>
      <c r="AI27" s="290">
        <f ca="1" xml:space="preserve"> ProjectCashflows!AI$242</f>
        <v>0</v>
      </c>
      <c r="AJ27" s="290">
        <f ca="1" xml:space="preserve"> ProjectCashflows!AJ$242</f>
        <v>0</v>
      </c>
      <c r="AK27" s="290">
        <f ca="1" xml:space="preserve"> ProjectCashflows!AK$242</f>
        <v>0</v>
      </c>
      <c r="AL27" s="290">
        <f ca="1" xml:space="preserve"> ProjectCashflows!AL$242</f>
        <v>426.72161916027648</v>
      </c>
      <c r="AM27" s="290">
        <f ca="1" xml:space="preserve"> ProjectCashflows!AM$242</f>
        <v>0</v>
      </c>
      <c r="AN27" s="290">
        <f ca="1" xml:space="preserve"> ProjectCashflows!AN$242</f>
        <v>0</v>
      </c>
      <c r="AO27" s="290">
        <f ca="1" xml:space="preserve"> ProjectCashflows!AO$242</f>
        <v>0</v>
      </c>
      <c r="AP27" s="290">
        <f ca="1" xml:space="preserve"> ProjectCashflows!AP$242</f>
        <v>461.89720394635549</v>
      </c>
      <c r="AQ27" s="290">
        <f ca="1" xml:space="preserve"> ProjectCashflows!AQ$242</f>
        <v>471.1351480252826</v>
      </c>
      <c r="AR27" s="290">
        <f ca="1" xml:space="preserve"> ProjectCashflows!AR$242</f>
        <v>0</v>
      </c>
      <c r="AS27" s="290">
        <f ca="1" xml:space="preserve"> ProjectCashflows!AS$242</f>
        <v>0</v>
      </c>
      <c r="AT27" s="290">
        <f ca="1" xml:space="preserve"> ProjectCashflows!AT$242</f>
        <v>0</v>
      </c>
      <c r="AU27" s="290">
        <f ca="1" xml:space="preserve"> ProjectCashflows!AU$242</f>
        <v>0</v>
      </c>
      <c r="AV27" s="290">
        <f ca="1" xml:space="preserve"> ProjectCashflows!AV$242</f>
        <v>0</v>
      </c>
      <c r="AW27" s="290">
        <f ca="1" xml:space="preserve"> ProjectCashflows!AW$242</f>
        <v>0</v>
      </c>
      <c r="AX27" s="290">
        <f ca="1" xml:space="preserve"> ProjectCashflows!AX$242</f>
        <v>0</v>
      </c>
    </row>
    <row r="28" spans="1:50" s="290" customFormat="1" ht="15" customHeight="1" x14ac:dyDescent="0.25">
      <c r="B28" s="291"/>
      <c r="E28" s="290" t="str">
        <f xml:space="preserve"> ProjectCashflows!E$243</f>
        <v>Project costs</v>
      </c>
      <c r="F28" s="290">
        <f xml:space="preserve"> ProjectCashflows!F$243</f>
        <v>0</v>
      </c>
      <c r="G28" s="290" t="str">
        <f xml:space="preserve"> ProjectCashflows!G$243</f>
        <v>US$ mn</v>
      </c>
      <c r="H28" s="290">
        <f xml:space="preserve"> ProjectCashflows!H$243</f>
        <v>0</v>
      </c>
      <c r="I28" s="290">
        <f ca="1" xml:space="preserve"> ProjectCashflows!I$243</f>
        <v>18394.43884595282</v>
      </c>
      <c r="J28" s="290">
        <f xml:space="preserve"> ProjectCashflows!J$243</f>
        <v>0</v>
      </c>
      <c r="K28" s="290">
        <f ca="1" xml:space="preserve"> ProjectCashflows!K$243</f>
        <v>420</v>
      </c>
      <c r="L28" s="290">
        <f ca="1" xml:space="preserve"> ProjectCashflows!L$243</f>
        <v>51</v>
      </c>
      <c r="M28" s="290">
        <f ca="1" xml:space="preserve"> ProjectCashflows!M$243</f>
        <v>312.12</v>
      </c>
      <c r="N28" s="290">
        <f ca="1" xml:space="preserve"> ProjectCashflows!N$243</f>
        <v>1273.4495999999999</v>
      </c>
      <c r="O28" s="290">
        <f ca="1" xml:space="preserve"> ProjectCashflows!O$243</f>
        <v>1353.0401999999999</v>
      </c>
      <c r="P28" s="290">
        <f ca="1" xml:space="preserve"> ProjectCashflows!P$243</f>
        <v>2517.3042312960001</v>
      </c>
      <c r="Q28" s="290">
        <f ca="1" xml:space="preserve"> ProjectCashflows!Q$243</f>
        <v>1531.5808901990401</v>
      </c>
      <c r="R28" s="290">
        <f ca="1" xml:space="preserve"> ProjectCashflows!R$243</f>
        <v>815.56682403098887</v>
      </c>
      <c r="S28" s="290">
        <f ca="1" xml:space="preserve"> ProjectCashflows!S$243</f>
        <v>597.54628431115555</v>
      </c>
      <c r="T28" s="290">
        <f ca="1" xml:space="preserve"> ProjectCashflows!T$243</f>
        <v>609.4972099973786</v>
      </c>
      <c r="U28" s="290">
        <f ca="1" xml:space="preserve"> ProjectCashflows!U$243</f>
        <v>621.68715419732621</v>
      </c>
      <c r="V28" s="290">
        <f ca="1" xml:space="preserve"> ProjectCashflows!V$243</f>
        <v>634.12089728127273</v>
      </c>
      <c r="W28" s="290">
        <f ca="1" xml:space="preserve"> ProjectCashflows!W$243</f>
        <v>646.80331522689823</v>
      </c>
      <c r="X28" s="290">
        <f ca="1" xml:space="preserve"> ProjectCashflows!X$243</f>
        <v>659.73938153143615</v>
      </c>
      <c r="Y28" s="290">
        <f ca="1" xml:space="preserve"> ProjectCashflows!Y$243</f>
        <v>672.9341691620649</v>
      </c>
      <c r="Z28" s="290">
        <f ca="1" xml:space="preserve"> ProjectCashflows!Z$243</f>
        <v>686.39285254530625</v>
      </c>
      <c r="AA28" s="290">
        <f ca="1" xml:space="preserve"> ProjectCashflows!AA$243</f>
        <v>700.12070959621235</v>
      </c>
      <c r="AB28" s="290">
        <f ca="1" xml:space="preserve"> ProjectCashflows!AB$243</f>
        <v>364.06276899003046</v>
      </c>
      <c r="AC28" s="290">
        <f ca="1" xml:space="preserve"> ProjectCashflows!AC$243</f>
        <v>214.23693713644101</v>
      </c>
      <c r="AD28" s="290">
        <f ca="1" xml:space="preserve"> ProjectCashflows!AD$243</f>
        <v>495.31579865945162</v>
      </c>
      <c r="AE28" s="290">
        <f ca="1" xml:space="preserve"> ProjectCashflows!AE$243</f>
        <v>475.5031667130736</v>
      </c>
      <c r="AF28" s="290">
        <f ca="1" xml:space="preserve"> ProjectCashflows!AF$243</f>
        <v>168.23896417266934</v>
      </c>
      <c r="AG28" s="290">
        <f ca="1" xml:space="preserve"> ProjectCashflows!AG$243</f>
        <v>154.59796707758807</v>
      </c>
      <c r="AH28" s="290">
        <f ca="1" xml:space="preserve"> ProjectCashflows!AH$243</f>
        <v>149.80543009818282</v>
      </c>
      <c r="AI28" s="290">
        <f ca="1" xml:space="preserve"> ProjectCashflows!AI$243</f>
        <v>144.75935245277034</v>
      </c>
      <c r="AJ28" s="290">
        <f ca="1" xml:space="preserve"> ProjectCashflows!AJ$243</f>
        <v>139.45150952950212</v>
      </c>
      <c r="AK28" s="290">
        <f ca="1" xml:space="preserve"> ProjectCashflows!AK$243</f>
        <v>133.87344914832201</v>
      </c>
      <c r="AL28" s="290">
        <f ca="1" xml:space="preserve"> ProjectCashflows!AL$243</f>
        <v>554.73810490835945</v>
      </c>
      <c r="AM28" s="290">
        <f ca="1" xml:space="preserve"> ProjectCashflows!AM$243</f>
        <v>121.87169443217496</v>
      </c>
      <c r="AN28" s="290">
        <f ca="1" xml:space="preserve"> ProjectCashflows!AN$243</f>
        <v>124.30912832081846</v>
      </c>
      <c r="AO28" s="290">
        <f ca="1" xml:space="preserve"> ProjectCashflows!AO$243</f>
        <v>117.73850296671806</v>
      </c>
      <c r="AP28" s="290">
        <f ca="1" xml:space="preserve"> ProjectCashflows!AP$243</f>
        <v>461.89720394635549</v>
      </c>
      <c r="AQ28" s="290">
        <f ca="1" xml:space="preserve"> ProjectCashflows!AQ$243</f>
        <v>471.1351480252826</v>
      </c>
      <c r="AR28" s="290">
        <f ca="1" xml:space="preserve"> ProjectCashflows!AR$243</f>
        <v>0</v>
      </c>
      <c r="AS28" s="290">
        <f ca="1" xml:space="preserve"> ProjectCashflows!AS$243</f>
        <v>0</v>
      </c>
      <c r="AT28" s="290">
        <f ca="1" xml:space="preserve"> ProjectCashflows!AT$243</f>
        <v>0</v>
      </c>
      <c r="AU28" s="290">
        <f ca="1" xml:space="preserve"> ProjectCashflows!AU$243</f>
        <v>0</v>
      </c>
      <c r="AV28" s="290">
        <f ca="1" xml:space="preserve"> ProjectCashflows!AV$243</f>
        <v>0</v>
      </c>
      <c r="AW28" s="290">
        <f ca="1" xml:space="preserve"> ProjectCashflows!AW$243</f>
        <v>0</v>
      </c>
      <c r="AX28" s="290">
        <f ca="1" xml:space="preserve"> ProjectCashflows!AX$243</f>
        <v>0</v>
      </c>
    </row>
    <row r="29" spans="1:50" s="290" customFormat="1" ht="15" customHeight="1" x14ac:dyDescent="0.25">
      <c r="B29" s="291"/>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row>
    <row r="30" spans="1:50" s="290" customFormat="1" ht="15" customHeight="1" x14ac:dyDescent="0.25">
      <c r="B30" s="291"/>
      <c r="E30" s="290" t="str">
        <f xml:space="preserve"> ProjectCashflows!E$245</f>
        <v>Cashflow before decommissioning fund</v>
      </c>
      <c r="F30" s="290">
        <f xml:space="preserve"> ProjectCashflows!F$245</f>
        <v>0</v>
      </c>
      <c r="G30" s="290" t="str">
        <f xml:space="preserve"> ProjectCashflows!G$245</f>
        <v>US$ mn</v>
      </c>
      <c r="H30" s="290">
        <f xml:space="preserve"> ProjectCashflows!H$245</f>
        <v>0</v>
      </c>
      <c r="I30" s="290">
        <f ca="1" xml:space="preserve"> ProjectCashflows!I$245</f>
        <v>38774.104672459696</v>
      </c>
      <c r="J30" s="290">
        <f xml:space="preserve"> ProjectCashflows!J$245</f>
        <v>0</v>
      </c>
      <c r="K30" s="290">
        <f ca="1" xml:space="preserve"> ProjectCashflows!K$245</f>
        <v>-420</v>
      </c>
      <c r="L30" s="290">
        <f ca="1" xml:space="preserve"> ProjectCashflows!L$245</f>
        <v>-51</v>
      </c>
      <c r="M30" s="290">
        <f ca="1" xml:space="preserve"> ProjectCashflows!M$245</f>
        <v>-312.12</v>
      </c>
      <c r="N30" s="290">
        <f ca="1" xml:space="preserve"> ProjectCashflows!N$245</f>
        <v>-1273.4495999999999</v>
      </c>
      <c r="O30" s="290">
        <f ca="1" xml:space="preserve"> ProjectCashflows!O$245</f>
        <v>-1145.5830293901518</v>
      </c>
      <c r="P30" s="290">
        <f ca="1" xml:space="preserve"> ProjectCashflows!P$245</f>
        <v>-854.97257197800013</v>
      </c>
      <c r="Q30" s="290">
        <f ca="1" xml:space="preserve"> ProjectCashflows!Q$245</f>
        <v>1859.5756948096803</v>
      </c>
      <c r="R30" s="290">
        <f ca="1" xml:space="preserve"> ProjectCashflows!R$245</f>
        <v>2643.4128926779058</v>
      </c>
      <c r="S30" s="290">
        <f ca="1" xml:space="preserve"> ProjectCashflows!S$245</f>
        <v>2930.6130267319172</v>
      </c>
      <c r="T30" s="290">
        <f ca="1" xml:space="preserve"> ProjectCashflows!T$245</f>
        <v>2989.2252872665558</v>
      </c>
      <c r="U30" s="290">
        <f ca="1" xml:space="preserve"> ProjectCashflows!U$245</f>
        <v>3049.0097930118864</v>
      </c>
      <c r="V30" s="290">
        <f ca="1" xml:space="preserve"> ProjectCashflows!V$245</f>
        <v>3109.9899888721243</v>
      </c>
      <c r="W30" s="290">
        <f ca="1" xml:space="preserve"> ProjectCashflows!W$245</f>
        <v>3172.1897886495672</v>
      </c>
      <c r="X30" s="290">
        <f ca="1" xml:space="preserve"> ProjectCashflows!X$245</f>
        <v>3235.6335844225578</v>
      </c>
      <c r="Y30" s="290">
        <f ca="1" xml:space="preserve"> ProjectCashflows!Y$245</f>
        <v>3300.3462561110096</v>
      </c>
      <c r="Z30" s="290">
        <f ca="1" xml:space="preserve"> ProjectCashflows!Z$245</f>
        <v>3366.3531812332299</v>
      </c>
      <c r="AA30" s="290">
        <f ca="1" xml:space="preserve"> ProjectCashflows!AA$245</f>
        <v>2648.2580635116151</v>
      </c>
      <c r="AB30" s="290">
        <f ca="1" xml:space="preserve"> ProjectCashflows!AB$245</f>
        <v>2402.367773351657</v>
      </c>
      <c r="AC30" s="290">
        <f ca="1" xml:space="preserve"> ProjectCashflows!AC$245</f>
        <v>2071.387976946261</v>
      </c>
      <c r="AD30" s="290">
        <f ca="1" xml:space="preserve"> ProjectCashflows!AD$245</f>
        <v>1393.0675053556774</v>
      </c>
      <c r="AE30" s="290">
        <f ca="1" xml:space="preserve"> ProjectCashflows!AE$245</f>
        <v>1084.6791190642259</v>
      </c>
      <c r="AF30" s="290">
        <f ca="1" xml:space="preserve"> ProjectCashflows!AF$245</f>
        <v>1120.7836403365359</v>
      </c>
      <c r="AG30" s="290">
        <f ca="1" xml:space="preserve"> ProjectCashflows!AG$245</f>
        <v>910.39250876791743</v>
      </c>
      <c r="AH30" s="290">
        <f ca="1" xml:space="preserve"> ProjectCashflows!AH$245</f>
        <v>730.08970104537377</v>
      </c>
      <c r="AI30" s="290">
        <f ca="1" xml:space="preserve"> ProjectCashflows!AI$245</f>
        <v>582.21000489803623</v>
      </c>
      <c r="AJ30" s="290">
        <f ca="1" xml:space="preserve"> ProjectCashflows!AJ$245</f>
        <v>461.17057351373421</v>
      </c>
      <c r="AK30" s="290">
        <f ca="1" xml:space="preserve"> ProjectCashflows!AK$245</f>
        <v>362.36051586199994</v>
      </c>
      <c r="AL30" s="290">
        <f ca="1" xml:space="preserve"> ProjectCashflows!AL$245</f>
        <v>-144.74960301683154</v>
      </c>
      <c r="AM30" s="290">
        <f ca="1" xml:space="preserve"> ProjectCashflows!AM$245</f>
        <v>216.86080583060547</v>
      </c>
      <c r="AN30" s="290">
        <f ca="1" xml:space="preserve"> ProjectCashflows!AN$245</f>
        <v>155.55166339629073</v>
      </c>
      <c r="AO30" s="290">
        <f ca="1" xml:space="preserve"> ProjectCashflows!AO$245</f>
        <v>113.48248314995762</v>
      </c>
      <c r="AP30" s="290">
        <f ca="1" xml:space="preserve"> ProjectCashflows!AP$245</f>
        <v>-461.89720394635549</v>
      </c>
      <c r="AQ30" s="290">
        <f ca="1" xml:space="preserve"> ProjectCashflows!AQ$245</f>
        <v>-471.1351480252826</v>
      </c>
      <c r="AR30" s="290">
        <f ca="1" xml:space="preserve"> ProjectCashflows!AR$245</f>
        <v>0</v>
      </c>
      <c r="AS30" s="290">
        <f ca="1" xml:space="preserve"> ProjectCashflows!AS$245</f>
        <v>0</v>
      </c>
      <c r="AT30" s="290">
        <f ca="1" xml:space="preserve"> ProjectCashflows!AT$245</f>
        <v>0</v>
      </c>
      <c r="AU30" s="290">
        <f ca="1" xml:space="preserve"> ProjectCashflows!AU$245</f>
        <v>0</v>
      </c>
      <c r="AV30" s="290">
        <f ca="1" xml:space="preserve"> ProjectCashflows!AV$245</f>
        <v>0</v>
      </c>
      <c r="AW30" s="290">
        <f ca="1" xml:space="preserve"> ProjectCashflows!AW$245</f>
        <v>0</v>
      </c>
      <c r="AX30" s="290">
        <f ca="1" xml:space="preserve"> ProjectCashflows!AX$245</f>
        <v>0</v>
      </c>
    </row>
    <row r="31" spans="1:50" s="109" customFormat="1" ht="15" customHeight="1" x14ac:dyDescent="0.25">
      <c r="A31" s="106"/>
      <c r="B31" s="189"/>
    </row>
    <row r="32" spans="1:50" s="109" customFormat="1" ht="15" customHeight="1" x14ac:dyDescent="0.25">
      <c r="A32" s="106"/>
      <c r="B32" s="189"/>
      <c r="C32" s="108" t="str">
        <f>Translate!E702  &amp; ": "  &amp; Inputs!F$89 &amp; ", " &amp; Inputs!F$92</f>
        <v>Project participants: full-cycle, nominal</v>
      </c>
    </row>
    <row r="33" spans="1:50" s="290" customFormat="1" ht="15" customHeight="1" x14ac:dyDescent="0.25">
      <c r="B33" s="291"/>
      <c r="E33" s="290" t="str">
        <f xml:space="preserve"> ProjectCashflows!E$245</f>
        <v>Cashflow before decommissioning fund</v>
      </c>
      <c r="F33" s="290">
        <f xml:space="preserve"> ProjectCashflows!F$245</f>
        <v>0</v>
      </c>
      <c r="G33" s="290" t="str">
        <f xml:space="preserve"> ProjectCashflows!G$245</f>
        <v>US$ mn</v>
      </c>
      <c r="H33" s="290">
        <f xml:space="preserve"> ProjectCashflows!H$245</f>
        <v>0</v>
      </c>
      <c r="I33" s="290">
        <f ca="1" xml:space="preserve"> ProjectCashflows!I$245</f>
        <v>38774.104672459696</v>
      </c>
      <c r="J33" s="290">
        <f xml:space="preserve"> ProjectCashflows!J$245</f>
        <v>0</v>
      </c>
      <c r="K33" s="290">
        <f ca="1" xml:space="preserve"> ProjectCashflows!K$245</f>
        <v>-420</v>
      </c>
      <c r="L33" s="290">
        <f ca="1" xml:space="preserve"> ProjectCashflows!L$245</f>
        <v>-51</v>
      </c>
      <c r="M33" s="290">
        <f ca="1" xml:space="preserve"> ProjectCashflows!M$245</f>
        <v>-312.12</v>
      </c>
      <c r="N33" s="290">
        <f ca="1" xml:space="preserve"> ProjectCashflows!N$245</f>
        <v>-1273.4495999999999</v>
      </c>
      <c r="O33" s="290">
        <f ca="1" xml:space="preserve"> ProjectCashflows!O$245</f>
        <v>-1145.5830293901518</v>
      </c>
      <c r="P33" s="290">
        <f ca="1" xml:space="preserve"> ProjectCashflows!P$245</f>
        <v>-854.97257197800013</v>
      </c>
      <c r="Q33" s="290">
        <f ca="1" xml:space="preserve"> ProjectCashflows!Q$245</f>
        <v>1859.5756948096803</v>
      </c>
      <c r="R33" s="290">
        <f ca="1" xml:space="preserve"> ProjectCashflows!R$245</f>
        <v>2643.4128926779058</v>
      </c>
      <c r="S33" s="290">
        <f ca="1" xml:space="preserve"> ProjectCashflows!S$245</f>
        <v>2930.6130267319172</v>
      </c>
      <c r="T33" s="290">
        <f ca="1" xml:space="preserve"> ProjectCashflows!T$245</f>
        <v>2989.2252872665558</v>
      </c>
      <c r="U33" s="290">
        <f ca="1" xml:space="preserve"> ProjectCashflows!U$245</f>
        <v>3049.0097930118864</v>
      </c>
      <c r="V33" s="290">
        <f ca="1" xml:space="preserve"> ProjectCashflows!V$245</f>
        <v>3109.9899888721243</v>
      </c>
      <c r="W33" s="290">
        <f ca="1" xml:space="preserve"> ProjectCashflows!W$245</f>
        <v>3172.1897886495672</v>
      </c>
      <c r="X33" s="290">
        <f ca="1" xml:space="preserve"> ProjectCashflows!X$245</f>
        <v>3235.6335844225578</v>
      </c>
      <c r="Y33" s="290">
        <f ca="1" xml:space="preserve"> ProjectCashflows!Y$245</f>
        <v>3300.3462561110096</v>
      </c>
      <c r="Z33" s="290">
        <f ca="1" xml:space="preserve"> ProjectCashflows!Z$245</f>
        <v>3366.3531812332299</v>
      </c>
      <c r="AA33" s="290">
        <f ca="1" xml:space="preserve"> ProjectCashflows!AA$245</f>
        <v>2648.2580635116151</v>
      </c>
      <c r="AB33" s="290">
        <f ca="1" xml:space="preserve"> ProjectCashflows!AB$245</f>
        <v>2402.367773351657</v>
      </c>
      <c r="AC33" s="290">
        <f ca="1" xml:space="preserve"> ProjectCashflows!AC$245</f>
        <v>2071.387976946261</v>
      </c>
      <c r="AD33" s="290">
        <f ca="1" xml:space="preserve"> ProjectCashflows!AD$245</f>
        <v>1393.0675053556774</v>
      </c>
      <c r="AE33" s="290">
        <f ca="1" xml:space="preserve"> ProjectCashflows!AE$245</f>
        <v>1084.6791190642259</v>
      </c>
      <c r="AF33" s="290">
        <f ca="1" xml:space="preserve"> ProjectCashflows!AF$245</f>
        <v>1120.7836403365359</v>
      </c>
      <c r="AG33" s="290">
        <f ca="1" xml:space="preserve"> ProjectCashflows!AG$245</f>
        <v>910.39250876791743</v>
      </c>
      <c r="AH33" s="290">
        <f ca="1" xml:space="preserve"> ProjectCashflows!AH$245</f>
        <v>730.08970104537377</v>
      </c>
      <c r="AI33" s="290">
        <f ca="1" xml:space="preserve"> ProjectCashflows!AI$245</f>
        <v>582.21000489803623</v>
      </c>
      <c r="AJ33" s="290">
        <f ca="1" xml:space="preserve"> ProjectCashflows!AJ$245</f>
        <v>461.17057351373421</v>
      </c>
      <c r="AK33" s="290">
        <f ca="1" xml:space="preserve"> ProjectCashflows!AK$245</f>
        <v>362.36051586199994</v>
      </c>
      <c r="AL33" s="290">
        <f ca="1" xml:space="preserve"> ProjectCashflows!AL$245</f>
        <v>-144.74960301683154</v>
      </c>
      <c r="AM33" s="290">
        <f ca="1" xml:space="preserve"> ProjectCashflows!AM$245</f>
        <v>216.86080583060547</v>
      </c>
      <c r="AN33" s="290">
        <f ca="1" xml:space="preserve"> ProjectCashflows!AN$245</f>
        <v>155.55166339629073</v>
      </c>
      <c r="AO33" s="290">
        <f ca="1" xml:space="preserve"> ProjectCashflows!AO$245</f>
        <v>113.48248314995762</v>
      </c>
      <c r="AP33" s="290">
        <f ca="1" xml:space="preserve"> ProjectCashflows!AP$245</f>
        <v>-461.89720394635549</v>
      </c>
      <c r="AQ33" s="290">
        <f ca="1" xml:space="preserve"> ProjectCashflows!AQ$245</f>
        <v>-471.1351480252826</v>
      </c>
      <c r="AR33" s="290">
        <f ca="1" xml:space="preserve"> ProjectCashflows!AR$245</f>
        <v>0</v>
      </c>
      <c r="AS33" s="290">
        <f ca="1" xml:space="preserve"> ProjectCashflows!AS$245</f>
        <v>0</v>
      </c>
      <c r="AT33" s="290">
        <f ca="1" xml:space="preserve"> ProjectCashflows!AT$245</f>
        <v>0</v>
      </c>
      <c r="AU33" s="290">
        <f ca="1" xml:space="preserve"> ProjectCashflows!AU$245</f>
        <v>0</v>
      </c>
      <c r="AV33" s="290">
        <f ca="1" xml:space="preserve"> ProjectCashflows!AV$245</f>
        <v>0</v>
      </c>
      <c r="AW33" s="290">
        <f ca="1" xml:space="preserve"> ProjectCashflows!AW$245</f>
        <v>0</v>
      </c>
      <c r="AX33" s="290">
        <f ca="1" xml:space="preserve"> ProjectCashflows!AX$245</f>
        <v>0</v>
      </c>
    </row>
    <row r="34" spans="1:50" s="290" customFormat="1" ht="15" customHeight="1" x14ac:dyDescent="0.25">
      <c r="B34" s="292"/>
      <c r="E34" s="290" t="str">
        <f xml:space="preserve"> FiscalModel!E$152</f>
        <v>Net decommissioning cashflows</v>
      </c>
      <c r="F34" s="290">
        <f xml:space="preserve"> FiscalModel!F$152</f>
        <v>0</v>
      </c>
      <c r="G34" s="290" t="str">
        <f xml:space="preserve"> FiscalModel!G$152</f>
        <v>US$ mn</v>
      </c>
      <c r="H34" s="290">
        <f xml:space="preserve"> FiscalModel!H$152</f>
        <v>0</v>
      </c>
      <c r="I34" s="290">
        <f ca="1" xml:space="preserve"> FiscalModel!I$152</f>
        <v>217.30899052555242</v>
      </c>
      <c r="J34" s="290">
        <f xml:space="preserve"> FiscalModel!J$152</f>
        <v>0</v>
      </c>
      <c r="K34" s="290">
        <f ca="1" xml:space="preserve"> FiscalModel!K$152</f>
        <v>0</v>
      </c>
      <c r="L34" s="290">
        <f ca="1" xml:space="preserve"> FiscalModel!L$152</f>
        <v>0</v>
      </c>
      <c r="M34" s="290">
        <f ca="1" xml:space="preserve"> FiscalModel!M$152</f>
        <v>0</v>
      </c>
      <c r="N34" s="290">
        <f ca="1" xml:space="preserve"> FiscalModel!N$152</f>
        <v>0</v>
      </c>
      <c r="O34" s="290">
        <f ca="1" xml:space="preserve"> FiscalModel!O$152</f>
        <v>0</v>
      </c>
      <c r="P34" s="290">
        <f ca="1" xml:space="preserve"> FiscalModel!P$152</f>
        <v>0</v>
      </c>
      <c r="Q34" s="290">
        <f ca="1" xml:space="preserve"> FiscalModel!Q$152</f>
        <v>0</v>
      </c>
      <c r="R34" s="290">
        <f ca="1" xml:space="preserve"> FiscalModel!R$152</f>
        <v>0</v>
      </c>
      <c r="S34" s="290">
        <f ca="1" xml:space="preserve"> FiscalModel!S$152</f>
        <v>0</v>
      </c>
      <c r="T34" s="290">
        <f ca="1" xml:space="preserve"> FiscalModel!T$152</f>
        <v>0</v>
      </c>
      <c r="U34" s="290">
        <f ca="1" xml:space="preserve"> FiscalModel!U$152</f>
        <v>0</v>
      </c>
      <c r="V34" s="290">
        <f ca="1" xml:space="preserve"> FiscalModel!V$152</f>
        <v>0</v>
      </c>
      <c r="W34" s="290">
        <f ca="1" xml:space="preserve"> FiscalModel!W$152</f>
        <v>-63.743472965385962</v>
      </c>
      <c r="X34" s="290">
        <f ca="1" xml:space="preserve"> FiscalModel!X$152</f>
        <v>-63.743472965385962</v>
      </c>
      <c r="Y34" s="290">
        <f ca="1" xml:space="preserve"> FiscalModel!Y$152</f>
        <v>-63.743472965385962</v>
      </c>
      <c r="Z34" s="290">
        <f ca="1" xml:space="preserve"> FiscalModel!Z$152</f>
        <v>-63.743472965385962</v>
      </c>
      <c r="AA34" s="290">
        <f ca="1" xml:space="preserve"> FiscalModel!AA$152</f>
        <v>-63.743472965385962</v>
      </c>
      <c r="AB34" s="290">
        <f ca="1" xml:space="preserve"> FiscalModel!AB$152</f>
        <v>-63.743472965385962</v>
      </c>
      <c r="AC34" s="290">
        <f ca="1" xml:space="preserve"> FiscalModel!AC$152</f>
        <v>-63.743472965385962</v>
      </c>
      <c r="AD34" s="290">
        <f ca="1" xml:space="preserve"> FiscalModel!AD$152</f>
        <v>-63.743472965385962</v>
      </c>
      <c r="AE34" s="290">
        <f ca="1" xml:space="preserve"> FiscalModel!AE$152</f>
        <v>-63.743472965385962</v>
      </c>
      <c r="AF34" s="290">
        <f ca="1" xml:space="preserve"> FiscalModel!AF$152</f>
        <v>-63.743472965385962</v>
      </c>
      <c r="AG34" s="290">
        <f ca="1" xml:space="preserve"> FiscalModel!AG$152</f>
        <v>-63.743472965385962</v>
      </c>
      <c r="AH34" s="290">
        <f ca="1" xml:space="preserve"> FiscalModel!AH$152</f>
        <v>-63.743472965385962</v>
      </c>
      <c r="AI34" s="290">
        <f ca="1" xml:space="preserve"> FiscalModel!AI$152</f>
        <v>-63.743472965385962</v>
      </c>
      <c r="AJ34" s="290">
        <f ca="1" xml:space="preserve"> FiscalModel!AJ$152</f>
        <v>-63.743472965385962</v>
      </c>
      <c r="AK34" s="290">
        <f ca="1" xml:space="preserve"> FiscalModel!AK$152</f>
        <v>-63.743472965385962</v>
      </c>
      <c r="AL34" s="290">
        <f ca="1" xml:space="preserve"> FiscalModel!AL$152</f>
        <v>362.97814619489054</v>
      </c>
      <c r="AM34" s="290">
        <f ca="1" xml:space="preserve"> FiscalModel!AM$152</f>
        <v>-40.849804386728749</v>
      </c>
      <c r="AN34" s="290">
        <f ca="1" xml:space="preserve"> FiscalModel!AN$152</f>
        <v>-40.849804386728749</v>
      </c>
      <c r="AO34" s="290">
        <f ca="1" xml:space="preserve"> FiscalModel!AO$152</f>
        <v>-40.849804386728749</v>
      </c>
      <c r="AP34" s="290">
        <f ca="1" xml:space="preserve"> FiscalModel!AP$152</f>
        <v>461.89720394635549</v>
      </c>
      <c r="AQ34" s="290">
        <f ca="1" xml:space="preserve"> FiscalModel!AQ$152</f>
        <v>471.13514802528232</v>
      </c>
      <c r="AR34" s="290">
        <f ca="1" xml:space="preserve"> FiscalModel!AR$152</f>
        <v>0</v>
      </c>
      <c r="AS34" s="290">
        <f ca="1" xml:space="preserve"> FiscalModel!AS$152</f>
        <v>0</v>
      </c>
      <c r="AT34" s="290">
        <f ca="1" xml:space="preserve"> FiscalModel!AT$152</f>
        <v>0</v>
      </c>
      <c r="AU34" s="290">
        <f ca="1" xml:space="preserve"> FiscalModel!AU$152</f>
        <v>0</v>
      </c>
      <c r="AV34" s="290">
        <f ca="1" xml:space="preserve"> FiscalModel!AV$152</f>
        <v>0</v>
      </c>
      <c r="AW34" s="290">
        <f ca="1" xml:space="preserve"> FiscalModel!AW$152</f>
        <v>0</v>
      </c>
      <c r="AX34" s="290">
        <f ca="1" xml:space="preserve"> FiscalModel!AX$152</f>
        <v>0</v>
      </c>
    </row>
    <row r="35" spans="1:50" s="290" customFormat="1" ht="15" customHeight="1" x14ac:dyDescent="0.25">
      <c r="B35" s="292"/>
      <c r="E35" s="290" t="str">
        <f xml:space="preserve"> FiscalModel!E$1112</f>
        <v>Government revenues excluding participation</v>
      </c>
      <c r="F35" s="290">
        <f xml:space="preserve"> FiscalModel!F$1112</f>
        <v>0</v>
      </c>
      <c r="G35" s="290" t="str">
        <f xml:space="preserve"> FiscalModel!G$1112</f>
        <v>US$ mn</v>
      </c>
      <c r="H35" s="290">
        <f xml:space="preserve"> FiscalModel!H$1112</f>
        <v>0</v>
      </c>
      <c r="I35" s="290">
        <f ca="1" xml:space="preserve"> FiscalModel!I$1112</f>
        <v>20938.889345396881</v>
      </c>
      <c r="J35" s="290">
        <f xml:space="preserve"> FiscalModel!J$1112</f>
        <v>0</v>
      </c>
      <c r="K35" s="290">
        <f ca="1" xml:space="preserve"> FiscalModel!K$1112</f>
        <v>10</v>
      </c>
      <c r="L35" s="290">
        <f ca="1" xml:space="preserve"> FiscalModel!L$1112</f>
        <v>0</v>
      </c>
      <c r="M35" s="290">
        <f ca="1" xml:space="preserve"> FiscalModel!M$1112</f>
        <v>0</v>
      </c>
      <c r="N35" s="290">
        <f ca="1" xml:space="preserve"> FiscalModel!N$1112</f>
        <v>0</v>
      </c>
      <c r="O35" s="290">
        <f ca="1" xml:space="preserve"> FiscalModel!O$1112</f>
        <v>95.884661854786174</v>
      </c>
      <c r="P35" s="290">
        <f ca="1" xml:space="preserve"> FiscalModel!P$1112</f>
        <v>407.08330854984001</v>
      </c>
      <c r="Q35" s="290">
        <f ca="1" xml:space="preserve"> FiscalModel!Q$1112</f>
        <v>818.34866936010894</v>
      </c>
      <c r="R35" s="290">
        <f ca="1" xml:space="preserve"> FiscalModel!R$1112</f>
        <v>1001.7663204260878</v>
      </c>
      <c r="S35" s="290">
        <f ca="1" xml:space="preserve"> FiscalModel!S$1112</f>
        <v>1125.1595776711476</v>
      </c>
      <c r="T35" s="290">
        <f ca="1" xml:space="preserve"> FiscalModel!T$1112</f>
        <v>1295.2810743840259</v>
      </c>
      <c r="U35" s="290">
        <f ca="1" xml:space="preserve"> FiscalModel!U$1112</f>
        <v>1432.3924945682957</v>
      </c>
      <c r="V35" s="290">
        <f ca="1" xml:space="preserve"> FiscalModel!V$1112</f>
        <v>1515.3946616531666</v>
      </c>
      <c r="W35" s="290">
        <f ca="1" xml:space="preserve"> FiscalModel!W$1112</f>
        <v>1541.1702010108581</v>
      </c>
      <c r="X35" s="290">
        <f ca="1" xml:space="preserve"> FiscalModel!X$1112</f>
        <v>1577.1441187080206</v>
      </c>
      <c r="Y35" s="290">
        <f ca="1" xml:space="preserve"> FiscalModel!Y$1112</f>
        <v>1613.7446191869485</v>
      </c>
      <c r="Z35" s="290">
        <f ca="1" xml:space="preserve"> FiscalModel!Z$1112</f>
        <v>1650.9842341032765</v>
      </c>
      <c r="AA35" s="290">
        <f ca="1" xml:space="preserve"> FiscalModel!AA$1112</f>
        <v>1346.0757172260385</v>
      </c>
      <c r="AB35" s="290">
        <f ca="1" xml:space="preserve"> FiscalModel!AB$1112</f>
        <v>1109.0901351503715</v>
      </c>
      <c r="AC35" s="290">
        <f ca="1" xml:space="preserve"> FiscalModel!AC$1112</f>
        <v>945.52083821668054</v>
      </c>
      <c r="AD35" s="290">
        <f ca="1" xml:space="preserve"> FiscalModel!AD$1112</f>
        <v>737.95529036480423</v>
      </c>
      <c r="AE35" s="290">
        <f ca="1" xml:space="preserve"> FiscalModel!AE$1112</f>
        <v>591.39960488635143</v>
      </c>
      <c r="AF35" s="290">
        <f ca="1" xml:space="preserve"> FiscalModel!AF$1112</f>
        <v>505.54922375907813</v>
      </c>
      <c r="AG35" s="290">
        <f ca="1" xml:space="preserve"> FiscalModel!AG$1112</f>
        <v>368.83067535997384</v>
      </c>
      <c r="AH35" s="290">
        <f ca="1" xml:space="preserve"> FiscalModel!AH$1112</f>
        <v>289.53200913223253</v>
      </c>
      <c r="AI35" s="290">
        <f ca="1" xml:space="preserve"> FiscalModel!AI$1112</f>
        <v>240.67094607017114</v>
      </c>
      <c r="AJ35" s="290">
        <f ca="1" xml:space="preserve"> FiscalModel!AJ$1112</f>
        <v>203.81123392119463</v>
      </c>
      <c r="AK35" s="290">
        <f ca="1" xml:space="preserve"> FiscalModel!AK$1112</f>
        <v>159.96453627817743</v>
      </c>
      <c r="AL35" s="290">
        <f ca="1" xml:space="preserve"> FiscalModel!AL$1112</f>
        <v>124.10653573980426</v>
      </c>
      <c r="AM35" s="290">
        <f ca="1" xml:space="preserve"> FiscalModel!AM$1112</f>
        <v>101.27156193795571</v>
      </c>
      <c r="AN35" s="290">
        <f ca="1" xml:space="preserve"> FiscalModel!AN$1112</f>
        <v>75.017385741563231</v>
      </c>
      <c r="AO35" s="290">
        <f ca="1" xml:space="preserve"> FiscalModel!AO$1112</f>
        <v>55.739710135920838</v>
      </c>
      <c r="AP35" s="290">
        <f ca="1" xml:space="preserve"> FiscalModel!AP$1112</f>
        <v>0</v>
      </c>
      <c r="AQ35" s="290">
        <f ca="1" xml:space="preserve"> FiscalModel!AQ$1112</f>
        <v>0</v>
      </c>
      <c r="AR35" s="290">
        <f ca="1" xml:space="preserve"> FiscalModel!AR$1112</f>
        <v>0</v>
      </c>
      <c r="AS35" s="290">
        <f ca="1" xml:space="preserve"> FiscalModel!AS$1112</f>
        <v>0</v>
      </c>
      <c r="AT35" s="290">
        <f ca="1" xml:space="preserve"> FiscalModel!AT$1112</f>
        <v>0</v>
      </c>
      <c r="AU35" s="290">
        <f ca="1" xml:space="preserve"> FiscalModel!AU$1112</f>
        <v>0</v>
      </c>
      <c r="AV35" s="290">
        <f ca="1" xml:space="preserve"> FiscalModel!AV$1112</f>
        <v>0</v>
      </c>
      <c r="AW35" s="290">
        <f ca="1" xml:space="preserve"> FiscalModel!AW$1112</f>
        <v>0</v>
      </c>
      <c r="AX35" s="290">
        <f ca="1" xml:space="preserve"> FiscalModel!AX$1112</f>
        <v>0</v>
      </c>
    </row>
    <row r="36" spans="1:50" s="290" customFormat="1" ht="15" customHeight="1" x14ac:dyDescent="0.25">
      <c r="B36" s="292"/>
      <c r="E36" s="290" t="str">
        <f xml:space="preserve"> FiscalModel!E$1097</f>
        <v>SOC net cash flow before tax, after carried interest, including share of lender cashflows</v>
      </c>
      <c r="F36" s="290">
        <f xml:space="preserve"> FiscalModel!F$1097</f>
        <v>0</v>
      </c>
      <c r="G36" s="290" t="str">
        <f xml:space="preserve"> FiscalModel!G$1097</f>
        <v>US$ mn</v>
      </c>
      <c r="H36" s="290">
        <f xml:space="preserve"> FiscalModel!H$1097</f>
        <v>0</v>
      </c>
      <c r="I36" s="290">
        <f ca="1" xml:space="preserve"> FiscalModel!I$1097</f>
        <v>5348.1970588667227</v>
      </c>
      <c r="J36" s="290">
        <f xml:space="preserve"> FiscalModel!J$1097</f>
        <v>0</v>
      </c>
      <c r="K36" s="290">
        <f ca="1" xml:space="preserve"> FiscalModel!K$1097</f>
        <v>0</v>
      </c>
      <c r="L36" s="290">
        <f ca="1" xml:space="preserve"> FiscalModel!L$1097</f>
        <v>-7.14</v>
      </c>
      <c r="M36" s="290">
        <f ca="1" xml:space="preserve"> FiscalModel!M$1097</f>
        <v>-43.696799999999996</v>
      </c>
      <c r="N36" s="290">
        <f ca="1" xml:space="preserve"> FiscalModel!N$1097</f>
        <v>-178.28294399999999</v>
      </c>
      <c r="O36" s="290">
        <f ca="1" xml:space="preserve"> FiscalModel!O$1097</f>
        <v>-181.84860287999999</v>
      </c>
      <c r="P36" s="290">
        <f ca="1" xml:space="preserve"> FiscalModel!P$1097</f>
        <v>-324.59975614080003</v>
      </c>
      <c r="Q36" s="290">
        <f ca="1" xml:space="preserve"> FiscalModel!Q$1097</f>
        <v>120.89652462312704</v>
      </c>
      <c r="R36" s="290">
        <f ca="1" xml:space="preserve"> FiscalModel!R$1097</f>
        <v>372.91479832582809</v>
      </c>
      <c r="S36" s="290">
        <f ca="1" xml:space="preserve"> FiscalModel!S$1097</f>
        <v>427.9880533123075</v>
      </c>
      <c r="T36" s="290">
        <f ca="1" xml:space="preserve"> FiscalModel!T$1097</f>
        <v>437.28838991944468</v>
      </c>
      <c r="U36" s="290">
        <f ca="1" xml:space="preserve"> FiscalModel!U$1097</f>
        <v>446.76672501974389</v>
      </c>
      <c r="V36" s="290">
        <f ca="1" xml:space="preserve"> FiscalModel!V$1097</f>
        <v>456.42661858306832</v>
      </c>
      <c r="W36" s="290">
        <f ca="1" xml:space="preserve"> FiscalModel!W$1097</f>
        <v>453.52300718560105</v>
      </c>
      <c r="X36" s="290">
        <f ca="1" xml:space="preserve"> FiscalModel!X$1097</f>
        <v>463.55698380614228</v>
      </c>
      <c r="Y36" s="290">
        <f ca="1" xml:space="preserve"> FiscalModel!Y$1097</f>
        <v>473.78363172011348</v>
      </c>
      <c r="Z36" s="290">
        <f ca="1" xml:space="preserve"> FiscalModel!Z$1097</f>
        <v>484.20680435338329</v>
      </c>
      <c r="AA36" s="290">
        <f ca="1" xml:space="preserve"> FiscalModel!AA$1097</f>
        <v>371.78581114493267</v>
      </c>
      <c r="AB36" s="290">
        <f ca="1" xml:space="preserve"> FiscalModel!AB$1097</f>
        <v>348.01025399118669</v>
      </c>
      <c r="AC36" s="290">
        <f ca="1" xml:space="preserve"> FiscalModel!AC$1097</f>
        <v>302.76742287502299</v>
      </c>
      <c r="AD36" s="290">
        <f ca="1" xml:space="preserve"> FiscalModel!AD$1097</f>
        <v>184.38692441759952</v>
      </c>
      <c r="AE36" s="290">
        <f ca="1" xml:space="preserve"> FiscalModel!AE$1097</f>
        <v>136.96637236979458</v>
      </c>
      <c r="AF36" s="290">
        <f ca="1" xml:space="preserve"> FiscalModel!AF$1097</f>
        <v>155.94822230456782</v>
      </c>
      <c r="AG36" s="290">
        <f ca="1" xml:space="preserve"> FiscalModel!AG$1097</f>
        <v>123.57207346535795</v>
      </c>
      <c r="AH36" s="290">
        <f ca="1" xml:space="preserve"> FiscalModel!AH$1097</f>
        <v>95.515367494579522</v>
      </c>
      <c r="AI36" s="290">
        <f ca="1" xml:space="preserve"> FiscalModel!AI$1097</f>
        <v>72.542493063200425</v>
      </c>
      <c r="AJ36" s="290">
        <f ca="1" xml:space="preserve"> FiscalModel!AJ$1097</f>
        <v>53.782185174209324</v>
      </c>
      <c r="AK36" s="290">
        <f ca="1" xml:space="preserve"> FiscalModel!AK$1097</f>
        <v>38.5145851717879</v>
      </c>
      <c r="AL36" s="290">
        <f ca="1" xml:space="preserve"> FiscalModel!AL$1097</f>
        <v>26.145002066181853</v>
      </c>
      <c r="AM36" s="290">
        <f ca="1" xml:space="preserve"> FiscalModel!AM$1097</f>
        <v>20.760955418311376</v>
      </c>
      <c r="AN36" s="290">
        <f ca="1" xml:space="preserve"> FiscalModel!AN$1097</f>
        <v>11.023464796666303</v>
      </c>
      <c r="AO36" s="290">
        <f ca="1" xml:space="preserve"> FiscalModel!AO$1097</f>
        <v>4.6924912853637437</v>
      </c>
      <c r="AP36" s="290">
        <f ca="1" xml:space="preserve"> FiscalModel!AP$1097</f>
        <v>0</v>
      </c>
      <c r="AQ36" s="290">
        <f ca="1" xml:space="preserve"> FiscalModel!AQ$1097</f>
        <v>0</v>
      </c>
      <c r="AR36" s="290">
        <f ca="1" xml:space="preserve"> FiscalModel!AR$1097</f>
        <v>0</v>
      </c>
      <c r="AS36" s="290">
        <f ca="1" xml:space="preserve"> FiscalModel!AS$1097</f>
        <v>0</v>
      </c>
      <c r="AT36" s="290">
        <f ca="1" xml:space="preserve"> FiscalModel!AT$1097</f>
        <v>0</v>
      </c>
      <c r="AU36" s="290">
        <f ca="1" xml:space="preserve"> FiscalModel!AU$1097</f>
        <v>0</v>
      </c>
      <c r="AV36" s="290">
        <f ca="1" xml:space="preserve"> FiscalModel!AV$1097</f>
        <v>0</v>
      </c>
      <c r="AW36" s="290">
        <f ca="1" xml:space="preserve"> FiscalModel!AW$1097</f>
        <v>0</v>
      </c>
      <c r="AX36" s="290">
        <f ca="1" xml:space="preserve"> FiscalModel!AX$1097</f>
        <v>0</v>
      </c>
    </row>
    <row r="37" spans="1:50" s="109" customFormat="1" ht="15" customHeight="1" x14ac:dyDescent="0.25">
      <c r="A37" s="106"/>
      <c r="B37" s="168"/>
      <c r="E37" s="109" t="str">
        <f xml:space="preserve"> Translate!E$398</f>
        <v>Government revenues including participation</v>
      </c>
      <c r="G37" s="89" t="str">
        <f xml:space="preserve"> Translate!E$603</f>
        <v>US$ mn</v>
      </c>
      <c r="I37" s="109">
        <f ca="1" xml:space="preserve"> SUM(K37:AX37)</f>
        <v>26287.086404263599</v>
      </c>
      <c r="K37" s="109">
        <f ca="1" xml:space="preserve"> K35 + K36</f>
        <v>10</v>
      </c>
      <c r="L37" s="109">
        <f t="shared" ref="L37:AX37" ca="1" si="0" xml:space="preserve"> L35 + L36</f>
        <v>-7.14</v>
      </c>
      <c r="M37" s="109">
        <f t="shared" ca="1" si="0"/>
        <v>-43.696799999999996</v>
      </c>
      <c r="N37" s="109">
        <f t="shared" ca="1" si="0"/>
        <v>-178.28294399999999</v>
      </c>
      <c r="O37" s="109">
        <f t="shared" ca="1" si="0"/>
        <v>-85.963941025213813</v>
      </c>
      <c r="P37" s="109">
        <f t="shared" ca="1" si="0"/>
        <v>82.483552409039987</v>
      </c>
      <c r="Q37" s="109">
        <f t="shared" ca="1" si="0"/>
        <v>939.24519398323594</v>
      </c>
      <c r="R37" s="109">
        <f t="shared" ca="1" si="0"/>
        <v>1374.6811187519158</v>
      </c>
      <c r="S37" s="109">
        <f t="shared" ca="1" si="0"/>
        <v>1553.1476309834552</v>
      </c>
      <c r="T37" s="109">
        <f t="shared" ca="1" si="0"/>
        <v>1732.5694643034706</v>
      </c>
      <c r="U37" s="109">
        <f t="shared" ca="1" si="0"/>
        <v>1879.1592195880396</v>
      </c>
      <c r="V37" s="109">
        <f t="shared" ca="1" si="0"/>
        <v>1971.821280236235</v>
      </c>
      <c r="W37" s="109">
        <f t="shared" ca="1" si="0"/>
        <v>1994.6932081964592</v>
      </c>
      <c r="X37" s="109">
        <f t="shared" ca="1" si="0"/>
        <v>2040.7011025141628</v>
      </c>
      <c r="Y37" s="109">
        <f t="shared" ca="1" si="0"/>
        <v>2087.5282509070621</v>
      </c>
      <c r="Z37" s="109">
        <f t="shared" ca="1" si="0"/>
        <v>2135.19103845666</v>
      </c>
      <c r="AA37" s="109">
        <f t="shared" ca="1" si="0"/>
        <v>1717.8615283709712</v>
      </c>
      <c r="AB37" s="109">
        <f t="shared" ca="1" si="0"/>
        <v>1457.100389141558</v>
      </c>
      <c r="AC37" s="109">
        <f t="shared" ca="1" si="0"/>
        <v>1248.2882610917036</v>
      </c>
      <c r="AD37" s="109">
        <f t="shared" ca="1" si="0"/>
        <v>922.34221478240374</v>
      </c>
      <c r="AE37" s="109">
        <f t="shared" ca="1" si="0"/>
        <v>728.36597725614604</v>
      </c>
      <c r="AF37" s="109">
        <f t="shared" ca="1" si="0"/>
        <v>661.49744606364595</v>
      </c>
      <c r="AG37" s="109">
        <f t="shared" ca="1" si="0"/>
        <v>492.4027488253318</v>
      </c>
      <c r="AH37" s="109">
        <f t="shared" ca="1" si="0"/>
        <v>385.04737662681202</v>
      </c>
      <c r="AI37" s="109">
        <f t="shared" ca="1" si="0"/>
        <v>313.21343913337159</v>
      </c>
      <c r="AJ37" s="109">
        <f t="shared" ca="1" si="0"/>
        <v>257.59341909540393</v>
      </c>
      <c r="AK37" s="109">
        <f t="shared" ca="1" si="0"/>
        <v>198.47912144996533</v>
      </c>
      <c r="AL37" s="109">
        <f t="shared" ca="1" si="0"/>
        <v>150.25153780598612</v>
      </c>
      <c r="AM37" s="109">
        <f t="shared" ca="1" si="0"/>
        <v>122.03251735626708</v>
      </c>
      <c r="AN37" s="109">
        <f t="shared" ca="1" si="0"/>
        <v>86.040850538229535</v>
      </c>
      <c r="AO37" s="109">
        <f t="shared" ca="1" si="0"/>
        <v>60.432201421284581</v>
      </c>
      <c r="AP37" s="109">
        <f t="shared" ca="1" si="0"/>
        <v>0</v>
      </c>
      <c r="AQ37" s="109">
        <f t="shared" ca="1" si="0"/>
        <v>0</v>
      </c>
      <c r="AR37" s="109">
        <f t="shared" ca="1" si="0"/>
        <v>0</v>
      </c>
      <c r="AS37" s="109">
        <f t="shared" ca="1" si="0"/>
        <v>0</v>
      </c>
      <c r="AT37" s="109">
        <f t="shared" ca="1" si="0"/>
        <v>0</v>
      </c>
      <c r="AU37" s="109">
        <f t="shared" ca="1" si="0"/>
        <v>0</v>
      </c>
      <c r="AV37" s="109">
        <f t="shared" ca="1" si="0"/>
        <v>0</v>
      </c>
      <c r="AW37" s="109">
        <f t="shared" ca="1" si="0"/>
        <v>0</v>
      </c>
      <c r="AX37" s="109">
        <f t="shared" ca="1" si="0"/>
        <v>0</v>
      </c>
    </row>
    <row r="38" spans="1:50" s="290" customFormat="1" ht="15" customHeight="1" x14ac:dyDescent="0.25">
      <c r="B38" s="292"/>
      <c r="E38" s="290" t="str">
        <f xml:space="preserve"> FiscalModel!E$1022</f>
        <v>Net cashflow after fiscal regime: IOC</v>
      </c>
      <c r="F38" s="290">
        <f xml:space="preserve"> FiscalModel!F$1022</f>
        <v>0</v>
      </c>
      <c r="G38" s="290" t="str">
        <f xml:space="preserve"> FiscalModel!G$1022</f>
        <v>US$ mn</v>
      </c>
      <c r="H38" s="290">
        <f xml:space="preserve"> FiscalModel!H$1022</f>
        <v>0</v>
      </c>
      <c r="I38" s="290">
        <f ca="1" xml:space="preserve"> FiscalModel!I$1022</f>
        <v>11688.472161546106</v>
      </c>
      <c r="J38" s="290">
        <f xml:space="preserve"> FiscalModel!J$1022</f>
        <v>0</v>
      </c>
      <c r="K38" s="290">
        <f ca="1" xml:space="preserve"> FiscalModel!K$1022</f>
        <v>-430</v>
      </c>
      <c r="L38" s="290">
        <f ca="1" xml:space="preserve"> FiscalModel!L$1022</f>
        <v>-15.3</v>
      </c>
      <c r="M38" s="290">
        <f ca="1" xml:space="preserve"> FiscalModel!M$1022</f>
        <v>-93.636000000000024</v>
      </c>
      <c r="N38" s="290">
        <f ca="1" xml:space="preserve"> FiscalModel!N$1022</f>
        <v>-382.03487999999993</v>
      </c>
      <c r="O38" s="290">
        <f ca="1" xml:space="preserve"> FiscalModel!O$1022</f>
        <v>-332.22467684493807</v>
      </c>
      <c r="P38" s="290">
        <f ca="1" xml:space="preserve"> FiscalModel!P$1022</f>
        <v>360.94290017616026</v>
      </c>
      <c r="Q38" s="290">
        <f ca="1" xml:space="preserve"> FiscalModel!Q$1022</f>
        <v>459.65101415541824</v>
      </c>
      <c r="R38" s="290">
        <f ca="1" xml:space="preserve"> FiscalModel!R$1022</f>
        <v>822.46711742055311</v>
      </c>
      <c r="S38" s="290">
        <f ca="1" xml:space="preserve"> FiscalModel!S$1022</f>
        <v>945.61556940861487</v>
      </c>
      <c r="T38" s="290">
        <f ca="1" xml:space="preserve"> FiscalModel!T$1022</f>
        <v>839.220826788826</v>
      </c>
      <c r="U38" s="290">
        <f ca="1" xml:space="preserve"> FiscalModel!U$1022</f>
        <v>766.83040741517755</v>
      </c>
      <c r="V38" s="290">
        <f ca="1" xml:space="preserve"> FiscalModel!V$1022</f>
        <v>749.56337279280979</v>
      </c>
      <c r="W38" s="290">
        <f ca="1" xml:space="preserve"> FiscalModel!W$1022</f>
        <v>739.56260181023106</v>
      </c>
      <c r="X38" s="290">
        <f ca="1" xml:space="preserve"> FiscalModel!X$1022</f>
        <v>771.41333343110784</v>
      </c>
      <c r="Y38" s="290">
        <f ca="1" xml:space="preserve"> FiscalModel!Y$1022</f>
        <v>803.71368689224937</v>
      </c>
      <c r="Z38" s="290">
        <f ca="1" xml:space="preserve"> FiscalModel!Z$1022</f>
        <v>836.47265463046119</v>
      </c>
      <c r="AA38" s="290">
        <f ca="1" xml:space="preserve"> FiscalModel!AA$1022</f>
        <v>866.65306217525767</v>
      </c>
      <c r="AB38" s="290">
        <f ca="1" xml:space="preserve"> FiscalModel!AB$1022</f>
        <v>881.52391124471274</v>
      </c>
      <c r="AC38" s="290">
        <f ca="1" xml:space="preserve"> FiscalModel!AC$1022</f>
        <v>759.35624288917188</v>
      </c>
      <c r="AD38" s="290">
        <f ca="1" xml:space="preserve"> FiscalModel!AD$1022</f>
        <v>406.98181760788788</v>
      </c>
      <c r="AE38" s="290">
        <f ca="1" xml:space="preserve"> FiscalModel!AE$1022</f>
        <v>292.56966884269411</v>
      </c>
      <c r="AF38" s="290">
        <f ca="1" xml:space="preserve"> FiscalModel!AF$1022</f>
        <v>395.54272130750405</v>
      </c>
      <c r="AG38" s="290">
        <f ca="1" xml:space="preserve"> FiscalModel!AG$1022</f>
        <v>354.24628697719959</v>
      </c>
      <c r="AH38" s="290">
        <f ca="1" xml:space="preserve"> FiscalModel!AH$1022</f>
        <v>281.29885145317576</v>
      </c>
      <c r="AI38" s="290">
        <f ca="1" xml:space="preserve"> FiscalModel!AI$1022</f>
        <v>205.25309279927879</v>
      </c>
      <c r="AJ38" s="290">
        <f ca="1" xml:space="preserve"> FiscalModel!AJ$1022</f>
        <v>139.83368145294435</v>
      </c>
      <c r="AK38" s="290">
        <f ca="1" xml:space="preserve"> FiscalModel!AK$1022</f>
        <v>100.1379214466486</v>
      </c>
      <c r="AL38" s="290">
        <f ca="1" xml:space="preserve"> FiscalModel!AL$1022</f>
        <v>67.977005372072909</v>
      </c>
      <c r="AM38" s="290">
        <f ca="1" xml:space="preserve"> FiscalModel!AM$1022</f>
        <v>53.978484087609644</v>
      </c>
      <c r="AN38" s="290">
        <f ca="1" xml:space="preserve"> FiscalModel!AN$1022</f>
        <v>28.661008471332469</v>
      </c>
      <c r="AO38" s="290">
        <f ca="1" xml:space="preserve"> FiscalModel!AO$1022</f>
        <v>12.200477341944271</v>
      </c>
      <c r="AP38" s="290">
        <f ca="1" xml:space="preserve"> FiscalModel!AP$1022</f>
        <v>0</v>
      </c>
      <c r="AQ38" s="290">
        <f ca="1" xml:space="preserve"> FiscalModel!AQ$1022</f>
        <v>0</v>
      </c>
      <c r="AR38" s="290">
        <f ca="1" xml:space="preserve"> FiscalModel!AR$1022</f>
        <v>0</v>
      </c>
      <c r="AS38" s="290">
        <f ca="1" xml:space="preserve"> FiscalModel!AS$1022</f>
        <v>0</v>
      </c>
      <c r="AT38" s="290">
        <f ca="1" xml:space="preserve"> FiscalModel!AT$1022</f>
        <v>0</v>
      </c>
      <c r="AU38" s="290">
        <f ca="1" xml:space="preserve"> FiscalModel!AU$1022</f>
        <v>0</v>
      </c>
      <c r="AV38" s="290">
        <f ca="1" xml:space="preserve"> FiscalModel!AV$1022</f>
        <v>0</v>
      </c>
      <c r="AW38" s="290">
        <f ca="1" xml:space="preserve"> FiscalModel!AW$1022</f>
        <v>0</v>
      </c>
      <c r="AX38" s="290">
        <f ca="1" xml:space="preserve"> FiscalModel!AX$1022</f>
        <v>0</v>
      </c>
    </row>
    <row r="39" spans="1:50" s="290" customFormat="1" ht="15" customHeight="1" x14ac:dyDescent="0.25">
      <c r="B39" s="292"/>
      <c r="E39" s="290" t="str">
        <f xml:space="preserve"> FiscalModel!E$415</f>
        <v>Lender cashflows after interest withholding tax: IOC parent</v>
      </c>
      <c r="F39" s="290">
        <f xml:space="preserve"> FiscalModel!F$415</f>
        <v>0</v>
      </c>
      <c r="G39" s="290" t="str">
        <f xml:space="preserve"> FiscalModel!G$415</f>
        <v>US$ mn</v>
      </c>
      <c r="H39" s="290">
        <f xml:space="preserve"> FiscalModel!H$415</f>
        <v>0</v>
      </c>
      <c r="I39" s="290">
        <f ca="1" xml:space="preserve"> FiscalModel!I$415</f>
        <v>1015.8550971755473</v>
      </c>
      <c r="J39" s="290">
        <f xml:space="preserve"> FiscalModel!J$415</f>
        <v>0</v>
      </c>
      <c r="K39" s="290">
        <f ca="1" xml:space="preserve"> FiscalModel!K$415</f>
        <v>0</v>
      </c>
      <c r="L39" s="290">
        <f ca="1" xml:space="preserve"> FiscalModel!L$415</f>
        <v>-28.559999999999995</v>
      </c>
      <c r="M39" s="290">
        <f ca="1" xml:space="preserve"> FiscalModel!M$415</f>
        <v>-174.78719999999998</v>
      </c>
      <c r="N39" s="290">
        <f ca="1" xml:space="preserve"> FiscalModel!N$415</f>
        <v>-713.13177599999995</v>
      </c>
      <c r="O39" s="290">
        <f ca="1" xml:space="preserve"> FiscalModel!O$415</f>
        <v>-727.39441151999995</v>
      </c>
      <c r="P39" s="290">
        <f ca="1" xml:space="preserve"> FiscalModel!P$415</f>
        <v>-1298.3990245631999</v>
      </c>
      <c r="Q39" s="290">
        <f ca="1" xml:space="preserve"> FiscalModel!Q$415</f>
        <v>460.67948667102621</v>
      </c>
      <c r="R39" s="290">
        <f ca="1" xml:space="preserve"> FiscalModel!R$415</f>
        <v>446.26465650543685</v>
      </c>
      <c r="S39" s="290">
        <f ca="1" xml:space="preserve"> FiscalModel!S$415</f>
        <v>431.84982633984771</v>
      </c>
      <c r="T39" s="290">
        <f ca="1" xml:space="preserve"> FiscalModel!T$415</f>
        <v>417.4349961742584</v>
      </c>
      <c r="U39" s="290">
        <f ca="1" xml:space="preserve"> FiscalModel!U$415</f>
        <v>403.02016600866926</v>
      </c>
      <c r="V39" s="290">
        <f ca="1" xml:space="preserve"> FiscalModel!V$415</f>
        <v>388.60533584308013</v>
      </c>
      <c r="W39" s="290">
        <f ca="1" xml:space="preserve"> FiscalModel!W$415</f>
        <v>374.19050567749093</v>
      </c>
      <c r="X39" s="290">
        <f ca="1" xml:space="preserve"> FiscalModel!X$415</f>
        <v>359.77567551190162</v>
      </c>
      <c r="Y39" s="290">
        <f ca="1" xml:space="preserve"> FiscalModel!Y$415</f>
        <v>345.36084534631249</v>
      </c>
      <c r="Z39" s="290">
        <f ca="1" xml:space="preserve"> FiscalModel!Z$415</f>
        <v>330.94601518072329</v>
      </c>
      <c r="AA39" s="290">
        <f ca="1" xml:space="preserve"> FiscalModel!AA$415</f>
        <v>0</v>
      </c>
      <c r="AB39" s="290">
        <f ca="1" xml:space="preserve"> FiscalModel!AB$415</f>
        <v>0</v>
      </c>
      <c r="AC39" s="290">
        <f ca="1" xml:space="preserve"> FiscalModel!AC$415</f>
        <v>0</v>
      </c>
      <c r="AD39" s="290">
        <f ca="1" xml:space="preserve"> FiscalModel!AD$415</f>
        <v>0</v>
      </c>
      <c r="AE39" s="290">
        <f ca="1" xml:space="preserve"> FiscalModel!AE$415</f>
        <v>0</v>
      </c>
      <c r="AF39" s="290">
        <f ca="1" xml:space="preserve"> FiscalModel!AF$415</f>
        <v>0</v>
      </c>
      <c r="AG39" s="290">
        <f ca="1" xml:space="preserve"> FiscalModel!AG$415</f>
        <v>0</v>
      </c>
      <c r="AH39" s="290">
        <f ca="1" xml:space="preserve"> FiscalModel!AH$415</f>
        <v>0</v>
      </c>
      <c r="AI39" s="290">
        <f ca="1" xml:space="preserve"> FiscalModel!AI$415</f>
        <v>0</v>
      </c>
      <c r="AJ39" s="290">
        <f ca="1" xml:space="preserve"> FiscalModel!AJ$415</f>
        <v>0</v>
      </c>
      <c r="AK39" s="290">
        <f ca="1" xml:space="preserve"> FiscalModel!AK$415</f>
        <v>0</v>
      </c>
      <c r="AL39" s="290">
        <f ca="1" xml:space="preserve"> FiscalModel!AL$415</f>
        <v>0</v>
      </c>
      <c r="AM39" s="290">
        <f ca="1" xml:space="preserve"> FiscalModel!AM$415</f>
        <v>0</v>
      </c>
      <c r="AN39" s="290">
        <f ca="1" xml:space="preserve"> FiscalModel!AN$415</f>
        <v>0</v>
      </c>
      <c r="AO39" s="290">
        <f ca="1" xml:space="preserve"> FiscalModel!AO$415</f>
        <v>0</v>
      </c>
      <c r="AP39" s="290">
        <f ca="1" xml:space="preserve"> FiscalModel!AP$415</f>
        <v>0</v>
      </c>
      <c r="AQ39" s="290">
        <f ca="1" xml:space="preserve"> FiscalModel!AQ$415</f>
        <v>0</v>
      </c>
      <c r="AR39" s="290">
        <f ca="1" xml:space="preserve"> FiscalModel!AR$415</f>
        <v>0</v>
      </c>
      <c r="AS39" s="290">
        <f ca="1" xml:space="preserve"> FiscalModel!AS$415</f>
        <v>0</v>
      </c>
      <c r="AT39" s="290">
        <f ca="1" xml:space="preserve"> FiscalModel!AT$415</f>
        <v>0</v>
      </c>
      <c r="AU39" s="290">
        <f ca="1" xml:space="preserve"> FiscalModel!AU$415</f>
        <v>0</v>
      </c>
      <c r="AV39" s="290">
        <f ca="1" xml:space="preserve"> FiscalModel!AV$415</f>
        <v>0</v>
      </c>
      <c r="AW39" s="290">
        <f ca="1" xml:space="preserve"> FiscalModel!AW$415</f>
        <v>0</v>
      </c>
      <c r="AX39" s="290">
        <f ca="1" xml:space="preserve"> FiscalModel!AX$415</f>
        <v>0</v>
      </c>
    </row>
    <row r="40" spans="1:50" s="109" customFormat="1" ht="15" customHeight="1" x14ac:dyDescent="0.25">
      <c r="A40" s="106"/>
      <c r="B40" s="168"/>
      <c r="E40" s="109" t="str">
        <f>Translate!E706</f>
        <v>Investors (IOC + Lender)</v>
      </c>
      <c r="G40" s="89" t="str">
        <f xml:space="preserve"> Translate!E$603</f>
        <v>US$ mn</v>
      </c>
      <c r="I40" s="109">
        <f ca="1" xml:space="preserve"> SUM(K40:AX40)</f>
        <v>12704.327258721652</v>
      </c>
      <c r="K40" s="109">
        <f ca="1" xml:space="preserve"> K38 + K39</f>
        <v>-430</v>
      </c>
      <c r="L40" s="109">
        <f t="shared" ref="L40:AX40" ca="1" si="1" xml:space="preserve"> L38 + L39</f>
        <v>-43.86</v>
      </c>
      <c r="M40" s="109">
        <f t="shared" ca="1" si="1"/>
        <v>-268.42320000000001</v>
      </c>
      <c r="N40" s="109">
        <f t="shared" ca="1" si="1"/>
        <v>-1095.1666559999999</v>
      </c>
      <c r="O40" s="109">
        <f t="shared" ca="1" si="1"/>
        <v>-1059.6190883649381</v>
      </c>
      <c r="P40" s="109">
        <f t="shared" ca="1" si="1"/>
        <v>-937.45612438703961</v>
      </c>
      <c r="Q40" s="109">
        <f t="shared" ca="1" si="1"/>
        <v>920.33050082644445</v>
      </c>
      <c r="R40" s="109">
        <f t="shared" ca="1" si="1"/>
        <v>1268.73177392599</v>
      </c>
      <c r="S40" s="109">
        <f t="shared" ca="1" si="1"/>
        <v>1377.4653957484625</v>
      </c>
      <c r="T40" s="109">
        <f t="shared" ca="1" si="1"/>
        <v>1256.6558229630843</v>
      </c>
      <c r="U40" s="109">
        <f t="shared" ca="1" si="1"/>
        <v>1169.8505734238468</v>
      </c>
      <c r="V40" s="109">
        <f t="shared" ca="1" si="1"/>
        <v>1138.16870863589</v>
      </c>
      <c r="W40" s="109">
        <f t="shared" ca="1" si="1"/>
        <v>1113.753107487722</v>
      </c>
      <c r="X40" s="109">
        <f t="shared" ca="1" si="1"/>
        <v>1131.1890089430094</v>
      </c>
      <c r="Y40" s="109">
        <f t="shared" ca="1" si="1"/>
        <v>1149.0745322385619</v>
      </c>
      <c r="Z40" s="109">
        <f t="shared" ca="1" si="1"/>
        <v>1167.4186698111844</v>
      </c>
      <c r="AA40" s="109">
        <f t="shared" ca="1" si="1"/>
        <v>866.65306217525767</v>
      </c>
      <c r="AB40" s="109">
        <f t="shared" ca="1" si="1"/>
        <v>881.52391124471274</v>
      </c>
      <c r="AC40" s="109">
        <f t="shared" ca="1" si="1"/>
        <v>759.35624288917188</v>
      </c>
      <c r="AD40" s="109">
        <f t="shared" ca="1" si="1"/>
        <v>406.98181760788788</v>
      </c>
      <c r="AE40" s="109">
        <f t="shared" ca="1" si="1"/>
        <v>292.56966884269411</v>
      </c>
      <c r="AF40" s="109">
        <f t="shared" ca="1" si="1"/>
        <v>395.54272130750405</v>
      </c>
      <c r="AG40" s="109">
        <f t="shared" ca="1" si="1"/>
        <v>354.24628697719959</v>
      </c>
      <c r="AH40" s="109">
        <f t="shared" ca="1" si="1"/>
        <v>281.29885145317576</v>
      </c>
      <c r="AI40" s="109">
        <f t="shared" ca="1" si="1"/>
        <v>205.25309279927879</v>
      </c>
      <c r="AJ40" s="109">
        <f t="shared" ca="1" si="1"/>
        <v>139.83368145294435</v>
      </c>
      <c r="AK40" s="109">
        <f t="shared" ca="1" si="1"/>
        <v>100.1379214466486</v>
      </c>
      <c r="AL40" s="109">
        <f t="shared" ca="1" si="1"/>
        <v>67.977005372072909</v>
      </c>
      <c r="AM40" s="109">
        <f t="shared" ca="1" si="1"/>
        <v>53.978484087609644</v>
      </c>
      <c r="AN40" s="109">
        <f t="shared" ca="1" si="1"/>
        <v>28.661008471332469</v>
      </c>
      <c r="AO40" s="109">
        <f t="shared" ca="1" si="1"/>
        <v>12.200477341944271</v>
      </c>
      <c r="AP40" s="109">
        <f t="shared" ca="1" si="1"/>
        <v>0</v>
      </c>
      <c r="AQ40" s="109">
        <f t="shared" ca="1" si="1"/>
        <v>0</v>
      </c>
      <c r="AR40" s="109">
        <f t="shared" ca="1" si="1"/>
        <v>0</v>
      </c>
      <c r="AS40" s="109">
        <f t="shared" ca="1" si="1"/>
        <v>0</v>
      </c>
      <c r="AT40" s="109">
        <f t="shared" ca="1" si="1"/>
        <v>0</v>
      </c>
      <c r="AU40" s="109">
        <f t="shared" ca="1" si="1"/>
        <v>0</v>
      </c>
      <c r="AV40" s="109">
        <f t="shared" ca="1" si="1"/>
        <v>0</v>
      </c>
      <c r="AW40" s="109">
        <f t="shared" ca="1" si="1"/>
        <v>0</v>
      </c>
      <c r="AX40" s="109">
        <f t="shared" ca="1" si="1"/>
        <v>0</v>
      </c>
    </row>
    <row r="41" spans="1:50" s="290" customFormat="1" ht="15" customHeight="1" x14ac:dyDescent="0.25">
      <c r="B41" s="292"/>
      <c r="E41" s="290" t="str">
        <f xml:space="preserve"> ProjectCashflows!E$252</f>
        <v>Project benefits</v>
      </c>
      <c r="F41" s="290">
        <f xml:space="preserve"> ProjectCashflows!F$252</f>
        <v>0</v>
      </c>
      <c r="G41" s="290" t="str">
        <f xml:space="preserve"> ProjectCashflows!G$252</f>
        <v>US$ mn</v>
      </c>
      <c r="H41" s="290" t="str">
        <f xml:space="preserve"> ProjectCashflows!H$252</f>
        <v>cashflows excluding exploration &amp; development costs</v>
      </c>
      <c r="I41" s="290">
        <f ca="1" xml:space="preserve"> ProjectCashflows!I$252</f>
        <v>49649.676953890492</v>
      </c>
      <c r="J41" s="290">
        <f xml:space="preserve"> ProjectCashflows!J$252</f>
        <v>0</v>
      </c>
      <c r="K41" s="290">
        <f ca="1" xml:space="preserve"> ProjectCashflows!K$252</f>
        <v>0</v>
      </c>
      <c r="L41" s="290">
        <f ca="1" xml:space="preserve"> ProjectCashflows!L$252</f>
        <v>0</v>
      </c>
      <c r="M41" s="290">
        <f ca="1" xml:space="preserve"> ProjectCashflows!M$252</f>
        <v>0</v>
      </c>
      <c r="N41" s="290">
        <f ca="1" xml:space="preserve"> ProjectCashflows!N$252</f>
        <v>0</v>
      </c>
      <c r="O41" s="290">
        <f ca="1" xml:space="preserve"> ProjectCashflows!O$252</f>
        <v>153.33556260984818</v>
      </c>
      <c r="P41" s="290">
        <f ca="1" xml:space="preserve"> ProjectCashflows!P$252</f>
        <v>1463.597114742</v>
      </c>
      <c r="Q41" s="290">
        <f ca="1" xml:space="preserve"> ProjectCashflows!Q$252</f>
        <v>3098.3543560000803</v>
      </c>
      <c r="R41" s="290">
        <f ca="1" xml:space="preserve"> ProjectCashflows!R$252</f>
        <v>3160.3214431200818</v>
      </c>
      <c r="S41" s="290">
        <f ca="1" xml:space="preserve"> ProjectCashflows!S$252</f>
        <v>3223.5278719824837</v>
      </c>
      <c r="T41" s="290">
        <f ca="1" xml:space="preserve"> ProjectCashflows!T$252</f>
        <v>3287.9984294221331</v>
      </c>
      <c r="U41" s="290">
        <f ca="1" xml:space="preserve"> ProjectCashflows!U$252</f>
        <v>3353.758398010576</v>
      </c>
      <c r="V41" s="290">
        <f ca="1" xml:space="preserve"> ProjectCashflows!V$252</f>
        <v>3420.8335659707873</v>
      </c>
      <c r="W41" s="290">
        <f ca="1" xml:space="preserve"> ProjectCashflows!W$252</f>
        <v>3489.2502372902036</v>
      </c>
      <c r="X41" s="290">
        <f ca="1" xml:space="preserve"> ProjectCashflows!X$252</f>
        <v>3559.0352420360068</v>
      </c>
      <c r="Y41" s="290">
        <f ca="1" xml:space="preserve"> ProjectCashflows!Y$252</f>
        <v>3630.2159468767277</v>
      </c>
      <c r="Z41" s="290">
        <f ca="1" xml:space="preserve"> ProjectCashflows!Z$252</f>
        <v>3702.8202658142623</v>
      </c>
      <c r="AA41" s="290">
        <f ca="1" xml:space="preserve"> ProjectCashflows!AA$252</f>
        <v>2991.4544897842679</v>
      </c>
      <c r="AB41" s="290">
        <f ca="1" xml:space="preserve"> ProjectCashflows!AB$252</f>
        <v>2402.367773351657</v>
      </c>
      <c r="AC41" s="290">
        <f ca="1" xml:space="preserve"> ProjectCashflows!AC$252</f>
        <v>2071.387976946261</v>
      </c>
      <c r="AD41" s="290">
        <f ca="1" xml:space="preserve"> ProjectCashflows!AD$252</f>
        <v>1684.4297398612371</v>
      </c>
      <c r="AE41" s="290">
        <f ca="1" xml:space="preserve"> ProjectCashflows!AE$252</f>
        <v>1381.868598259897</v>
      </c>
      <c r="AF41" s="290">
        <f ca="1" xml:space="preserve"> ProjectCashflows!AF$252</f>
        <v>1120.7836403365359</v>
      </c>
      <c r="AG41" s="290">
        <f ca="1" xml:space="preserve"> ProjectCashflows!AG$252</f>
        <v>910.39250876791743</v>
      </c>
      <c r="AH41" s="290">
        <f ca="1" xml:space="preserve"> ProjectCashflows!AH$252</f>
        <v>730.08970104537377</v>
      </c>
      <c r="AI41" s="290">
        <f ca="1" xml:space="preserve"> ProjectCashflows!AI$252</f>
        <v>582.21000489803623</v>
      </c>
      <c r="AJ41" s="290">
        <f ca="1" xml:space="preserve"> ProjectCashflows!AJ$252</f>
        <v>461.17057351373421</v>
      </c>
      <c r="AK41" s="290">
        <f ca="1" xml:space="preserve"> ProjectCashflows!AK$252</f>
        <v>362.36051586199994</v>
      </c>
      <c r="AL41" s="290">
        <f ca="1" xml:space="preserve"> ProjectCashflows!AL$252</f>
        <v>-144.74960301683149</v>
      </c>
      <c r="AM41" s="290">
        <f ca="1" xml:space="preserve"> ProjectCashflows!AM$252</f>
        <v>216.86080583060547</v>
      </c>
      <c r="AN41" s="290">
        <f ca="1" xml:space="preserve"> ProjectCashflows!AN$252</f>
        <v>155.55166339629073</v>
      </c>
      <c r="AO41" s="290">
        <f ca="1" xml:space="preserve"> ProjectCashflows!AO$252</f>
        <v>113.48248314995762</v>
      </c>
      <c r="AP41" s="290">
        <f ca="1" xml:space="preserve"> ProjectCashflows!AP$252</f>
        <v>-461.89720394635549</v>
      </c>
      <c r="AQ41" s="290">
        <f ca="1" xml:space="preserve"> ProjectCashflows!AQ$252</f>
        <v>-471.1351480252826</v>
      </c>
      <c r="AR41" s="290">
        <f ca="1" xml:space="preserve"> ProjectCashflows!AR$252</f>
        <v>0</v>
      </c>
      <c r="AS41" s="290">
        <f ca="1" xml:space="preserve"> ProjectCashflows!AS$252</f>
        <v>0</v>
      </c>
      <c r="AT41" s="290">
        <f ca="1" xml:space="preserve"> ProjectCashflows!AT$252</f>
        <v>0</v>
      </c>
      <c r="AU41" s="290">
        <f ca="1" xml:space="preserve"> ProjectCashflows!AU$252</f>
        <v>0</v>
      </c>
      <c r="AV41" s="290">
        <f ca="1" xml:space="preserve"> ProjectCashflows!AV$252</f>
        <v>0</v>
      </c>
      <c r="AW41" s="290">
        <f ca="1" xml:space="preserve"> ProjectCashflows!AW$252</f>
        <v>0</v>
      </c>
      <c r="AX41" s="290">
        <f ca="1" xml:space="preserve"> ProjectCashflows!AX$252</f>
        <v>0</v>
      </c>
    </row>
    <row r="42" spans="1:50" s="109" customFormat="1" ht="15" customHeight="1" x14ac:dyDescent="0.25">
      <c r="A42" s="106"/>
      <c r="B42" s="168"/>
    </row>
    <row r="43" spans="1:50" s="109" customFormat="1" ht="15" customHeight="1" x14ac:dyDescent="0.25">
      <c r="A43" s="106"/>
      <c r="B43" s="168"/>
      <c r="E43" s="109" t="str">
        <f xml:space="preserve"> Translate!E$755 &amp; " " &amp; Translate!E$813 &amp; ": "  &amp; Inputs!F$92 &amp; ", " &amp; Inputs!F$89</f>
        <v>Check:  Cashflows: nominal, full-cycle</v>
      </c>
      <c r="F43" s="71">
        <f ca="1" xml:space="preserve"> MIN( 1, SUM(K43:AX43))</f>
        <v>0</v>
      </c>
      <c r="G43" s="109" t="str">
        <f xml:space="preserve"> Translate!E$604</f>
        <v>Check</v>
      </c>
      <c r="I43" s="109">
        <f ca="1" xml:space="preserve"> SUM(K43:AX43)</f>
        <v>0</v>
      </c>
      <c r="K43" s="71">
        <f ca="1" xml:space="preserve"> IF( ABS(K33 + K34 - SUM(K37:K39)) &gt; CHK_TOL, 1, 0)</f>
        <v>0</v>
      </c>
      <c r="L43" s="71">
        <f t="shared" ref="L43:AX43" ca="1" si="2" xml:space="preserve"> IF( ABS(L33 + L34 - SUM(L37:L39)) &gt; CHK_TOL, 1, 0)</f>
        <v>0</v>
      </c>
      <c r="M43" s="71">
        <f t="shared" ca="1" si="2"/>
        <v>0</v>
      </c>
      <c r="N43" s="71">
        <f t="shared" ca="1" si="2"/>
        <v>0</v>
      </c>
      <c r="O43" s="71">
        <f t="shared" ca="1" si="2"/>
        <v>0</v>
      </c>
      <c r="P43" s="71">
        <f t="shared" ca="1" si="2"/>
        <v>0</v>
      </c>
      <c r="Q43" s="71">
        <f t="shared" ca="1" si="2"/>
        <v>0</v>
      </c>
      <c r="R43" s="71">
        <f t="shared" ca="1" si="2"/>
        <v>0</v>
      </c>
      <c r="S43" s="71">
        <f t="shared" ca="1" si="2"/>
        <v>0</v>
      </c>
      <c r="T43" s="71">
        <f t="shared" ca="1" si="2"/>
        <v>0</v>
      </c>
      <c r="U43" s="71">
        <f t="shared" ca="1" si="2"/>
        <v>0</v>
      </c>
      <c r="V43" s="71">
        <f t="shared" ca="1" si="2"/>
        <v>0</v>
      </c>
      <c r="W43" s="71">
        <f t="shared" ca="1" si="2"/>
        <v>0</v>
      </c>
      <c r="X43" s="71">
        <f t="shared" ca="1" si="2"/>
        <v>0</v>
      </c>
      <c r="Y43" s="71">
        <f t="shared" ca="1" si="2"/>
        <v>0</v>
      </c>
      <c r="Z43" s="71">
        <f t="shared" ca="1" si="2"/>
        <v>0</v>
      </c>
      <c r="AA43" s="71">
        <f t="shared" ca="1" si="2"/>
        <v>0</v>
      </c>
      <c r="AB43" s="71">
        <f t="shared" ca="1" si="2"/>
        <v>0</v>
      </c>
      <c r="AC43" s="71">
        <f t="shared" ca="1" si="2"/>
        <v>0</v>
      </c>
      <c r="AD43" s="71">
        <f t="shared" ca="1" si="2"/>
        <v>0</v>
      </c>
      <c r="AE43" s="71">
        <f t="shared" ca="1" si="2"/>
        <v>0</v>
      </c>
      <c r="AF43" s="71">
        <f t="shared" ca="1" si="2"/>
        <v>0</v>
      </c>
      <c r="AG43" s="71">
        <f t="shared" ca="1" si="2"/>
        <v>0</v>
      </c>
      <c r="AH43" s="71">
        <f t="shared" ca="1" si="2"/>
        <v>0</v>
      </c>
      <c r="AI43" s="71">
        <f t="shared" ca="1" si="2"/>
        <v>0</v>
      </c>
      <c r="AJ43" s="71">
        <f t="shared" ca="1" si="2"/>
        <v>0</v>
      </c>
      <c r="AK43" s="71">
        <f t="shared" ca="1" si="2"/>
        <v>0</v>
      </c>
      <c r="AL43" s="71">
        <f t="shared" ca="1" si="2"/>
        <v>0</v>
      </c>
      <c r="AM43" s="71">
        <f t="shared" ca="1" si="2"/>
        <v>0</v>
      </c>
      <c r="AN43" s="71">
        <f t="shared" ca="1" si="2"/>
        <v>0</v>
      </c>
      <c r="AO43" s="71">
        <f t="shared" ca="1" si="2"/>
        <v>0</v>
      </c>
      <c r="AP43" s="71">
        <f t="shared" ca="1" si="2"/>
        <v>0</v>
      </c>
      <c r="AQ43" s="71">
        <f t="shared" ca="1" si="2"/>
        <v>0</v>
      </c>
      <c r="AR43" s="71">
        <f t="shared" ca="1" si="2"/>
        <v>0</v>
      </c>
      <c r="AS43" s="71">
        <f t="shared" ca="1" si="2"/>
        <v>0</v>
      </c>
      <c r="AT43" s="71">
        <f t="shared" ca="1" si="2"/>
        <v>0</v>
      </c>
      <c r="AU43" s="71">
        <f t="shared" ca="1" si="2"/>
        <v>0</v>
      </c>
      <c r="AV43" s="71">
        <f t="shared" ca="1" si="2"/>
        <v>0</v>
      </c>
      <c r="AW43" s="71">
        <f t="shared" ca="1" si="2"/>
        <v>0</v>
      </c>
      <c r="AX43" s="71">
        <f t="shared" ca="1" si="2"/>
        <v>0</v>
      </c>
    </row>
    <row r="44" spans="1:50" s="109" customFormat="1" ht="15" customHeight="1" x14ac:dyDescent="0.25">
      <c r="A44" s="106"/>
      <c r="B44" s="168"/>
    </row>
    <row r="45" spans="1:50" s="109" customFormat="1" ht="15" customHeight="1" x14ac:dyDescent="0.25">
      <c r="A45" s="106"/>
      <c r="B45" s="168"/>
      <c r="E45" s="109" t="str">
        <f xml:space="preserve"> Translate!E$601 &amp; ": " &amp; E33</f>
        <v>Total: Cashflow before decommissioning fund</v>
      </c>
      <c r="F45" s="109">
        <f t="shared" ref="F45:F53" ca="1" si="3" xml:space="preserve"> SUM(K33:AX33)</f>
        <v>38774.104672459696</v>
      </c>
      <c r="G45" s="109" t="str">
        <f t="shared" ref="G45:G53" si="4" xml:space="preserve"> G33</f>
        <v>US$ mn</v>
      </c>
    </row>
    <row r="46" spans="1:50" s="109" customFormat="1" ht="15" customHeight="1" x14ac:dyDescent="0.25">
      <c r="A46" s="106"/>
      <c r="B46" s="168"/>
      <c r="E46" s="109" t="str">
        <f xml:space="preserve"> Translate!E$601 &amp; ": " &amp; E34</f>
        <v>Total: Net decommissioning cashflows</v>
      </c>
      <c r="F46" s="109">
        <f t="shared" ca="1" si="3"/>
        <v>217.30899052555242</v>
      </c>
      <c r="G46" s="109" t="str">
        <f t="shared" si="4"/>
        <v>US$ mn</v>
      </c>
    </row>
    <row r="47" spans="1:50" s="109" customFormat="1" ht="15" customHeight="1" x14ac:dyDescent="0.25">
      <c r="A47" s="106"/>
      <c r="B47" s="168"/>
      <c r="E47" s="109" t="str">
        <f xml:space="preserve"> Translate!E$601 &amp; ": " &amp; E35</f>
        <v>Total: Government revenues excluding participation</v>
      </c>
      <c r="F47" s="109">
        <f t="shared" ca="1" si="3"/>
        <v>20938.889345396881</v>
      </c>
      <c r="G47" s="109" t="str">
        <f t="shared" si="4"/>
        <v>US$ mn</v>
      </c>
    </row>
    <row r="48" spans="1:50" s="109" customFormat="1" ht="15" customHeight="1" x14ac:dyDescent="0.25">
      <c r="A48" s="106"/>
      <c r="B48" s="168"/>
      <c r="E48" s="109" t="str">
        <f xml:space="preserve"> Translate!E$601 &amp; ": " &amp; E36</f>
        <v>Total: SOC net cash flow before tax, after carried interest, including share of lender cashflows</v>
      </c>
      <c r="F48" s="109">
        <f t="shared" ca="1" si="3"/>
        <v>5348.1970588667227</v>
      </c>
      <c r="G48" s="109" t="str">
        <f t="shared" si="4"/>
        <v>US$ mn</v>
      </c>
    </row>
    <row r="49" spans="1:7" s="109" customFormat="1" ht="15" customHeight="1" x14ac:dyDescent="0.25">
      <c r="A49" s="106"/>
      <c r="B49" s="168"/>
      <c r="E49" s="109" t="str">
        <f xml:space="preserve"> Translate!E$601 &amp; ": " &amp; E37</f>
        <v>Total: Government revenues including participation</v>
      </c>
      <c r="F49" s="109">
        <f t="shared" ca="1" si="3"/>
        <v>26287.086404263599</v>
      </c>
      <c r="G49" s="89" t="str">
        <f xml:space="preserve"> Translate!E$603</f>
        <v>US$ mn</v>
      </c>
    </row>
    <row r="50" spans="1:7" s="109" customFormat="1" ht="15" customHeight="1" x14ac:dyDescent="0.25">
      <c r="A50" s="106"/>
      <c r="B50" s="168"/>
      <c r="E50" s="109" t="str">
        <f xml:space="preserve"> Translate!E$601 &amp; ": " &amp; E38</f>
        <v>Total: Net cashflow after fiscal regime: IOC</v>
      </c>
      <c r="F50" s="109">
        <f t="shared" ca="1" si="3"/>
        <v>11688.472161546106</v>
      </c>
      <c r="G50" s="109" t="str">
        <f t="shared" si="4"/>
        <v>US$ mn</v>
      </c>
    </row>
    <row r="51" spans="1:7" s="109" customFormat="1" ht="15" customHeight="1" x14ac:dyDescent="0.25">
      <c r="A51" s="106"/>
      <c r="B51" s="168"/>
      <c r="E51" s="109" t="str">
        <f xml:space="preserve"> Translate!E$601 &amp; ": " &amp; E39</f>
        <v>Total: Lender cashflows after interest withholding tax: IOC parent</v>
      </c>
      <c r="F51" s="109">
        <f t="shared" ca="1" si="3"/>
        <v>1015.8550971755473</v>
      </c>
      <c r="G51" s="109" t="str">
        <f t="shared" si="4"/>
        <v>US$ mn</v>
      </c>
    </row>
    <row r="52" spans="1:7" s="109" customFormat="1" ht="15" customHeight="1" x14ac:dyDescent="0.25">
      <c r="A52" s="106"/>
      <c r="B52" s="168"/>
      <c r="E52" s="109" t="str">
        <f xml:space="preserve"> Translate!E$601 &amp; ": " &amp; E40</f>
        <v>Total: Investors (IOC + Lender)</v>
      </c>
      <c r="F52" s="109">
        <f t="shared" ca="1" si="3"/>
        <v>12704.327258721652</v>
      </c>
      <c r="G52" s="109" t="str">
        <f t="shared" si="4"/>
        <v>US$ mn</v>
      </c>
    </row>
    <row r="53" spans="1:7" s="109" customFormat="1" ht="15" customHeight="1" x14ac:dyDescent="0.25">
      <c r="A53" s="106"/>
      <c r="B53" s="168"/>
      <c r="E53" s="109" t="str">
        <f xml:space="preserve"> Translate!E$601 &amp; ": " &amp; E41</f>
        <v>Total: Project benefits</v>
      </c>
      <c r="F53" s="109">
        <f t="shared" ca="1" si="3"/>
        <v>49649.676953890492</v>
      </c>
      <c r="G53" s="109" t="str">
        <f t="shared" si="4"/>
        <v>US$ mn</v>
      </c>
    </row>
    <row r="54" spans="1:7" s="109" customFormat="1" ht="15" customHeight="1" x14ac:dyDescent="0.25">
      <c r="A54" s="106"/>
      <c r="B54" s="168"/>
    </row>
    <row r="55" spans="1:7" s="109" customFormat="1" ht="15" customHeight="1" x14ac:dyDescent="0.25">
      <c r="A55" s="106"/>
      <c r="B55" s="168"/>
      <c r="E55" s="109" t="str">
        <f xml:space="preserve"> Translate!E755 &amp; " " &amp; Translate!E$601 &amp; ": " &amp; B17</f>
        <v>Check:  Total: Cashflows: full-cycle, nominal</v>
      </c>
      <c r="F55" s="71">
        <f ca="1" xml:space="preserve"> IF( ABS(F45 + F46 - SUM(F49:F51) ) &gt; CHK_TOL, 1, 0)</f>
        <v>0</v>
      </c>
      <c r="G55" s="109" t="str">
        <f xml:space="preserve"> Translate!E$604</f>
        <v>Check</v>
      </c>
    </row>
    <row r="56" spans="1:7" s="109" customFormat="1" ht="15" customHeight="1" x14ac:dyDescent="0.25">
      <c r="A56" s="106"/>
      <c r="B56" s="168"/>
    </row>
    <row r="57" spans="1:7" s="109" customFormat="1" ht="15" customHeight="1" x14ac:dyDescent="0.25">
      <c r="A57" s="106"/>
      <c r="B57" s="189" t="str">
        <f xml:space="preserve"> Translate!E$624 &amp; ": "  &amp; Inputs!F$89 &amp; ", " &amp; Inputs!F$92</f>
        <v>IRR: full-cycle, nominal</v>
      </c>
    </row>
    <row r="58" spans="1:7" s="109" customFormat="1" ht="15" customHeight="1" x14ac:dyDescent="0.25">
      <c r="A58" s="106"/>
      <c r="B58" s="168"/>
      <c r="E58" s="109" t="str">
        <f xml:space="preserve"> E33</f>
        <v>Cashflow before decommissioning fund</v>
      </c>
      <c r="F58" s="76">
        <f ca="1" xml:space="preserve"> IFERROR( IRR( K33:AX33), 0)</f>
        <v>0.34721862219803556</v>
      </c>
      <c r="G58" s="109" t="str">
        <f>" " &amp; Translate!E$408  &amp; " " &amp; G34</f>
        <v xml:space="preserve"> % p.a. US$ mn</v>
      </c>
    </row>
    <row r="59" spans="1:7" s="109" customFormat="1" ht="15" customHeight="1" x14ac:dyDescent="0.25">
      <c r="A59" s="106"/>
      <c r="B59" s="168"/>
      <c r="E59" s="109" t="str">
        <f xml:space="preserve"> E38</f>
        <v>Net cashflow after fiscal regime: IOC</v>
      </c>
      <c r="F59" s="76">
        <f ca="1" xml:space="preserve"> IFERROR( IRR( K38:AX38), 0)</f>
        <v>0.29109379442372973</v>
      </c>
      <c r="G59" s="109" t="str">
        <f>" " &amp; Translate!E$408 &amp; " " &amp; G38</f>
        <v xml:space="preserve"> % p.a. US$ mn</v>
      </c>
    </row>
    <row r="60" spans="1:7" s="109" customFormat="1" ht="15" customHeight="1" x14ac:dyDescent="0.25">
      <c r="A60" s="106"/>
      <c r="B60" s="168"/>
      <c r="E60" s="109" t="str">
        <f xml:space="preserve"> E39</f>
        <v>Lender cashflows after interest withholding tax: IOC parent</v>
      </c>
      <c r="F60" s="76">
        <f ca="1" xml:space="preserve"> IFERROR( IRR( K39:AX39), 0)</f>
        <v>5.0909641863991162E-2</v>
      </c>
      <c r="G60" s="109" t="str">
        <f>" " &amp; Translate!E$408 &amp; " " &amp; G39</f>
        <v xml:space="preserve"> % p.a. US$ mn</v>
      </c>
    </row>
    <row r="61" spans="1:7" s="109" customFormat="1" ht="15" customHeight="1" x14ac:dyDescent="0.25">
      <c r="A61" s="106"/>
      <c r="B61" s="168"/>
      <c r="E61" s="109" t="str">
        <f xml:space="preserve"> E40</f>
        <v>Investors (IOC + Lender)</v>
      </c>
      <c r="F61" s="76">
        <f ca="1" xml:space="preserve"> IFERROR( IRR( K40:AX40), 0)</f>
        <v>0.19602449351046602</v>
      </c>
      <c r="G61" s="109" t="str">
        <f>" " &amp; Translate!E$408 &amp; " " &amp; G40</f>
        <v xml:space="preserve"> % p.a. US$ mn</v>
      </c>
    </row>
    <row r="62" spans="1:7" s="109" customFormat="1" ht="15" customHeight="1" x14ac:dyDescent="0.25">
      <c r="A62" s="106"/>
      <c r="B62" s="168"/>
      <c r="E62" s="109" t="str">
        <f xml:space="preserve"> E36</f>
        <v>SOC net cash flow before tax, after carried interest, including share of lender cashflows</v>
      </c>
      <c r="F62" s="76">
        <f ca="1" xml:space="preserve"> IFERROR( IRR( K36:AX36), 0)</f>
        <v>0.33539429203864679</v>
      </c>
      <c r="G62" s="109" t="str">
        <f>" " &amp; Translate!E$408 &amp; " " &amp; G36</f>
        <v xml:space="preserve"> % p.a. US$ mn</v>
      </c>
    </row>
    <row r="63" spans="1:7" s="109" customFormat="1" ht="15" customHeight="1" x14ac:dyDescent="0.25">
      <c r="A63" s="106"/>
      <c r="B63" s="168"/>
    </row>
    <row r="64" spans="1:7" s="109" customFormat="1" ht="15" customHeight="1" x14ac:dyDescent="0.25">
      <c r="A64" s="106"/>
      <c r="B64" s="189" t="str">
        <f>Translate!$E$700 &amp; ": " &amp; Inputs!F$89 &amp; ", " &amp; Inputs!F$92 &amp; ", " &amp; Inputs!F$93</f>
        <v>Payback: full-cycle, nominal, undiscounted</v>
      </c>
    </row>
    <row r="65" spans="1:50" s="109" customFormat="1" ht="15" customHeight="1" x14ac:dyDescent="0.25">
      <c r="A65" s="106"/>
      <c r="B65" s="189"/>
      <c r="E65" s="290" t="str">
        <f xml:space="preserve"> ProjectCashflows!E$245</f>
        <v>Cashflow before decommissioning fund</v>
      </c>
      <c r="F65" s="290">
        <f xml:space="preserve"> ProjectCashflows!F$245</f>
        <v>0</v>
      </c>
      <c r="G65" s="290" t="str">
        <f xml:space="preserve"> ProjectCashflows!G$245</f>
        <v>US$ mn</v>
      </c>
      <c r="H65" s="290">
        <f xml:space="preserve"> ProjectCashflows!H$245</f>
        <v>0</v>
      </c>
      <c r="I65" s="290">
        <f ca="1" xml:space="preserve"> ProjectCashflows!I$245</f>
        <v>38774.104672459696</v>
      </c>
      <c r="J65" s="290">
        <f xml:space="preserve"> ProjectCashflows!J$245</f>
        <v>0</v>
      </c>
      <c r="K65" s="290">
        <f ca="1" xml:space="preserve"> ProjectCashflows!K$245</f>
        <v>-420</v>
      </c>
      <c r="L65" s="290">
        <f ca="1" xml:space="preserve"> ProjectCashflows!L$245</f>
        <v>-51</v>
      </c>
      <c r="M65" s="290">
        <f ca="1" xml:space="preserve"> ProjectCashflows!M$245</f>
        <v>-312.12</v>
      </c>
      <c r="N65" s="290">
        <f ca="1" xml:space="preserve"> ProjectCashflows!N$245</f>
        <v>-1273.4495999999999</v>
      </c>
      <c r="O65" s="290">
        <f ca="1" xml:space="preserve"> ProjectCashflows!O$245</f>
        <v>-1145.5830293901518</v>
      </c>
      <c r="P65" s="290">
        <f ca="1" xml:space="preserve"> ProjectCashflows!P$245</f>
        <v>-854.97257197800013</v>
      </c>
      <c r="Q65" s="290">
        <f ca="1" xml:space="preserve"> ProjectCashflows!Q$245</f>
        <v>1859.5756948096803</v>
      </c>
      <c r="R65" s="290">
        <f ca="1" xml:space="preserve"> ProjectCashflows!R$245</f>
        <v>2643.4128926779058</v>
      </c>
      <c r="S65" s="290">
        <f ca="1" xml:space="preserve"> ProjectCashflows!S$245</f>
        <v>2930.6130267319172</v>
      </c>
      <c r="T65" s="290">
        <f ca="1" xml:space="preserve"> ProjectCashflows!T$245</f>
        <v>2989.2252872665558</v>
      </c>
      <c r="U65" s="290">
        <f ca="1" xml:space="preserve"> ProjectCashflows!U$245</f>
        <v>3049.0097930118864</v>
      </c>
      <c r="V65" s="290">
        <f ca="1" xml:space="preserve"> ProjectCashflows!V$245</f>
        <v>3109.9899888721243</v>
      </c>
      <c r="W65" s="290">
        <f ca="1" xml:space="preserve"> ProjectCashflows!W$245</f>
        <v>3172.1897886495672</v>
      </c>
      <c r="X65" s="290">
        <f ca="1" xml:space="preserve"> ProjectCashflows!X$245</f>
        <v>3235.6335844225578</v>
      </c>
      <c r="Y65" s="290">
        <f ca="1" xml:space="preserve"> ProjectCashflows!Y$245</f>
        <v>3300.3462561110096</v>
      </c>
      <c r="Z65" s="290">
        <f ca="1" xml:space="preserve"> ProjectCashflows!Z$245</f>
        <v>3366.3531812332299</v>
      </c>
      <c r="AA65" s="290">
        <f ca="1" xml:space="preserve"> ProjectCashflows!AA$245</f>
        <v>2648.2580635116151</v>
      </c>
      <c r="AB65" s="290">
        <f ca="1" xml:space="preserve"> ProjectCashflows!AB$245</f>
        <v>2402.367773351657</v>
      </c>
      <c r="AC65" s="290">
        <f ca="1" xml:space="preserve"> ProjectCashflows!AC$245</f>
        <v>2071.387976946261</v>
      </c>
      <c r="AD65" s="290">
        <f ca="1" xml:space="preserve"> ProjectCashflows!AD$245</f>
        <v>1393.0675053556774</v>
      </c>
      <c r="AE65" s="290">
        <f ca="1" xml:space="preserve"> ProjectCashflows!AE$245</f>
        <v>1084.6791190642259</v>
      </c>
      <c r="AF65" s="290">
        <f ca="1" xml:space="preserve"> ProjectCashflows!AF$245</f>
        <v>1120.7836403365359</v>
      </c>
      <c r="AG65" s="290">
        <f ca="1" xml:space="preserve"> ProjectCashflows!AG$245</f>
        <v>910.39250876791743</v>
      </c>
      <c r="AH65" s="290">
        <f ca="1" xml:space="preserve"> ProjectCashflows!AH$245</f>
        <v>730.08970104537377</v>
      </c>
      <c r="AI65" s="290">
        <f ca="1" xml:space="preserve"> ProjectCashflows!AI$245</f>
        <v>582.21000489803623</v>
      </c>
      <c r="AJ65" s="290">
        <f ca="1" xml:space="preserve"> ProjectCashflows!AJ$245</f>
        <v>461.17057351373421</v>
      </c>
      <c r="AK65" s="290">
        <f ca="1" xml:space="preserve"> ProjectCashflows!AK$245</f>
        <v>362.36051586199994</v>
      </c>
      <c r="AL65" s="290">
        <f ca="1" xml:space="preserve"> ProjectCashflows!AL$245</f>
        <v>-144.74960301683154</v>
      </c>
      <c r="AM65" s="290">
        <f ca="1" xml:space="preserve"> ProjectCashflows!AM$245</f>
        <v>216.86080583060547</v>
      </c>
      <c r="AN65" s="290">
        <f ca="1" xml:space="preserve"> ProjectCashflows!AN$245</f>
        <v>155.55166339629073</v>
      </c>
      <c r="AO65" s="290">
        <f ca="1" xml:space="preserve"> ProjectCashflows!AO$245</f>
        <v>113.48248314995762</v>
      </c>
      <c r="AP65" s="290">
        <f ca="1" xml:space="preserve"> ProjectCashflows!AP$245</f>
        <v>-461.89720394635549</v>
      </c>
      <c r="AQ65" s="290">
        <f ca="1" xml:space="preserve"> ProjectCashflows!AQ$245</f>
        <v>-471.1351480252826</v>
      </c>
      <c r="AR65" s="290">
        <f ca="1" xml:space="preserve"> ProjectCashflows!AR$245</f>
        <v>0</v>
      </c>
      <c r="AS65" s="290">
        <f ca="1" xml:space="preserve"> ProjectCashflows!AS$245</f>
        <v>0</v>
      </c>
      <c r="AT65" s="290">
        <f ca="1" xml:space="preserve"> ProjectCashflows!AT$245</f>
        <v>0</v>
      </c>
      <c r="AU65" s="290">
        <f ca="1" xml:space="preserve"> ProjectCashflows!AU$245</f>
        <v>0</v>
      </c>
      <c r="AV65" s="290">
        <f ca="1" xml:space="preserve"> ProjectCashflows!AV$245</f>
        <v>0</v>
      </c>
      <c r="AW65" s="290">
        <f ca="1" xml:space="preserve"> ProjectCashflows!AW$245</f>
        <v>0</v>
      </c>
      <c r="AX65" s="290">
        <f ca="1" xml:space="preserve"> ProjectCashflows!AX$245</f>
        <v>0</v>
      </c>
    </row>
    <row r="66" spans="1:50" s="109" customFormat="1" ht="15" customHeight="1" x14ac:dyDescent="0.25">
      <c r="A66" s="106"/>
      <c r="B66" s="189"/>
      <c r="E66" s="109" t="str">
        <f t="shared" ref="E66:AX66" si="5" xml:space="preserve"> E40</f>
        <v>Investors (IOC + Lender)</v>
      </c>
      <c r="F66" s="109">
        <f t="shared" si="5"/>
        <v>0</v>
      </c>
      <c r="G66" s="109" t="str">
        <f t="shared" si="5"/>
        <v>US$ mn</v>
      </c>
      <c r="H66" s="109">
        <f t="shared" si="5"/>
        <v>0</v>
      </c>
      <c r="I66" s="109">
        <f t="shared" ca="1" si="5"/>
        <v>12704.327258721652</v>
      </c>
      <c r="J66" s="109">
        <f t="shared" si="5"/>
        <v>0</v>
      </c>
      <c r="K66" s="109">
        <f t="shared" ca="1" si="5"/>
        <v>-430</v>
      </c>
      <c r="L66" s="109">
        <f t="shared" ca="1" si="5"/>
        <v>-43.86</v>
      </c>
      <c r="M66" s="109">
        <f t="shared" ca="1" si="5"/>
        <v>-268.42320000000001</v>
      </c>
      <c r="N66" s="109">
        <f t="shared" ca="1" si="5"/>
        <v>-1095.1666559999999</v>
      </c>
      <c r="O66" s="109">
        <f t="shared" ca="1" si="5"/>
        <v>-1059.6190883649381</v>
      </c>
      <c r="P66" s="109">
        <f t="shared" ca="1" si="5"/>
        <v>-937.45612438703961</v>
      </c>
      <c r="Q66" s="109">
        <f t="shared" ca="1" si="5"/>
        <v>920.33050082644445</v>
      </c>
      <c r="R66" s="109">
        <f t="shared" ca="1" si="5"/>
        <v>1268.73177392599</v>
      </c>
      <c r="S66" s="109">
        <f t="shared" ca="1" si="5"/>
        <v>1377.4653957484625</v>
      </c>
      <c r="T66" s="109">
        <f t="shared" ca="1" si="5"/>
        <v>1256.6558229630843</v>
      </c>
      <c r="U66" s="109">
        <f t="shared" ca="1" si="5"/>
        <v>1169.8505734238468</v>
      </c>
      <c r="V66" s="109">
        <f t="shared" ca="1" si="5"/>
        <v>1138.16870863589</v>
      </c>
      <c r="W66" s="109">
        <f t="shared" ca="1" si="5"/>
        <v>1113.753107487722</v>
      </c>
      <c r="X66" s="109">
        <f t="shared" ca="1" si="5"/>
        <v>1131.1890089430094</v>
      </c>
      <c r="Y66" s="109">
        <f t="shared" ca="1" si="5"/>
        <v>1149.0745322385619</v>
      </c>
      <c r="Z66" s="109">
        <f t="shared" ca="1" si="5"/>
        <v>1167.4186698111844</v>
      </c>
      <c r="AA66" s="109">
        <f t="shared" ca="1" si="5"/>
        <v>866.65306217525767</v>
      </c>
      <c r="AB66" s="109">
        <f t="shared" ca="1" si="5"/>
        <v>881.52391124471274</v>
      </c>
      <c r="AC66" s="109">
        <f t="shared" ca="1" si="5"/>
        <v>759.35624288917188</v>
      </c>
      <c r="AD66" s="109">
        <f t="shared" ca="1" si="5"/>
        <v>406.98181760788788</v>
      </c>
      <c r="AE66" s="109">
        <f t="shared" ca="1" si="5"/>
        <v>292.56966884269411</v>
      </c>
      <c r="AF66" s="109">
        <f t="shared" ca="1" si="5"/>
        <v>395.54272130750405</v>
      </c>
      <c r="AG66" s="109">
        <f t="shared" ca="1" si="5"/>
        <v>354.24628697719959</v>
      </c>
      <c r="AH66" s="109">
        <f t="shared" ca="1" si="5"/>
        <v>281.29885145317576</v>
      </c>
      <c r="AI66" s="109">
        <f t="shared" ca="1" si="5"/>
        <v>205.25309279927879</v>
      </c>
      <c r="AJ66" s="109">
        <f t="shared" ca="1" si="5"/>
        <v>139.83368145294435</v>
      </c>
      <c r="AK66" s="109">
        <f t="shared" ca="1" si="5"/>
        <v>100.1379214466486</v>
      </c>
      <c r="AL66" s="109">
        <f t="shared" ca="1" si="5"/>
        <v>67.977005372072909</v>
      </c>
      <c r="AM66" s="109">
        <f t="shared" ca="1" si="5"/>
        <v>53.978484087609644</v>
      </c>
      <c r="AN66" s="109">
        <f t="shared" ca="1" si="5"/>
        <v>28.661008471332469</v>
      </c>
      <c r="AO66" s="109">
        <f t="shared" ca="1" si="5"/>
        <v>12.200477341944271</v>
      </c>
      <c r="AP66" s="109">
        <f t="shared" ca="1" si="5"/>
        <v>0</v>
      </c>
      <c r="AQ66" s="109">
        <f t="shared" ca="1" si="5"/>
        <v>0</v>
      </c>
      <c r="AR66" s="109">
        <f t="shared" ca="1" si="5"/>
        <v>0</v>
      </c>
      <c r="AS66" s="109">
        <f t="shared" ca="1" si="5"/>
        <v>0</v>
      </c>
      <c r="AT66" s="109">
        <f t="shared" ca="1" si="5"/>
        <v>0</v>
      </c>
      <c r="AU66" s="109">
        <f t="shared" ca="1" si="5"/>
        <v>0</v>
      </c>
      <c r="AV66" s="109">
        <f t="shared" ca="1" si="5"/>
        <v>0</v>
      </c>
      <c r="AW66" s="109">
        <f t="shared" ca="1" si="5"/>
        <v>0</v>
      </c>
      <c r="AX66" s="109">
        <f t="shared" ca="1" si="5"/>
        <v>0</v>
      </c>
    </row>
    <row r="67" spans="1:50" s="109" customFormat="1" ht="15" customHeight="1" x14ac:dyDescent="0.25">
      <c r="A67" s="106"/>
      <c r="B67" s="168"/>
      <c r="E67" s="109" t="str">
        <f xml:space="preserve"> E65 &amp; ": " &amp; Translate!E$811</f>
        <v>Cashflow before decommissioning fund: cumulative</v>
      </c>
      <c r="G67" s="109" t="str">
        <f xml:space="preserve"> G34</f>
        <v>US$ mn</v>
      </c>
      <c r="J67" s="293"/>
      <c r="K67" s="109">
        <f t="shared" ref="K67:AX67" ca="1" si="6" xml:space="preserve"> J67 + K65</f>
        <v>-420</v>
      </c>
      <c r="L67" s="109">
        <f t="shared" ca="1" si="6"/>
        <v>-471</v>
      </c>
      <c r="M67" s="109">
        <f t="shared" ca="1" si="6"/>
        <v>-783.12</v>
      </c>
      <c r="N67" s="109">
        <f t="shared" ca="1" si="6"/>
        <v>-2056.5695999999998</v>
      </c>
      <c r="O67" s="109">
        <f t="shared" ca="1" si="6"/>
        <v>-3202.1526293901516</v>
      </c>
      <c r="P67" s="109">
        <f t="shared" ca="1" si="6"/>
        <v>-4057.1252013681515</v>
      </c>
      <c r="Q67" s="109">
        <f t="shared" ca="1" si="6"/>
        <v>-2197.549506558471</v>
      </c>
      <c r="R67" s="109">
        <f t="shared" ca="1" si="6"/>
        <v>445.86338611943484</v>
      </c>
      <c r="S67" s="109">
        <f t="shared" ca="1" si="6"/>
        <v>3376.4764128513521</v>
      </c>
      <c r="T67" s="109">
        <f t="shared" ca="1" si="6"/>
        <v>6365.7017001179083</v>
      </c>
      <c r="U67" s="109">
        <f t="shared" ca="1" si="6"/>
        <v>9414.7114931297947</v>
      </c>
      <c r="V67" s="109">
        <f t="shared" ca="1" si="6"/>
        <v>12524.701482001919</v>
      </c>
      <c r="W67" s="109">
        <f t="shared" ca="1" si="6"/>
        <v>15696.891270651486</v>
      </c>
      <c r="X67" s="109">
        <f t="shared" ca="1" si="6"/>
        <v>18932.524855074043</v>
      </c>
      <c r="Y67" s="109">
        <f t="shared" ca="1" si="6"/>
        <v>22232.871111185053</v>
      </c>
      <c r="Z67" s="109">
        <f t="shared" ca="1" si="6"/>
        <v>25599.224292418283</v>
      </c>
      <c r="AA67" s="109">
        <f t="shared" ca="1" si="6"/>
        <v>28247.482355929897</v>
      </c>
      <c r="AB67" s="109">
        <f t="shared" ca="1" si="6"/>
        <v>30649.850129281553</v>
      </c>
      <c r="AC67" s="109">
        <f t="shared" ca="1" si="6"/>
        <v>32721.238106227815</v>
      </c>
      <c r="AD67" s="109">
        <f t="shared" ca="1" si="6"/>
        <v>34114.305611583492</v>
      </c>
      <c r="AE67" s="109">
        <f t="shared" ca="1" si="6"/>
        <v>35198.984730647717</v>
      </c>
      <c r="AF67" s="109">
        <f t="shared" ca="1" si="6"/>
        <v>36319.768370984253</v>
      </c>
      <c r="AG67" s="109">
        <f t="shared" ca="1" si="6"/>
        <v>37230.160879752169</v>
      </c>
      <c r="AH67" s="109">
        <f t="shared" ca="1" si="6"/>
        <v>37960.250580797547</v>
      </c>
      <c r="AI67" s="109">
        <f t="shared" ca="1" si="6"/>
        <v>38542.460585695582</v>
      </c>
      <c r="AJ67" s="109">
        <f t="shared" ca="1" si="6"/>
        <v>39003.631159209319</v>
      </c>
      <c r="AK67" s="109">
        <f t="shared" ca="1" si="6"/>
        <v>39365.991675071316</v>
      </c>
      <c r="AL67" s="109">
        <f t="shared" ca="1" si="6"/>
        <v>39221.242072054483</v>
      </c>
      <c r="AM67" s="109">
        <f t="shared" ca="1" si="6"/>
        <v>39438.102877885089</v>
      </c>
      <c r="AN67" s="109">
        <f t="shared" ca="1" si="6"/>
        <v>39593.654541281379</v>
      </c>
      <c r="AO67" s="109">
        <f t="shared" ca="1" si="6"/>
        <v>39707.137024431337</v>
      </c>
      <c r="AP67" s="109">
        <f t="shared" ca="1" si="6"/>
        <v>39245.239820484981</v>
      </c>
      <c r="AQ67" s="109">
        <f t="shared" ca="1" si="6"/>
        <v>38774.104672459696</v>
      </c>
      <c r="AR67" s="109">
        <f t="shared" ca="1" si="6"/>
        <v>38774.104672459696</v>
      </c>
      <c r="AS67" s="109">
        <f t="shared" ca="1" si="6"/>
        <v>38774.104672459696</v>
      </c>
      <c r="AT67" s="109">
        <f t="shared" ca="1" si="6"/>
        <v>38774.104672459696</v>
      </c>
      <c r="AU67" s="109">
        <f t="shared" ca="1" si="6"/>
        <v>38774.104672459696</v>
      </c>
      <c r="AV67" s="109">
        <f t="shared" ca="1" si="6"/>
        <v>38774.104672459696</v>
      </c>
      <c r="AW67" s="109">
        <f t="shared" ca="1" si="6"/>
        <v>38774.104672459696</v>
      </c>
      <c r="AX67" s="109">
        <f t="shared" ca="1" si="6"/>
        <v>38774.104672459696</v>
      </c>
    </row>
    <row r="68" spans="1:50" s="109" customFormat="1" ht="15" customHeight="1" x14ac:dyDescent="0.25">
      <c r="A68" s="106"/>
      <c r="B68" s="168"/>
      <c r="E68" s="109" t="str">
        <f xml:space="preserve"> E66 &amp; ": " &amp; Translate!E$811</f>
        <v>Investors (IOC + Lender): cumulative</v>
      </c>
      <c r="G68" s="109" t="str">
        <f xml:space="preserve"> G38</f>
        <v>US$ mn</v>
      </c>
      <c r="J68" s="293"/>
      <c r="K68" s="109">
        <f t="shared" ref="K68:AX68" ca="1" si="7" xml:space="preserve"> J68 + K66</f>
        <v>-430</v>
      </c>
      <c r="L68" s="109">
        <f t="shared" ca="1" si="7"/>
        <v>-473.86</v>
      </c>
      <c r="M68" s="109">
        <f t="shared" ca="1" si="7"/>
        <v>-742.28320000000008</v>
      </c>
      <c r="N68" s="109">
        <f t="shared" ca="1" si="7"/>
        <v>-1837.449856</v>
      </c>
      <c r="O68" s="109">
        <f t="shared" ca="1" si="7"/>
        <v>-2897.068944364938</v>
      </c>
      <c r="P68" s="109">
        <f t="shared" ca="1" si="7"/>
        <v>-3834.5250687519774</v>
      </c>
      <c r="Q68" s="109">
        <f t="shared" ca="1" si="7"/>
        <v>-2914.1945679255332</v>
      </c>
      <c r="R68" s="109">
        <f t="shared" ca="1" si="7"/>
        <v>-1645.4627939995432</v>
      </c>
      <c r="S68" s="109">
        <f t="shared" ca="1" si="7"/>
        <v>-267.99739825108077</v>
      </c>
      <c r="T68" s="109">
        <f t="shared" ca="1" si="7"/>
        <v>988.65842471200358</v>
      </c>
      <c r="U68" s="109">
        <f t="shared" ca="1" si="7"/>
        <v>2158.5089981358506</v>
      </c>
      <c r="V68" s="109">
        <f t="shared" ca="1" si="7"/>
        <v>3296.6777067717403</v>
      </c>
      <c r="W68" s="109">
        <f t="shared" ca="1" si="7"/>
        <v>4410.4308142594618</v>
      </c>
      <c r="X68" s="109">
        <f t="shared" ca="1" si="7"/>
        <v>5541.6198232024708</v>
      </c>
      <c r="Y68" s="109">
        <f t="shared" ca="1" si="7"/>
        <v>6690.6943554410327</v>
      </c>
      <c r="Z68" s="109">
        <f t="shared" ca="1" si="7"/>
        <v>7858.1130252522171</v>
      </c>
      <c r="AA68" s="109">
        <f t="shared" ca="1" si="7"/>
        <v>8724.7660874274752</v>
      </c>
      <c r="AB68" s="109">
        <f t="shared" ca="1" si="7"/>
        <v>9606.2899986721877</v>
      </c>
      <c r="AC68" s="109">
        <f t="shared" ca="1" si="7"/>
        <v>10365.646241561361</v>
      </c>
      <c r="AD68" s="109">
        <f t="shared" ca="1" si="7"/>
        <v>10772.628059169248</v>
      </c>
      <c r="AE68" s="109">
        <f t="shared" ca="1" si="7"/>
        <v>11065.197728011943</v>
      </c>
      <c r="AF68" s="109">
        <f t="shared" ca="1" si="7"/>
        <v>11460.740449319446</v>
      </c>
      <c r="AG68" s="109">
        <f t="shared" ca="1" si="7"/>
        <v>11814.986736296645</v>
      </c>
      <c r="AH68" s="109">
        <f t="shared" ca="1" si="7"/>
        <v>12096.28558774982</v>
      </c>
      <c r="AI68" s="109">
        <f t="shared" ca="1" si="7"/>
        <v>12301.5386805491</v>
      </c>
      <c r="AJ68" s="109">
        <f t="shared" ca="1" si="7"/>
        <v>12441.372362002045</v>
      </c>
      <c r="AK68" s="109">
        <f t="shared" ca="1" si="7"/>
        <v>12541.510283448693</v>
      </c>
      <c r="AL68" s="109">
        <f t="shared" ca="1" si="7"/>
        <v>12609.487288820766</v>
      </c>
      <c r="AM68" s="109">
        <f t="shared" ca="1" si="7"/>
        <v>12663.465772908376</v>
      </c>
      <c r="AN68" s="109">
        <f t="shared" ca="1" si="7"/>
        <v>12692.126781379708</v>
      </c>
      <c r="AO68" s="109">
        <f t="shared" ca="1" si="7"/>
        <v>12704.327258721652</v>
      </c>
      <c r="AP68" s="109">
        <f t="shared" ca="1" si="7"/>
        <v>12704.327258721652</v>
      </c>
      <c r="AQ68" s="109">
        <f t="shared" ca="1" si="7"/>
        <v>12704.327258721652</v>
      </c>
      <c r="AR68" s="109">
        <f t="shared" ca="1" si="7"/>
        <v>12704.327258721652</v>
      </c>
      <c r="AS68" s="109">
        <f t="shared" ca="1" si="7"/>
        <v>12704.327258721652</v>
      </c>
      <c r="AT68" s="109">
        <f t="shared" ca="1" si="7"/>
        <v>12704.327258721652</v>
      </c>
      <c r="AU68" s="109">
        <f t="shared" ca="1" si="7"/>
        <v>12704.327258721652</v>
      </c>
      <c r="AV68" s="109">
        <f t="shared" ca="1" si="7"/>
        <v>12704.327258721652</v>
      </c>
      <c r="AW68" s="109">
        <f t="shared" ca="1" si="7"/>
        <v>12704.327258721652</v>
      </c>
      <c r="AX68" s="109">
        <f t="shared" ca="1" si="7"/>
        <v>12704.327258721652</v>
      </c>
    </row>
    <row r="69" spans="1:50" s="109" customFormat="1" ht="15" customHeight="1" x14ac:dyDescent="0.25">
      <c r="A69" s="106"/>
      <c r="B69" s="189"/>
    </row>
    <row r="70" spans="1:50" s="290" customFormat="1" ht="15" customHeight="1" x14ac:dyDescent="0.25">
      <c r="B70" s="291"/>
      <c r="E70" s="290" t="str">
        <f xml:space="preserve"> ProjectCashflows!E$174</f>
        <v>Cumulative project years</v>
      </c>
      <c r="F70" s="290">
        <f xml:space="preserve"> ProjectCashflows!F$174</f>
        <v>0</v>
      </c>
      <c r="G70" s="290" t="str">
        <f xml:space="preserve"> ProjectCashflows!G$174</f>
        <v>Year</v>
      </c>
      <c r="H70" s="290">
        <f xml:space="preserve"> ProjectCashflows!H$174</f>
        <v>0</v>
      </c>
      <c r="I70" s="290">
        <f xml:space="preserve"> ProjectCashflows!I$174</f>
        <v>0</v>
      </c>
      <c r="J70" s="290">
        <f xml:space="preserve"> ProjectCashflows!J$174</f>
        <v>0</v>
      </c>
      <c r="K70" s="290">
        <f ca="1" xml:space="preserve"> ProjectCashflows!K$174</f>
        <v>1</v>
      </c>
      <c r="L70" s="290">
        <f ca="1" xml:space="preserve"> ProjectCashflows!L$174</f>
        <v>2</v>
      </c>
      <c r="M70" s="290">
        <f ca="1" xml:space="preserve"> ProjectCashflows!M$174</f>
        <v>3</v>
      </c>
      <c r="N70" s="290">
        <f ca="1" xml:space="preserve"> ProjectCashflows!N$174</f>
        <v>4</v>
      </c>
      <c r="O70" s="290">
        <f ca="1" xml:space="preserve"> ProjectCashflows!O$174</f>
        <v>5</v>
      </c>
      <c r="P70" s="290">
        <f ca="1" xml:space="preserve"> ProjectCashflows!P$174</f>
        <v>6</v>
      </c>
      <c r="Q70" s="290">
        <f ca="1" xml:space="preserve"> ProjectCashflows!Q$174</f>
        <v>7</v>
      </c>
      <c r="R70" s="290">
        <f ca="1" xml:space="preserve"> ProjectCashflows!R$174</f>
        <v>8</v>
      </c>
      <c r="S70" s="290">
        <f ca="1" xml:space="preserve"> ProjectCashflows!S$174</f>
        <v>9</v>
      </c>
      <c r="T70" s="290">
        <f ca="1" xml:space="preserve"> ProjectCashflows!T$174</f>
        <v>10</v>
      </c>
      <c r="U70" s="290">
        <f ca="1" xml:space="preserve"> ProjectCashflows!U$174</f>
        <v>11</v>
      </c>
      <c r="V70" s="290">
        <f ca="1" xml:space="preserve"> ProjectCashflows!V$174</f>
        <v>12</v>
      </c>
      <c r="W70" s="290">
        <f ca="1" xml:space="preserve"> ProjectCashflows!W$174</f>
        <v>13</v>
      </c>
      <c r="X70" s="290">
        <f ca="1" xml:space="preserve"> ProjectCashflows!X$174</f>
        <v>14</v>
      </c>
      <c r="Y70" s="290">
        <f ca="1" xml:space="preserve"> ProjectCashflows!Y$174</f>
        <v>15</v>
      </c>
      <c r="Z70" s="290">
        <f ca="1" xml:space="preserve"> ProjectCashflows!Z$174</f>
        <v>16</v>
      </c>
      <c r="AA70" s="290">
        <f ca="1" xml:space="preserve"> ProjectCashflows!AA$174</f>
        <v>17</v>
      </c>
      <c r="AB70" s="290">
        <f ca="1" xml:space="preserve"> ProjectCashflows!AB$174</f>
        <v>18</v>
      </c>
      <c r="AC70" s="290">
        <f ca="1" xml:space="preserve"> ProjectCashflows!AC$174</f>
        <v>19</v>
      </c>
      <c r="AD70" s="290">
        <f ca="1" xml:space="preserve"> ProjectCashflows!AD$174</f>
        <v>20</v>
      </c>
      <c r="AE70" s="290">
        <f ca="1" xml:space="preserve"> ProjectCashflows!AE$174</f>
        <v>21</v>
      </c>
      <c r="AF70" s="290">
        <f ca="1" xml:space="preserve"> ProjectCashflows!AF$174</f>
        <v>22</v>
      </c>
      <c r="AG70" s="290">
        <f ca="1" xml:space="preserve"> ProjectCashflows!AG$174</f>
        <v>23</v>
      </c>
      <c r="AH70" s="290">
        <f ca="1" xml:space="preserve"> ProjectCashflows!AH$174</f>
        <v>24</v>
      </c>
      <c r="AI70" s="290">
        <f ca="1" xml:space="preserve"> ProjectCashflows!AI$174</f>
        <v>25</v>
      </c>
      <c r="AJ70" s="290">
        <f ca="1" xml:space="preserve"> ProjectCashflows!AJ$174</f>
        <v>26</v>
      </c>
      <c r="AK70" s="290">
        <f ca="1" xml:space="preserve"> ProjectCashflows!AK$174</f>
        <v>27</v>
      </c>
      <c r="AL70" s="290">
        <f ca="1" xml:space="preserve"> ProjectCashflows!AL$174</f>
        <v>28</v>
      </c>
      <c r="AM70" s="290">
        <f ca="1" xml:space="preserve"> ProjectCashflows!AM$174</f>
        <v>29</v>
      </c>
      <c r="AN70" s="290">
        <f ca="1" xml:space="preserve"> ProjectCashflows!AN$174</f>
        <v>30</v>
      </c>
      <c r="AO70" s="290">
        <f ca="1" xml:space="preserve"> ProjectCashflows!AO$174</f>
        <v>31</v>
      </c>
      <c r="AP70" s="290">
        <f ca="1" xml:space="preserve"> ProjectCashflows!AP$174</f>
        <v>32</v>
      </c>
      <c r="AQ70" s="290">
        <f ca="1" xml:space="preserve"> ProjectCashflows!AQ$174</f>
        <v>33</v>
      </c>
      <c r="AR70" s="290">
        <f ca="1" xml:space="preserve"> ProjectCashflows!AR$174</f>
        <v>0</v>
      </c>
      <c r="AS70" s="290">
        <f ca="1" xml:space="preserve"> ProjectCashflows!AS$174</f>
        <v>0</v>
      </c>
      <c r="AT70" s="290">
        <f ca="1" xml:space="preserve"> ProjectCashflows!AT$174</f>
        <v>0</v>
      </c>
      <c r="AU70" s="290">
        <f ca="1" xml:space="preserve"> ProjectCashflows!AU$174</f>
        <v>0</v>
      </c>
      <c r="AV70" s="290">
        <f ca="1" xml:space="preserve"> ProjectCashflows!AV$174</f>
        <v>0</v>
      </c>
      <c r="AW70" s="290">
        <f ca="1" xml:space="preserve"> ProjectCashflows!AW$174</f>
        <v>0</v>
      </c>
      <c r="AX70" s="290">
        <f ca="1" xml:space="preserve"> ProjectCashflows!AX$174</f>
        <v>0</v>
      </c>
    </row>
    <row r="71" spans="1:50" s="290" customFormat="1" ht="15" customHeight="1" x14ac:dyDescent="0.25">
      <c r="B71" s="291"/>
      <c r="E71" s="290" t="str">
        <f xml:space="preserve"> ProjectCashflows!E$181</f>
        <v>Cumulative production years</v>
      </c>
      <c r="F71" s="290">
        <f xml:space="preserve"> ProjectCashflows!F$181</f>
        <v>0</v>
      </c>
      <c r="G71" s="290" t="str">
        <f xml:space="preserve"> ProjectCashflows!G$181</f>
        <v>Year</v>
      </c>
      <c r="H71" s="290">
        <f xml:space="preserve"> ProjectCashflows!H$181</f>
        <v>0</v>
      </c>
      <c r="I71" s="290">
        <f xml:space="preserve"> ProjectCashflows!I$181</f>
        <v>0</v>
      </c>
      <c r="J71" s="290">
        <f xml:space="preserve"> ProjectCashflows!J$181</f>
        <v>0</v>
      </c>
      <c r="K71" s="290">
        <f ca="1" xml:space="preserve"> ProjectCashflows!K$181</f>
        <v>0</v>
      </c>
      <c r="L71" s="290">
        <f ca="1" xml:space="preserve"> ProjectCashflows!L$181</f>
        <v>0</v>
      </c>
      <c r="M71" s="290">
        <f ca="1" xml:space="preserve"> ProjectCashflows!M$181</f>
        <v>0</v>
      </c>
      <c r="N71" s="290">
        <f ca="1" xml:space="preserve"> ProjectCashflows!N$181</f>
        <v>0</v>
      </c>
      <c r="O71" s="290">
        <f ca="1" xml:space="preserve"> ProjectCashflows!O$181</f>
        <v>1</v>
      </c>
      <c r="P71" s="290">
        <f ca="1" xml:space="preserve"> ProjectCashflows!P$181</f>
        <v>2</v>
      </c>
      <c r="Q71" s="290">
        <f ca="1" xml:space="preserve"> ProjectCashflows!Q$181</f>
        <v>3</v>
      </c>
      <c r="R71" s="290">
        <f ca="1" xml:space="preserve"> ProjectCashflows!R$181</f>
        <v>4</v>
      </c>
      <c r="S71" s="290">
        <f ca="1" xml:space="preserve"> ProjectCashflows!S$181</f>
        <v>5</v>
      </c>
      <c r="T71" s="290">
        <f ca="1" xml:space="preserve"> ProjectCashflows!T$181</f>
        <v>6</v>
      </c>
      <c r="U71" s="290">
        <f ca="1" xml:space="preserve"> ProjectCashflows!U$181</f>
        <v>7</v>
      </c>
      <c r="V71" s="290">
        <f ca="1" xml:space="preserve"> ProjectCashflows!V$181</f>
        <v>8</v>
      </c>
      <c r="W71" s="290">
        <f ca="1" xml:space="preserve"> ProjectCashflows!W$181</f>
        <v>9</v>
      </c>
      <c r="X71" s="290">
        <f ca="1" xml:space="preserve"> ProjectCashflows!X$181</f>
        <v>10</v>
      </c>
      <c r="Y71" s="290">
        <f ca="1" xml:space="preserve"> ProjectCashflows!Y$181</f>
        <v>11</v>
      </c>
      <c r="Z71" s="290">
        <f ca="1" xml:space="preserve"> ProjectCashflows!Z$181</f>
        <v>12</v>
      </c>
      <c r="AA71" s="290">
        <f ca="1" xml:space="preserve"> ProjectCashflows!AA$181</f>
        <v>13</v>
      </c>
      <c r="AB71" s="290">
        <f ca="1" xml:space="preserve"> ProjectCashflows!AB$181</f>
        <v>14</v>
      </c>
      <c r="AC71" s="290">
        <f ca="1" xml:space="preserve"> ProjectCashflows!AC$181</f>
        <v>15</v>
      </c>
      <c r="AD71" s="290">
        <f ca="1" xml:space="preserve"> ProjectCashflows!AD$181</f>
        <v>16</v>
      </c>
      <c r="AE71" s="290">
        <f ca="1" xml:space="preserve"> ProjectCashflows!AE$181</f>
        <v>17</v>
      </c>
      <c r="AF71" s="290">
        <f ca="1" xml:space="preserve"> ProjectCashflows!AF$181</f>
        <v>18</v>
      </c>
      <c r="AG71" s="290">
        <f ca="1" xml:space="preserve"> ProjectCashflows!AG$181</f>
        <v>19</v>
      </c>
      <c r="AH71" s="290">
        <f ca="1" xml:space="preserve"> ProjectCashflows!AH$181</f>
        <v>20</v>
      </c>
      <c r="AI71" s="290">
        <f ca="1" xml:space="preserve"> ProjectCashflows!AI$181</f>
        <v>21</v>
      </c>
      <c r="AJ71" s="290">
        <f ca="1" xml:space="preserve"> ProjectCashflows!AJ$181</f>
        <v>22</v>
      </c>
      <c r="AK71" s="290">
        <f ca="1" xml:space="preserve"> ProjectCashflows!AK$181</f>
        <v>23</v>
      </c>
      <c r="AL71" s="290">
        <f ca="1" xml:space="preserve"> ProjectCashflows!AL$181</f>
        <v>24</v>
      </c>
      <c r="AM71" s="290">
        <f ca="1" xml:space="preserve"> ProjectCashflows!AM$181</f>
        <v>25</v>
      </c>
      <c r="AN71" s="290">
        <f ca="1" xml:space="preserve"> ProjectCashflows!AN$181</f>
        <v>26</v>
      </c>
      <c r="AO71" s="290">
        <f ca="1" xml:space="preserve"> ProjectCashflows!AO$181</f>
        <v>27</v>
      </c>
      <c r="AP71" s="290">
        <f ca="1" xml:space="preserve"> ProjectCashflows!AP$181</f>
        <v>0</v>
      </c>
      <c r="AQ71" s="290">
        <f ca="1" xml:space="preserve"> ProjectCashflows!AQ$181</f>
        <v>0</v>
      </c>
      <c r="AR71" s="290">
        <f ca="1" xml:space="preserve"> ProjectCashflows!AR$181</f>
        <v>0</v>
      </c>
      <c r="AS71" s="290">
        <f ca="1" xml:space="preserve"> ProjectCashflows!AS$181</f>
        <v>0</v>
      </c>
      <c r="AT71" s="290">
        <f ca="1" xml:space="preserve"> ProjectCashflows!AT$181</f>
        <v>0</v>
      </c>
      <c r="AU71" s="290">
        <f ca="1" xml:space="preserve"> ProjectCashflows!AU$181</f>
        <v>0</v>
      </c>
      <c r="AV71" s="290">
        <f ca="1" xml:space="preserve"> ProjectCashflows!AV$181</f>
        <v>0</v>
      </c>
      <c r="AW71" s="290">
        <f ca="1" xml:space="preserve"> ProjectCashflows!AW$181</f>
        <v>0</v>
      </c>
      <c r="AX71" s="290">
        <f ca="1" xml:space="preserve"> ProjectCashflows!AX$181</f>
        <v>0</v>
      </c>
    </row>
    <row r="72" spans="1:50" s="109" customFormat="1" ht="15" customHeight="1" x14ac:dyDescent="0.25">
      <c r="A72" s="106"/>
      <c r="B72" s="168"/>
      <c r="E72" s="109" t="str">
        <f xml:space="preserve"> E65 &amp; " "&amp;  Translate!E$700</f>
        <v>Cashflow before decommissioning fund Payback</v>
      </c>
      <c r="G72" s="413" t="str">
        <f xml:space="preserve"> Translate!E$403</f>
        <v>Production year</v>
      </c>
      <c r="I72" s="294"/>
      <c r="K72" s="294">
        <f ca="1" xml:space="preserve"> IFERROR( AND( K67 &gt; 0, J67 &lt; 0 ) * (ABS(J67 / K65) + J71), 0)</f>
        <v>0</v>
      </c>
      <c r="L72" s="294">
        <f t="shared" ref="L72:AX72" ca="1" si="8" xml:space="preserve"> IFERROR( AND( L67 &gt; 0, K67 &lt; 0 ) * (ABS(K67 / L65) + K71), 0)</f>
        <v>0</v>
      </c>
      <c r="M72" s="294">
        <f t="shared" ca="1" si="8"/>
        <v>0</v>
      </c>
      <c r="N72" s="294">
        <f t="shared" ca="1" si="8"/>
        <v>0</v>
      </c>
      <c r="O72" s="294">
        <f t="shared" ca="1" si="8"/>
        <v>0</v>
      </c>
      <c r="P72" s="294">
        <f t="shared" ca="1" si="8"/>
        <v>0</v>
      </c>
      <c r="Q72" s="294">
        <f t="shared" ca="1" si="8"/>
        <v>0</v>
      </c>
      <c r="R72" s="294">
        <f t="shared" ca="1" si="8"/>
        <v>3.8313304034513678</v>
      </c>
      <c r="S72" s="294">
        <f t="shared" ca="1" si="8"/>
        <v>0</v>
      </c>
      <c r="T72" s="294">
        <f t="shared" ca="1" si="8"/>
        <v>0</v>
      </c>
      <c r="U72" s="294">
        <f t="shared" ca="1" si="8"/>
        <v>0</v>
      </c>
      <c r="V72" s="294">
        <f t="shared" ca="1" si="8"/>
        <v>0</v>
      </c>
      <c r="W72" s="294">
        <f t="shared" ca="1" si="8"/>
        <v>0</v>
      </c>
      <c r="X72" s="294">
        <f t="shared" ca="1" si="8"/>
        <v>0</v>
      </c>
      <c r="Y72" s="294">
        <f t="shared" ca="1" si="8"/>
        <v>0</v>
      </c>
      <c r="Z72" s="294">
        <f t="shared" ca="1" si="8"/>
        <v>0</v>
      </c>
      <c r="AA72" s="294">
        <f t="shared" ca="1" si="8"/>
        <v>0</v>
      </c>
      <c r="AB72" s="294">
        <f t="shared" ca="1" si="8"/>
        <v>0</v>
      </c>
      <c r="AC72" s="294">
        <f t="shared" ca="1" si="8"/>
        <v>0</v>
      </c>
      <c r="AD72" s="294">
        <f t="shared" ca="1" si="8"/>
        <v>0</v>
      </c>
      <c r="AE72" s="294">
        <f t="shared" ca="1" si="8"/>
        <v>0</v>
      </c>
      <c r="AF72" s="294">
        <f t="shared" ca="1" si="8"/>
        <v>0</v>
      </c>
      <c r="AG72" s="294">
        <f t="shared" ca="1" si="8"/>
        <v>0</v>
      </c>
      <c r="AH72" s="294">
        <f t="shared" ca="1" si="8"/>
        <v>0</v>
      </c>
      <c r="AI72" s="294">
        <f t="shared" ca="1" si="8"/>
        <v>0</v>
      </c>
      <c r="AJ72" s="294">
        <f t="shared" ca="1" si="8"/>
        <v>0</v>
      </c>
      <c r="AK72" s="294">
        <f t="shared" ca="1" si="8"/>
        <v>0</v>
      </c>
      <c r="AL72" s="294">
        <f t="shared" ca="1" si="8"/>
        <v>0</v>
      </c>
      <c r="AM72" s="294">
        <f t="shared" ca="1" si="8"/>
        <v>0</v>
      </c>
      <c r="AN72" s="294">
        <f t="shared" ca="1" si="8"/>
        <v>0</v>
      </c>
      <c r="AO72" s="294">
        <f t="shared" ca="1" si="8"/>
        <v>0</v>
      </c>
      <c r="AP72" s="294">
        <f t="shared" ca="1" si="8"/>
        <v>0</v>
      </c>
      <c r="AQ72" s="294">
        <f t="shared" ca="1" si="8"/>
        <v>0</v>
      </c>
      <c r="AR72" s="294">
        <f t="shared" ca="1" si="8"/>
        <v>0</v>
      </c>
      <c r="AS72" s="294">
        <f t="shared" ca="1" si="8"/>
        <v>0</v>
      </c>
      <c r="AT72" s="294">
        <f t="shared" ca="1" si="8"/>
        <v>0</v>
      </c>
      <c r="AU72" s="294">
        <f t="shared" ca="1" si="8"/>
        <v>0</v>
      </c>
      <c r="AV72" s="294">
        <f t="shared" ca="1" si="8"/>
        <v>0</v>
      </c>
      <c r="AW72" s="294">
        <f t="shared" ca="1" si="8"/>
        <v>0</v>
      </c>
      <c r="AX72" s="294">
        <f t="shared" ca="1" si="8"/>
        <v>0</v>
      </c>
    </row>
    <row r="73" spans="1:50" s="109" customFormat="1" ht="15" customHeight="1" x14ac:dyDescent="0.25">
      <c r="A73" s="106"/>
      <c r="B73" s="168"/>
      <c r="E73" s="109" t="str">
        <f xml:space="preserve"> E66 &amp; " "&amp;  Translate!E$700</f>
        <v>Investors (IOC + Lender) Payback</v>
      </c>
      <c r="G73" s="413" t="str">
        <f xml:space="preserve"> Translate!E$403</f>
        <v>Production year</v>
      </c>
      <c r="I73" s="294"/>
      <c r="K73" s="294">
        <f ca="1" xml:space="preserve"> IFERROR( AND( K68 &gt; 0, J68 &lt; 0 ) * (ABS(J68 / K66) + J71), 0)</f>
        <v>0</v>
      </c>
      <c r="L73" s="294">
        <f t="shared" ref="L73:AX73" ca="1" si="9" xml:space="preserve"> IFERROR( AND( L68 &gt; 0, K68 &lt; 0 ) * (ABS(K68 / L66) + K71), 0)</f>
        <v>0</v>
      </c>
      <c r="M73" s="294">
        <f t="shared" ca="1" si="9"/>
        <v>0</v>
      </c>
      <c r="N73" s="294">
        <f t="shared" ca="1" si="9"/>
        <v>0</v>
      </c>
      <c r="O73" s="294">
        <f t="shared" ca="1" si="9"/>
        <v>0</v>
      </c>
      <c r="P73" s="294">
        <f t="shared" ca="1" si="9"/>
        <v>0</v>
      </c>
      <c r="Q73" s="294">
        <f t="shared" ca="1" si="9"/>
        <v>0</v>
      </c>
      <c r="R73" s="294">
        <f t="shared" ca="1" si="9"/>
        <v>0</v>
      </c>
      <c r="S73" s="294">
        <f t="shared" ca="1" si="9"/>
        <v>0</v>
      </c>
      <c r="T73" s="294">
        <f t="shared" ca="1" si="9"/>
        <v>5.213262369340848</v>
      </c>
      <c r="U73" s="294">
        <f t="shared" ca="1" si="9"/>
        <v>0</v>
      </c>
      <c r="V73" s="294">
        <f t="shared" ca="1" si="9"/>
        <v>0</v>
      </c>
      <c r="W73" s="294">
        <f t="shared" ca="1" si="9"/>
        <v>0</v>
      </c>
      <c r="X73" s="294">
        <f t="shared" ca="1" si="9"/>
        <v>0</v>
      </c>
      <c r="Y73" s="294">
        <f t="shared" ca="1" si="9"/>
        <v>0</v>
      </c>
      <c r="Z73" s="294">
        <f t="shared" ca="1" si="9"/>
        <v>0</v>
      </c>
      <c r="AA73" s="294">
        <f t="shared" ca="1" si="9"/>
        <v>0</v>
      </c>
      <c r="AB73" s="294">
        <f t="shared" ca="1" si="9"/>
        <v>0</v>
      </c>
      <c r="AC73" s="294">
        <f t="shared" ca="1" si="9"/>
        <v>0</v>
      </c>
      <c r="AD73" s="294">
        <f t="shared" ca="1" si="9"/>
        <v>0</v>
      </c>
      <c r="AE73" s="294">
        <f t="shared" ca="1" si="9"/>
        <v>0</v>
      </c>
      <c r="AF73" s="294">
        <f t="shared" ca="1" si="9"/>
        <v>0</v>
      </c>
      <c r="AG73" s="294">
        <f t="shared" ca="1" si="9"/>
        <v>0</v>
      </c>
      <c r="AH73" s="294">
        <f t="shared" ca="1" si="9"/>
        <v>0</v>
      </c>
      <c r="AI73" s="294">
        <f t="shared" ca="1" si="9"/>
        <v>0</v>
      </c>
      <c r="AJ73" s="294">
        <f t="shared" ca="1" si="9"/>
        <v>0</v>
      </c>
      <c r="AK73" s="294">
        <f t="shared" ca="1" si="9"/>
        <v>0</v>
      </c>
      <c r="AL73" s="294">
        <f t="shared" ca="1" si="9"/>
        <v>0</v>
      </c>
      <c r="AM73" s="294">
        <f t="shared" ca="1" si="9"/>
        <v>0</v>
      </c>
      <c r="AN73" s="294">
        <f t="shared" ca="1" si="9"/>
        <v>0</v>
      </c>
      <c r="AO73" s="294">
        <f t="shared" ca="1" si="9"/>
        <v>0</v>
      </c>
      <c r="AP73" s="294">
        <f t="shared" ca="1" si="9"/>
        <v>0</v>
      </c>
      <c r="AQ73" s="294">
        <f t="shared" ca="1" si="9"/>
        <v>0</v>
      </c>
      <c r="AR73" s="294">
        <f t="shared" ca="1" si="9"/>
        <v>0</v>
      </c>
      <c r="AS73" s="294">
        <f t="shared" ca="1" si="9"/>
        <v>0</v>
      </c>
      <c r="AT73" s="294">
        <f t="shared" ca="1" si="9"/>
        <v>0</v>
      </c>
      <c r="AU73" s="294">
        <f t="shared" ca="1" si="9"/>
        <v>0</v>
      </c>
      <c r="AV73" s="294">
        <f t="shared" ca="1" si="9"/>
        <v>0</v>
      </c>
      <c r="AW73" s="294">
        <f t="shared" ca="1" si="9"/>
        <v>0</v>
      </c>
      <c r="AX73" s="294">
        <f t="shared" ca="1" si="9"/>
        <v>0</v>
      </c>
    </row>
    <row r="74" spans="1:50" s="109" customFormat="1" ht="15" customHeight="1" x14ac:dyDescent="0.25">
      <c r="A74" s="106"/>
      <c r="B74" s="168"/>
    </row>
    <row r="75" spans="1:50" s="109" customFormat="1" ht="15" customHeight="1" x14ac:dyDescent="0.25">
      <c r="A75" s="106"/>
      <c r="B75" s="168"/>
      <c r="E75" s="109" t="str">
        <f xml:space="preserve"> E72</f>
        <v>Cashflow before decommissioning fund Payback</v>
      </c>
      <c r="F75" s="294">
        <f ca="1" xml:space="preserve"> SUM(K72:AX72)</f>
        <v>3.8313304034513678</v>
      </c>
      <c r="G75" s="109" t="str">
        <f>G72</f>
        <v>Production year</v>
      </c>
    </row>
    <row r="76" spans="1:50" s="109" customFormat="1" ht="15" customHeight="1" x14ac:dyDescent="0.25">
      <c r="A76" s="106"/>
      <c r="B76" s="168"/>
      <c r="E76" s="109" t="str">
        <f xml:space="preserve"> E73</f>
        <v>Investors (IOC + Lender) Payback</v>
      </c>
      <c r="F76" s="294">
        <f ca="1" xml:space="preserve"> SUM(K73:AX73)</f>
        <v>5.213262369340848</v>
      </c>
      <c r="G76" s="109" t="str">
        <f>G73</f>
        <v>Production year</v>
      </c>
    </row>
    <row r="77" spans="1:50" s="109" customFormat="1" ht="15" customHeight="1" x14ac:dyDescent="0.25">
      <c r="A77" s="106"/>
      <c r="B77" s="168"/>
      <c r="F77" s="294"/>
    </row>
    <row r="78" spans="1:50" s="109" customFormat="1" ht="15" customHeight="1" x14ac:dyDescent="0.25">
      <c r="A78" s="66" t="str">
        <f xml:space="preserve"> Translate!E$698 &amp; ": "  &amp; Inputs!F$89 &amp; ", " &amp; Inputs!F$91</f>
        <v>Analysis: full-cycle, real</v>
      </c>
      <c r="B78" s="66"/>
      <c r="C78" s="66"/>
      <c r="D78" s="66"/>
      <c r="E78" s="66"/>
      <c r="F78" s="66"/>
      <c r="G78" s="66"/>
      <c r="H78" s="66"/>
      <c r="I78" s="66"/>
      <c r="J78" s="66"/>
      <c r="K78" s="66"/>
      <c r="L78" s="66"/>
      <c r="M78" s="66"/>
      <c r="N78" s="66"/>
      <c r="O78" s="66"/>
      <c r="P78" s="66"/>
      <c r="Q78" s="66"/>
      <c r="R78" s="66"/>
      <c r="S78" s="66"/>
      <c r="T78" s="66"/>
      <c r="U78" s="66"/>
      <c r="V78" s="66"/>
      <c r="W78" s="66"/>
      <c r="X78" s="66"/>
      <c r="Y78" s="66"/>
      <c r="Z78" s="66"/>
      <c r="AA78" s="66"/>
      <c r="AB78" s="66"/>
      <c r="AC78" s="66"/>
      <c r="AD78" s="66"/>
      <c r="AE78" s="66"/>
      <c r="AF78" s="66"/>
      <c r="AG78" s="66"/>
      <c r="AH78" s="66"/>
      <c r="AI78" s="66"/>
      <c r="AJ78" s="66"/>
      <c r="AK78" s="66"/>
      <c r="AL78" s="66"/>
      <c r="AM78" s="66"/>
      <c r="AN78" s="66"/>
      <c r="AO78" s="66"/>
      <c r="AP78" s="66"/>
      <c r="AQ78" s="66"/>
      <c r="AR78" s="66"/>
      <c r="AS78" s="66"/>
      <c r="AT78" s="66"/>
      <c r="AU78" s="66"/>
      <c r="AV78" s="66"/>
      <c r="AW78" s="66"/>
      <c r="AX78" s="66"/>
    </row>
    <row r="79" spans="1:50" s="109" customFormat="1" ht="15" customHeight="1" x14ac:dyDescent="0.25">
      <c r="A79" s="106"/>
      <c r="B79" s="189" t="str">
        <f xml:space="preserve"> Translate!E$813 &amp; ": "  &amp; Inputs!F$89 &amp; ", " &amp; Inputs!F$91</f>
        <v>Cashflows: full-cycle, real</v>
      </c>
    </row>
    <row r="80" spans="1:50" s="800" customFormat="1" ht="15" customHeight="1" x14ac:dyDescent="0.25">
      <c r="E80" s="800" t="str">
        <f>ProjectCashflows!E$200</f>
        <v>Inflation index</v>
      </c>
      <c r="F80" s="800">
        <f>ProjectCashflows!F$200</f>
        <v>0</v>
      </c>
      <c r="G80" s="800" t="str">
        <f>ProjectCashflows!G$200</f>
        <v>Index</v>
      </c>
      <c r="H80" s="800" t="str">
        <f>ProjectCashflows!H$200</f>
        <v>base year is first project year</v>
      </c>
      <c r="I80" s="800">
        <f>ProjectCashflows!I$200</f>
        <v>0</v>
      </c>
      <c r="J80" s="800">
        <f>ProjectCashflows!J$200</f>
        <v>0</v>
      </c>
      <c r="K80" s="800">
        <f ca="1">ProjectCashflows!K$200</f>
        <v>1</v>
      </c>
      <c r="L80" s="800">
        <f ca="1">ProjectCashflows!L$200</f>
        <v>1.02</v>
      </c>
      <c r="M80" s="800">
        <f ca="1">ProjectCashflows!M$200</f>
        <v>1.0404</v>
      </c>
      <c r="N80" s="800">
        <f ca="1">ProjectCashflows!N$200</f>
        <v>1.0612079999999999</v>
      </c>
      <c r="O80" s="800">
        <f ca="1">ProjectCashflows!O$200</f>
        <v>1.08243216</v>
      </c>
      <c r="P80" s="800">
        <f ca="1">ProjectCashflows!P$200</f>
        <v>1.1040808032</v>
      </c>
      <c r="Q80" s="800">
        <f ca="1">ProjectCashflows!Q$200</f>
        <v>1.1261624192640001</v>
      </c>
      <c r="R80" s="800">
        <f ca="1">ProjectCashflows!R$200</f>
        <v>1.14868566764928</v>
      </c>
      <c r="S80" s="800">
        <f ca="1">ProjectCashflows!S$200</f>
        <v>1.1716593810022657</v>
      </c>
      <c r="T80" s="800">
        <f ca="1">ProjectCashflows!T$200</f>
        <v>1.1950925686223111</v>
      </c>
      <c r="U80" s="800">
        <f ca="1">ProjectCashflows!U$200</f>
        <v>1.2189944199947573</v>
      </c>
      <c r="V80" s="800">
        <f ca="1">ProjectCashflows!V$200</f>
        <v>1.2433743083946525</v>
      </c>
      <c r="W80" s="800">
        <f ca="1">ProjectCashflows!W$200</f>
        <v>1.2682417945625455</v>
      </c>
      <c r="X80" s="800">
        <f ca="1">ProjectCashflows!X$200</f>
        <v>1.2936066304537963</v>
      </c>
      <c r="Y80" s="800">
        <f ca="1">ProjectCashflows!Y$200</f>
        <v>1.3194787630628724</v>
      </c>
      <c r="Z80" s="800">
        <f ca="1">ProjectCashflows!Z$200</f>
        <v>1.3458683383241299</v>
      </c>
      <c r="AA80" s="800">
        <f ca="1">ProjectCashflows!AA$200</f>
        <v>1.3727857050906125</v>
      </c>
      <c r="AB80" s="800">
        <f ca="1">ProjectCashflows!AB$200</f>
        <v>1.4002414191924248</v>
      </c>
      <c r="AC80" s="800">
        <f ca="1">ProjectCashflows!AC$200</f>
        <v>1.4282462475762734</v>
      </c>
      <c r="AD80" s="800">
        <f ca="1">ProjectCashflows!AD$200</f>
        <v>1.4568111725277988</v>
      </c>
      <c r="AE80" s="800">
        <f ca="1">ProjectCashflows!AE$200</f>
        <v>1.4859473959783549</v>
      </c>
      <c r="AF80" s="800">
        <f ca="1">ProjectCashflows!AF$200</f>
        <v>1.5156663438979221</v>
      </c>
      <c r="AG80" s="800">
        <f ca="1">ProjectCashflows!AG$200</f>
        <v>1.5459796707758806</v>
      </c>
      <c r="AH80" s="800">
        <f ca="1">ProjectCashflows!AH$200</f>
        <v>1.5768992641913981</v>
      </c>
      <c r="AI80" s="800">
        <f ca="1">ProjectCashflows!AI$200</f>
        <v>1.6084372494752261</v>
      </c>
      <c r="AJ80" s="800">
        <f ca="1">ProjectCashflows!AJ$200</f>
        <v>1.6406059944647307</v>
      </c>
      <c r="AK80" s="800">
        <f ca="1">ProjectCashflows!AK$200</f>
        <v>1.6734181143540252</v>
      </c>
      <c r="AL80" s="800">
        <f ca="1">ProjectCashflows!AL$200</f>
        <v>1.7068864766411058</v>
      </c>
      <c r="AM80" s="800">
        <f ca="1">ProjectCashflows!AM$200</f>
        <v>1.7410242061739281</v>
      </c>
      <c r="AN80" s="800">
        <f ca="1">ProjectCashflows!AN$200</f>
        <v>1.7758446902974065</v>
      </c>
      <c r="AO80" s="800">
        <f ca="1">ProjectCashflows!AO$200</f>
        <v>1.8113615841033548</v>
      </c>
      <c r="AP80" s="800">
        <f ca="1">ProjectCashflows!AP$200</f>
        <v>1.8475888157854219</v>
      </c>
      <c r="AQ80" s="800">
        <f ca="1">ProjectCashflows!AQ$200</f>
        <v>1.8845405921011305</v>
      </c>
      <c r="AR80" s="800">
        <f ca="1">ProjectCashflows!AR$200</f>
        <v>1</v>
      </c>
      <c r="AS80" s="800">
        <f ca="1">ProjectCashflows!AS$200</f>
        <v>1</v>
      </c>
      <c r="AT80" s="800">
        <f ca="1">ProjectCashflows!AT$200</f>
        <v>1</v>
      </c>
      <c r="AU80" s="800">
        <f ca="1">ProjectCashflows!AU$200</f>
        <v>1</v>
      </c>
      <c r="AV80" s="800">
        <f ca="1">ProjectCashflows!AV$200</f>
        <v>1</v>
      </c>
      <c r="AW80" s="800">
        <f ca="1">ProjectCashflows!AW$200</f>
        <v>1</v>
      </c>
      <c r="AX80" s="800">
        <f ca="1">ProjectCashflows!AX$200</f>
        <v>1</v>
      </c>
    </row>
    <row r="81" spans="1:50" s="40" customFormat="1" ht="15" customHeight="1" x14ac:dyDescent="0.25">
      <c r="E81" s="40" t="str">
        <f xml:space="preserve"> Inputs!E$52</f>
        <v>Label for real terms cashflows</v>
      </c>
      <c r="F81" s="40" t="str">
        <f xml:space="preserve"> Inputs!F$52</f>
        <v>US$ mn 2021</v>
      </c>
      <c r="G81" s="40" t="str">
        <f xml:space="preserve"> Inputs!G$52</f>
        <v>Label</v>
      </c>
    </row>
    <row r="82" spans="1:50" s="3" customFormat="1" ht="15" customHeight="1" x14ac:dyDescent="0.25">
      <c r="A82" s="170"/>
    </row>
    <row r="83" spans="1:50" s="3" customFormat="1" ht="15" customHeight="1" x14ac:dyDescent="0.25">
      <c r="A83" s="170"/>
      <c r="B83" s="282"/>
      <c r="C83" s="50" t="str">
        <f>Translate!$E$701 &amp; ": " &amp; Inputs!F$89 &amp; ", " &amp; Inputs!F$91</f>
        <v>Project cashflows: full-cycle, real</v>
      </c>
    </row>
    <row r="84" spans="1:50" s="3" customFormat="1" ht="15" customHeight="1" x14ac:dyDescent="0.25">
      <c r="A84" s="170"/>
      <c r="E84" s="77" t="str">
        <f xml:space="preserve"> E19</f>
        <v>Oil revenues gross, after ELT</v>
      </c>
      <c r="G84" s="3" t="str">
        <f xml:space="preserve"> $F$81</f>
        <v>US$ mn 2021</v>
      </c>
      <c r="I84" s="3">
        <f ca="1" xml:space="preserve"> SUM(K84:AX84)</f>
        <v>44103.023863224538</v>
      </c>
      <c r="K84" s="3">
        <f t="shared" ref="K84:AX84" ca="1" si="10" xml:space="preserve"> K19 / K$80</f>
        <v>0</v>
      </c>
      <c r="L84" s="3">
        <f t="shared" ca="1" si="10"/>
        <v>0</v>
      </c>
      <c r="M84" s="3">
        <f t="shared" ca="1" si="10"/>
        <v>0</v>
      </c>
      <c r="N84" s="3">
        <f t="shared" ca="1" si="10"/>
        <v>0</v>
      </c>
      <c r="O84" s="3">
        <f t="shared" ca="1" si="10"/>
        <v>191.65835816431044</v>
      </c>
      <c r="P84" s="3">
        <f t="shared" ca="1" si="10"/>
        <v>1505.625</v>
      </c>
      <c r="Q84" s="3">
        <f t="shared" ca="1" si="10"/>
        <v>3011.25</v>
      </c>
      <c r="R84" s="3">
        <f t="shared" ca="1" si="10"/>
        <v>3011.25</v>
      </c>
      <c r="S84" s="3">
        <f t="shared" ca="1" si="10"/>
        <v>3011.25</v>
      </c>
      <c r="T84" s="3">
        <f t="shared" ca="1" si="10"/>
        <v>3011.25</v>
      </c>
      <c r="U84" s="3">
        <f t="shared" ca="1" si="10"/>
        <v>3011.25</v>
      </c>
      <c r="V84" s="3">
        <f t="shared" ca="1" si="10"/>
        <v>3011.25</v>
      </c>
      <c r="W84" s="3">
        <f t="shared" ca="1" si="10"/>
        <v>3011.25</v>
      </c>
      <c r="X84" s="3">
        <f t="shared" ca="1" si="10"/>
        <v>3011.25</v>
      </c>
      <c r="Y84" s="3">
        <f t="shared" ca="1" si="10"/>
        <v>3011.25</v>
      </c>
      <c r="Z84" s="3">
        <f t="shared" ca="1" si="10"/>
        <v>3011.25</v>
      </c>
      <c r="AA84" s="3">
        <f t="shared" ca="1" si="10"/>
        <v>2439.1125000000006</v>
      </c>
      <c r="AB84" s="3">
        <f t="shared" ca="1" si="10"/>
        <v>1975.6811250000005</v>
      </c>
      <c r="AC84" s="3">
        <f t="shared" ca="1" si="10"/>
        <v>1600.3017112500004</v>
      </c>
      <c r="AD84" s="3">
        <f t="shared" ca="1" si="10"/>
        <v>1296.2443861125007</v>
      </c>
      <c r="AE84" s="3">
        <f t="shared" ca="1" si="10"/>
        <v>1049.9579527511255</v>
      </c>
      <c r="AF84" s="3">
        <f t="shared" ca="1" si="10"/>
        <v>850.46594172841185</v>
      </c>
      <c r="AG84" s="3">
        <f t="shared" ca="1" si="10"/>
        <v>688.87741280001364</v>
      </c>
      <c r="AH84" s="3">
        <f t="shared" ca="1" si="10"/>
        <v>557.99070436801105</v>
      </c>
      <c r="AI84" s="3">
        <f t="shared" ca="1" si="10"/>
        <v>451.97247053808906</v>
      </c>
      <c r="AJ84" s="3">
        <f t="shared" ca="1" si="10"/>
        <v>366.09770113585205</v>
      </c>
      <c r="AK84" s="3">
        <f t="shared" ca="1" si="10"/>
        <v>296.53913792004022</v>
      </c>
      <c r="AL84" s="3">
        <f t="shared" ca="1" si="10"/>
        <v>240.19670171523254</v>
      </c>
      <c r="AM84" s="3">
        <f t="shared" ca="1" si="10"/>
        <v>194.55932838933839</v>
      </c>
      <c r="AN84" s="3">
        <f t="shared" ca="1" si="10"/>
        <v>157.5930559953641</v>
      </c>
      <c r="AO84" s="3">
        <f t="shared" ca="1" si="10"/>
        <v>127.65037535624494</v>
      </c>
      <c r="AP84" s="3">
        <f t="shared" ca="1" si="10"/>
        <v>0</v>
      </c>
      <c r="AQ84" s="3">
        <f t="shared" ca="1" si="10"/>
        <v>0</v>
      </c>
      <c r="AR84" s="3">
        <f t="shared" ca="1" si="10"/>
        <v>0</v>
      </c>
      <c r="AS84" s="3">
        <f t="shared" ca="1" si="10"/>
        <v>0</v>
      </c>
      <c r="AT84" s="3">
        <f t="shared" ca="1" si="10"/>
        <v>0</v>
      </c>
      <c r="AU84" s="3">
        <f t="shared" ca="1" si="10"/>
        <v>0</v>
      </c>
      <c r="AV84" s="3">
        <f t="shared" ca="1" si="10"/>
        <v>0</v>
      </c>
      <c r="AW84" s="3">
        <f t="shared" ca="1" si="10"/>
        <v>0</v>
      </c>
      <c r="AX84" s="3">
        <f t="shared" ca="1" si="10"/>
        <v>0</v>
      </c>
    </row>
    <row r="85" spans="1:50" s="3" customFormat="1" ht="15" customHeight="1" x14ac:dyDescent="0.25">
      <c r="A85" s="170"/>
      <c r="E85" s="77" t="str">
        <f xml:space="preserve"> E20</f>
        <v>Transport costs post-fiscal point, after ELT</v>
      </c>
      <c r="G85" s="3" t="str">
        <f xml:space="preserve"> $F$81</f>
        <v>US$ mn 2021</v>
      </c>
      <c r="I85" s="3">
        <f ca="1" xml:space="preserve"> SUM(K85:AX85)</f>
        <v>0</v>
      </c>
      <c r="K85" s="3">
        <f t="shared" ref="K85:AX85" ca="1" si="11" xml:space="preserve"> K20 / K$80</f>
        <v>0</v>
      </c>
      <c r="L85" s="3">
        <f t="shared" ca="1" si="11"/>
        <v>0</v>
      </c>
      <c r="M85" s="3">
        <f t="shared" ca="1" si="11"/>
        <v>0</v>
      </c>
      <c r="N85" s="3">
        <f t="shared" ca="1" si="11"/>
        <v>0</v>
      </c>
      <c r="O85" s="3">
        <f t="shared" ca="1" si="11"/>
        <v>0</v>
      </c>
      <c r="P85" s="3">
        <f t="shared" ca="1" si="11"/>
        <v>0</v>
      </c>
      <c r="Q85" s="3">
        <f t="shared" ca="1" si="11"/>
        <v>0</v>
      </c>
      <c r="R85" s="3">
        <f t="shared" ca="1" si="11"/>
        <v>0</v>
      </c>
      <c r="S85" s="3">
        <f t="shared" ca="1" si="11"/>
        <v>0</v>
      </c>
      <c r="T85" s="3">
        <f t="shared" ca="1" si="11"/>
        <v>0</v>
      </c>
      <c r="U85" s="3">
        <f t="shared" ca="1" si="11"/>
        <v>0</v>
      </c>
      <c r="V85" s="3">
        <f t="shared" ca="1" si="11"/>
        <v>0</v>
      </c>
      <c r="W85" s="3">
        <f t="shared" ca="1" si="11"/>
        <v>0</v>
      </c>
      <c r="X85" s="3">
        <f t="shared" ca="1" si="11"/>
        <v>0</v>
      </c>
      <c r="Y85" s="3">
        <f t="shared" ca="1" si="11"/>
        <v>0</v>
      </c>
      <c r="Z85" s="3">
        <f t="shared" ca="1" si="11"/>
        <v>0</v>
      </c>
      <c r="AA85" s="3">
        <f t="shared" ca="1" si="11"/>
        <v>0</v>
      </c>
      <c r="AB85" s="3">
        <f t="shared" ca="1" si="11"/>
        <v>0</v>
      </c>
      <c r="AC85" s="3">
        <f t="shared" ca="1" si="11"/>
        <v>0</v>
      </c>
      <c r="AD85" s="3">
        <f t="shared" ca="1" si="11"/>
        <v>0</v>
      </c>
      <c r="AE85" s="3">
        <f t="shared" ca="1" si="11"/>
        <v>0</v>
      </c>
      <c r="AF85" s="3">
        <f t="shared" ca="1" si="11"/>
        <v>0</v>
      </c>
      <c r="AG85" s="3">
        <f t="shared" ca="1" si="11"/>
        <v>0</v>
      </c>
      <c r="AH85" s="3">
        <f t="shared" ca="1" si="11"/>
        <v>0</v>
      </c>
      <c r="AI85" s="3">
        <f t="shared" ca="1" si="11"/>
        <v>0</v>
      </c>
      <c r="AJ85" s="3">
        <f t="shared" ca="1" si="11"/>
        <v>0</v>
      </c>
      <c r="AK85" s="3">
        <f t="shared" ca="1" si="11"/>
        <v>0</v>
      </c>
      <c r="AL85" s="3">
        <f t="shared" ca="1" si="11"/>
        <v>0</v>
      </c>
      <c r="AM85" s="3">
        <f t="shared" ca="1" si="11"/>
        <v>0</v>
      </c>
      <c r="AN85" s="3">
        <f t="shared" ca="1" si="11"/>
        <v>0</v>
      </c>
      <c r="AO85" s="3">
        <f t="shared" ca="1" si="11"/>
        <v>0</v>
      </c>
      <c r="AP85" s="3">
        <f t="shared" ca="1" si="11"/>
        <v>0</v>
      </c>
      <c r="AQ85" s="3">
        <f t="shared" ca="1" si="11"/>
        <v>0</v>
      </c>
      <c r="AR85" s="3">
        <f t="shared" ca="1" si="11"/>
        <v>0</v>
      </c>
      <c r="AS85" s="3">
        <f t="shared" ca="1" si="11"/>
        <v>0</v>
      </c>
      <c r="AT85" s="3">
        <f t="shared" ca="1" si="11"/>
        <v>0</v>
      </c>
      <c r="AU85" s="3">
        <f t="shared" ca="1" si="11"/>
        <v>0</v>
      </c>
      <c r="AV85" s="3">
        <f t="shared" ca="1" si="11"/>
        <v>0</v>
      </c>
      <c r="AW85" s="3">
        <f t="shared" ca="1" si="11"/>
        <v>0</v>
      </c>
      <c r="AX85" s="3">
        <f t="shared" ca="1" si="11"/>
        <v>0</v>
      </c>
    </row>
    <row r="86" spans="1:50" s="3" customFormat="1" ht="15" customHeight="1" x14ac:dyDescent="0.25">
      <c r="A86" s="170"/>
      <c r="E86" s="77" t="str">
        <f xml:space="preserve"> E21</f>
        <v>Net revenues after ELT</v>
      </c>
      <c r="G86" s="3" t="str">
        <f xml:space="preserve"> $F$81</f>
        <v>US$ mn 2021</v>
      </c>
      <c r="I86" s="3">
        <f ca="1" xml:space="preserve"> SUM(K86:AX86)</f>
        <v>44103.023863224538</v>
      </c>
      <c r="K86" s="3">
        <f t="shared" ref="K86:AX86" ca="1" si="12" xml:space="preserve"> K21 / K$80</f>
        <v>0</v>
      </c>
      <c r="L86" s="3">
        <f t="shared" ca="1" si="12"/>
        <v>0</v>
      </c>
      <c r="M86" s="3">
        <f t="shared" ca="1" si="12"/>
        <v>0</v>
      </c>
      <c r="N86" s="3">
        <f t="shared" ca="1" si="12"/>
        <v>0</v>
      </c>
      <c r="O86" s="3">
        <f t="shared" ca="1" si="12"/>
        <v>191.65835816431044</v>
      </c>
      <c r="P86" s="3">
        <f t="shared" ca="1" si="12"/>
        <v>1505.625</v>
      </c>
      <c r="Q86" s="3">
        <f t="shared" ca="1" si="12"/>
        <v>3011.25</v>
      </c>
      <c r="R86" s="3">
        <f t="shared" ca="1" si="12"/>
        <v>3011.25</v>
      </c>
      <c r="S86" s="3">
        <f t="shared" ca="1" si="12"/>
        <v>3011.25</v>
      </c>
      <c r="T86" s="3">
        <f t="shared" ca="1" si="12"/>
        <v>3011.25</v>
      </c>
      <c r="U86" s="3">
        <f t="shared" ca="1" si="12"/>
        <v>3011.25</v>
      </c>
      <c r="V86" s="3">
        <f t="shared" ca="1" si="12"/>
        <v>3011.25</v>
      </c>
      <c r="W86" s="3">
        <f t="shared" ca="1" si="12"/>
        <v>3011.25</v>
      </c>
      <c r="X86" s="3">
        <f t="shared" ca="1" si="12"/>
        <v>3011.25</v>
      </c>
      <c r="Y86" s="3">
        <f t="shared" ca="1" si="12"/>
        <v>3011.25</v>
      </c>
      <c r="Z86" s="3">
        <f t="shared" ca="1" si="12"/>
        <v>3011.25</v>
      </c>
      <c r="AA86" s="3">
        <f t="shared" ca="1" si="12"/>
        <v>2439.1125000000006</v>
      </c>
      <c r="AB86" s="3">
        <f t="shared" ca="1" si="12"/>
        <v>1975.6811250000005</v>
      </c>
      <c r="AC86" s="3">
        <f t="shared" ca="1" si="12"/>
        <v>1600.3017112500004</v>
      </c>
      <c r="AD86" s="3">
        <f t="shared" ca="1" si="12"/>
        <v>1296.2443861125007</v>
      </c>
      <c r="AE86" s="3">
        <f t="shared" ca="1" si="12"/>
        <v>1049.9579527511255</v>
      </c>
      <c r="AF86" s="3">
        <f t="shared" ca="1" si="12"/>
        <v>850.46594172841185</v>
      </c>
      <c r="AG86" s="3">
        <f t="shared" ca="1" si="12"/>
        <v>688.87741280001364</v>
      </c>
      <c r="AH86" s="3">
        <f t="shared" ca="1" si="12"/>
        <v>557.99070436801105</v>
      </c>
      <c r="AI86" s="3">
        <f t="shared" ca="1" si="12"/>
        <v>451.97247053808906</v>
      </c>
      <c r="AJ86" s="3">
        <f t="shared" ca="1" si="12"/>
        <v>366.09770113585205</v>
      </c>
      <c r="AK86" s="3">
        <f t="shared" ca="1" si="12"/>
        <v>296.53913792004022</v>
      </c>
      <c r="AL86" s="3">
        <f t="shared" ca="1" si="12"/>
        <v>240.19670171523254</v>
      </c>
      <c r="AM86" s="3">
        <f t="shared" ca="1" si="12"/>
        <v>194.55932838933839</v>
      </c>
      <c r="AN86" s="3">
        <f t="shared" ca="1" si="12"/>
        <v>157.5930559953641</v>
      </c>
      <c r="AO86" s="3">
        <f t="shared" ca="1" si="12"/>
        <v>127.65037535624494</v>
      </c>
      <c r="AP86" s="3">
        <f t="shared" ca="1" si="12"/>
        <v>0</v>
      </c>
      <c r="AQ86" s="3">
        <f t="shared" ca="1" si="12"/>
        <v>0</v>
      </c>
      <c r="AR86" s="3">
        <f t="shared" ca="1" si="12"/>
        <v>0</v>
      </c>
      <c r="AS86" s="3">
        <f t="shared" ca="1" si="12"/>
        <v>0</v>
      </c>
      <c r="AT86" s="3">
        <f t="shared" ca="1" si="12"/>
        <v>0</v>
      </c>
      <c r="AU86" s="3">
        <f t="shared" ca="1" si="12"/>
        <v>0</v>
      </c>
      <c r="AV86" s="3">
        <f t="shared" ca="1" si="12"/>
        <v>0</v>
      </c>
      <c r="AW86" s="3">
        <f t="shared" ca="1" si="12"/>
        <v>0</v>
      </c>
      <c r="AX86" s="3">
        <f t="shared" ca="1" si="12"/>
        <v>0</v>
      </c>
    </row>
    <row r="87" spans="1:50" s="3" customFormat="1" ht="15" customHeight="1" x14ac:dyDescent="0.25">
      <c r="A87" s="170"/>
    </row>
    <row r="88" spans="1:50" s="3" customFormat="1" ht="15" customHeight="1" x14ac:dyDescent="0.25">
      <c r="A88" s="170"/>
      <c r="E88" s="77" t="str">
        <f t="shared" ref="E88:E93" si="13" xml:space="preserve"> E23</f>
        <v>Exploration costs, after ELT</v>
      </c>
      <c r="G88" s="3" t="str">
        <f t="shared" ref="G88:G93" si="14" xml:space="preserve"> $F$81</f>
        <v>US$ mn 2021</v>
      </c>
      <c r="I88" s="3">
        <f t="shared" ref="I88:I93" ca="1" si="15" xml:space="preserve"> SUM(K88:AX88)</f>
        <v>420</v>
      </c>
      <c r="K88" s="3">
        <f t="shared" ref="K88:AX88" ca="1" si="16" xml:space="preserve"> K23 / K$80</f>
        <v>420</v>
      </c>
      <c r="L88" s="3">
        <f t="shared" ca="1" si="16"/>
        <v>0</v>
      </c>
      <c r="M88" s="3">
        <f t="shared" ca="1" si="16"/>
        <v>0</v>
      </c>
      <c r="N88" s="3">
        <f t="shared" ca="1" si="16"/>
        <v>0</v>
      </c>
      <c r="O88" s="3">
        <f t="shared" ca="1" si="16"/>
        <v>0</v>
      </c>
      <c r="P88" s="3">
        <f t="shared" ca="1" si="16"/>
        <v>0</v>
      </c>
      <c r="Q88" s="3">
        <f t="shared" ca="1" si="16"/>
        <v>0</v>
      </c>
      <c r="R88" s="3">
        <f t="shared" ca="1" si="16"/>
        <v>0</v>
      </c>
      <c r="S88" s="3">
        <f t="shared" ca="1" si="16"/>
        <v>0</v>
      </c>
      <c r="T88" s="3">
        <f t="shared" ca="1" si="16"/>
        <v>0</v>
      </c>
      <c r="U88" s="3">
        <f t="shared" ca="1" si="16"/>
        <v>0</v>
      </c>
      <c r="V88" s="3">
        <f t="shared" ca="1" si="16"/>
        <v>0</v>
      </c>
      <c r="W88" s="3">
        <f t="shared" ca="1" si="16"/>
        <v>0</v>
      </c>
      <c r="X88" s="3">
        <f t="shared" ca="1" si="16"/>
        <v>0</v>
      </c>
      <c r="Y88" s="3">
        <f t="shared" ca="1" si="16"/>
        <v>0</v>
      </c>
      <c r="Z88" s="3">
        <f t="shared" ca="1" si="16"/>
        <v>0</v>
      </c>
      <c r="AA88" s="3">
        <f t="shared" ca="1" si="16"/>
        <v>0</v>
      </c>
      <c r="AB88" s="3">
        <f t="shared" ca="1" si="16"/>
        <v>0</v>
      </c>
      <c r="AC88" s="3">
        <f t="shared" ca="1" si="16"/>
        <v>0</v>
      </c>
      <c r="AD88" s="3">
        <f t="shared" ca="1" si="16"/>
        <v>0</v>
      </c>
      <c r="AE88" s="3">
        <f t="shared" ca="1" si="16"/>
        <v>0</v>
      </c>
      <c r="AF88" s="3">
        <f t="shared" ca="1" si="16"/>
        <v>0</v>
      </c>
      <c r="AG88" s="3">
        <f t="shared" ca="1" si="16"/>
        <v>0</v>
      </c>
      <c r="AH88" s="3">
        <f t="shared" ca="1" si="16"/>
        <v>0</v>
      </c>
      <c r="AI88" s="3">
        <f t="shared" ca="1" si="16"/>
        <v>0</v>
      </c>
      <c r="AJ88" s="3">
        <f t="shared" ca="1" si="16"/>
        <v>0</v>
      </c>
      <c r="AK88" s="3">
        <f t="shared" ca="1" si="16"/>
        <v>0</v>
      </c>
      <c r="AL88" s="3">
        <f t="shared" ca="1" si="16"/>
        <v>0</v>
      </c>
      <c r="AM88" s="3">
        <f t="shared" ca="1" si="16"/>
        <v>0</v>
      </c>
      <c r="AN88" s="3">
        <f t="shared" ca="1" si="16"/>
        <v>0</v>
      </c>
      <c r="AO88" s="3">
        <f t="shared" ca="1" si="16"/>
        <v>0</v>
      </c>
      <c r="AP88" s="3">
        <f t="shared" ca="1" si="16"/>
        <v>0</v>
      </c>
      <c r="AQ88" s="3">
        <f t="shared" ca="1" si="16"/>
        <v>0</v>
      </c>
      <c r="AR88" s="3">
        <f t="shared" ca="1" si="16"/>
        <v>0</v>
      </c>
      <c r="AS88" s="3">
        <f t="shared" ca="1" si="16"/>
        <v>0</v>
      </c>
      <c r="AT88" s="3">
        <f t="shared" ca="1" si="16"/>
        <v>0</v>
      </c>
      <c r="AU88" s="3">
        <f t="shared" ca="1" si="16"/>
        <v>0</v>
      </c>
      <c r="AV88" s="3">
        <f t="shared" ca="1" si="16"/>
        <v>0</v>
      </c>
      <c r="AW88" s="3">
        <f t="shared" ca="1" si="16"/>
        <v>0</v>
      </c>
      <c r="AX88" s="3">
        <f t="shared" ca="1" si="16"/>
        <v>0</v>
      </c>
    </row>
    <row r="89" spans="1:50" s="3" customFormat="1" ht="15" customHeight="1" x14ac:dyDescent="0.25">
      <c r="A89" s="170"/>
      <c r="E89" s="77" t="str">
        <f t="shared" si="13"/>
        <v>Development costs, after ELT</v>
      </c>
      <c r="G89" s="3" t="str">
        <f t="shared" si="14"/>
        <v>US$ mn 2021</v>
      </c>
      <c r="I89" s="3">
        <f t="shared" ca="1" si="15"/>
        <v>9050</v>
      </c>
      <c r="K89" s="3">
        <f t="shared" ref="K89:AX89" ca="1" si="17" xml:space="preserve"> K24 / K$80</f>
        <v>0</v>
      </c>
      <c r="L89" s="3">
        <f t="shared" ca="1" si="17"/>
        <v>50</v>
      </c>
      <c r="M89" s="3">
        <f t="shared" ca="1" si="17"/>
        <v>300</v>
      </c>
      <c r="N89" s="3">
        <f t="shared" ca="1" si="17"/>
        <v>1200</v>
      </c>
      <c r="O89" s="3">
        <f t="shared" ca="1" si="17"/>
        <v>1200</v>
      </c>
      <c r="P89" s="3">
        <f t="shared" ca="1" si="17"/>
        <v>2100</v>
      </c>
      <c r="Q89" s="3">
        <f t="shared" ca="1" si="17"/>
        <v>1100</v>
      </c>
      <c r="R89" s="3">
        <f t="shared" ca="1" si="17"/>
        <v>449.99999999999994</v>
      </c>
      <c r="S89" s="3">
        <f t="shared" ca="1" si="17"/>
        <v>250</v>
      </c>
      <c r="T89" s="3">
        <f t="shared" ca="1" si="17"/>
        <v>250</v>
      </c>
      <c r="U89" s="3">
        <f t="shared" ca="1" si="17"/>
        <v>250.00000000000003</v>
      </c>
      <c r="V89" s="3">
        <f t="shared" ca="1" si="17"/>
        <v>250</v>
      </c>
      <c r="W89" s="3">
        <f t="shared" ca="1" si="17"/>
        <v>250</v>
      </c>
      <c r="X89" s="3">
        <f t="shared" ca="1" si="17"/>
        <v>250</v>
      </c>
      <c r="Y89" s="3">
        <f t="shared" ca="1" si="17"/>
        <v>250</v>
      </c>
      <c r="Z89" s="3">
        <f t="shared" ca="1" si="17"/>
        <v>249.99999999999997</v>
      </c>
      <c r="AA89" s="3">
        <f t="shared" ca="1" si="17"/>
        <v>250</v>
      </c>
      <c r="AB89" s="3">
        <f t="shared" ca="1" si="17"/>
        <v>0</v>
      </c>
      <c r="AC89" s="3">
        <f t="shared" ca="1" si="17"/>
        <v>0</v>
      </c>
      <c r="AD89" s="3">
        <f t="shared" ca="1" si="17"/>
        <v>200</v>
      </c>
      <c r="AE89" s="3">
        <f t="shared" ca="1" si="17"/>
        <v>200</v>
      </c>
      <c r="AF89" s="3">
        <f t="shared" ca="1" si="17"/>
        <v>0</v>
      </c>
      <c r="AG89" s="3">
        <f t="shared" ca="1" si="17"/>
        <v>0</v>
      </c>
      <c r="AH89" s="3">
        <f t="shared" ca="1" si="17"/>
        <v>0</v>
      </c>
      <c r="AI89" s="3">
        <f t="shared" ca="1" si="17"/>
        <v>0</v>
      </c>
      <c r="AJ89" s="3">
        <f t="shared" ca="1" si="17"/>
        <v>0</v>
      </c>
      <c r="AK89" s="3">
        <f t="shared" ca="1" si="17"/>
        <v>0</v>
      </c>
      <c r="AL89" s="3">
        <f t="shared" ca="1" si="17"/>
        <v>0</v>
      </c>
      <c r="AM89" s="3">
        <f t="shared" ca="1" si="17"/>
        <v>0</v>
      </c>
      <c r="AN89" s="3">
        <f t="shared" ca="1" si="17"/>
        <v>0</v>
      </c>
      <c r="AO89" s="3">
        <f t="shared" ca="1" si="17"/>
        <v>0</v>
      </c>
      <c r="AP89" s="3">
        <f t="shared" ca="1" si="17"/>
        <v>0</v>
      </c>
      <c r="AQ89" s="3">
        <f t="shared" ca="1" si="17"/>
        <v>0</v>
      </c>
      <c r="AR89" s="3">
        <f t="shared" ca="1" si="17"/>
        <v>0</v>
      </c>
      <c r="AS89" s="3">
        <f t="shared" ca="1" si="17"/>
        <v>0</v>
      </c>
      <c r="AT89" s="3">
        <f t="shared" ca="1" si="17"/>
        <v>0</v>
      </c>
      <c r="AU89" s="3">
        <f t="shared" ca="1" si="17"/>
        <v>0</v>
      </c>
      <c r="AV89" s="3">
        <f t="shared" ca="1" si="17"/>
        <v>0</v>
      </c>
      <c r="AW89" s="3">
        <f t="shared" ca="1" si="17"/>
        <v>0</v>
      </c>
      <c r="AX89" s="3">
        <f t="shared" ca="1" si="17"/>
        <v>0</v>
      </c>
    </row>
    <row r="90" spans="1:50" s="3" customFormat="1" ht="15" customHeight="1" x14ac:dyDescent="0.25">
      <c r="A90" s="170"/>
      <c r="E90" s="77" t="str">
        <f t="shared" si="13"/>
        <v>Replacement capital costs, after ELT</v>
      </c>
      <c r="G90" s="3" t="str">
        <f t="shared" si="14"/>
        <v>US$ mn 2021</v>
      </c>
      <c r="I90" s="3">
        <f t="shared" ca="1" si="15"/>
        <v>0</v>
      </c>
      <c r="K90" s="3">
        <f t="shared" ref="K90:AX90" ca="1" si="18" xml:space="preserve"> K25 / K$80</f>
        <v>0</v>
      </c>
      <c r="L90" s="3">
        <f t="shared" ca="1" si="18"/>
        <v>0</v>
      </c>
      <c r="M90" s="3">
        <f t="shared" ca="1" si="18"/>
        <v>0</v>
      </c>
      <c r="N90" s="3">
        <f t="shared" ca="1" si="18"/>
        <v>0</v>
      </c>
      <c r="O90" s="3">
        <f t="shared" ca="1" si="18"/>
        <v>0</v>
      </c>
      <c r="P90" s="3">
        <f t="shared" ca="1" si="18"/>
        <v>0</v>
      </c>
      <c r="Q90" s="3">
        <f t="shared" ca="1" si="18"/>
        <v>0</v>
      </c>
      <c r="R90" s="3">
        <f t="shared" ca="1" si="18"/>
        <v>0</v>
      </c>
      <c r="S90" s="3">
        <f t="shared" ca="1" si="18"/>
        <v>0</v>
      </c>
      <c r="T90" s="3">
        <f t="shared" ca="1" si="18"/>
        <v>0</v>
      </c>
      <c r="U90" s="3">
        <f t="shared" ca="1" si="18"/>
        <v>0</v>
      </c>
      <c r="V90" s="3">
        <f t="shared" ca="1" si="18"/>
        <v>0</v>
      </c>
      <c r="W90" s="3">
        <f t="shared" ca="1" si="18"/>
        <v>0</v>
      </c>
      <c r="X90" s="3">
        <f t="shared" ca="1" si="18"/>
        <v>0</v>
      </c>
      <c r="Y90" s="3">
        <f t="shared" ca="1" si="18"/>
        <v>0</v>
      </c>
      <c r="Z90" s="3">
        <f t="shared" ca="1" si="18"/>
        <v>0</v>
      </c>
      <c r="AA90" s="3">
        <f t="shared" ca="1" si="18"/>
        <v>0</v>
      </c>
      <c r="AB90" s="3">
        <f t="shared" ca="1" si="18"/>
        <v>0</v>
      </c>
      <c r="AC90" s="3">
        <f t="shared" ca="1" si="18"/>
        <v>0</v>
      </c>
      <c r="AD90" s="3">
        <f t="shared" ca="1" si="18"/>
        <v>0</v>
      </c>
      <c r="AE90" s="3">
        <f t="shared" ca="1" si="18"/>
        <v>0</v>
      </c>
      <c r="AF90" s="3">
        <f t="shared" ca="1" si="18"/>
        <v>0</v>
      </c>
      <c r="AG90" s="3">
        <f t="shared" ca="1" si="18"/>
        <v>0</v>
      </c>
      <c r="AH90" s="3">
        <f t="shared" ca="1" si="18"/>
        <v>0</v>
      </c>
      <c r="AI90" s="3">
        <f t="shared" ca="1" si="18"/>
        <v>0</v>
      </c>
      <c r="AJ90" s="3">
        <f t="shared" ca="1" si="18"/>
        <v>0</v>
      </c>
      <c r="AK90" s="3">
        <f t="shared" ca="1" si="18"/>
        <v>0</v>
      </c>
      <c r="AL90" s="3">
        <f t="shared" ca="1" si="18"/>
        <v>0</v>
      </c>
      <c r="AM90" s="3">
        <f t="shared" ca="1" si="18"/>
        <v>0</v>
      </c>
      <c r="AN90" s="3">
        <f t="shared" ca="1" si="18"/>
        <v>0</v>
      </c>
      <c r="AO90" s="3">
        <f t="shared" ca="1" si="18"/>
        <v>0</v>
      </c>
      <c r="AP90" s="3">
        <f t="shared" ca="1" si="18"/>
        <v>0</v>
      </c>
      <c r="AQ90" s="3">
        <f t="shared" ca="1" si="18"/>
        <v>0</v>
      </c>
      <c r="AR90" s="3">
        <f t="shared" ca="1" si="18"/>
        <v>0</v>
      </c>
      <c r="AS90" s="3">
        <f t="shared" ca="1" si="18"/>
        <v>0</v>
      </c>
      <c r="AT90" s="3">
        <f t="shared" ca="1" si="18"/>
        <v>0</v>
      </c>
      <c r="AU90" s="3">
        <f t="shared" ca="1" si="18"/>
        <v>0</v>
      </c>
      <c r="AV90" s="3">
        <f t="shared" ca="1" si="18"/>
        <v>0</v>
      </c>
      <c r="AW90" s="3">
        <f t="shared" ca="1" si="18"/>
        <v>0</v>
      </c>
      <c r="AX90" s="3">
        <f t="shared" ca="1" si="18"/>
        <v>0</v>
      </c>
    </row>
    <row r="91" spans="1:50" s="77" customFormat="1" ht="15" customHeight="1" x14ac:dyDescent="0.25">
      <c r="E91" s="77" t="str">
        <f t="shared" si="13"/>
        <v>Operating costs, after ELT</v>
      </c>
      <c r="G91" s="77" t="str">
        <f t="shared" si="14"/>
        <v>US$ mn 2021</v>
      </c>
      <c r="I91" s="77">
        <f t="shared" ca="1" si="15"/>
        <v>4601</v>
      </c>
      <c r="K91" s="77">
        <f t="shared" ref="K91:AX91" ca="1" si="19" xml:space="preserve"> K26 / K$80</f>
        <v>0</v>
      </c>
      <c r="L91" s="77">
        <f t="shared" ca="1" si="19"/>
        <v>0</v>
      </c>
      <c r="M91" s="77">
        <f t="shared" ca="1" si="19"/>
        <v>0</v>
      </c>
      <c r="N91" s="77">
        <f t="shared" ca="1" si="19"/>
        <v>0</v>
      </c>
      <c r="O91" s="77">
        <f t="shared" ca="1" si="19"/>
        <v>50</v>
      </c>
      <c r="P91" s="77">
        <f t="shared" ca="1" si="19"/>
        <v>180</v>
      </c>
      <c r="Q91" s="77">
        <f t="shared" ca="1" si="19"/>
        <v>260</v>
      </c>
      <c r="R91" s="77">
        <f t="shared" ca="1" si="19"/>
        <v>260</v>
      </c>
      <c r="S91" s="77">
        <f t="shared" ca="1" si="19"/>
        <v>260</v>
      </c>
      <c r="T91" s="77">
        <f t="shared" ca="1" si="19"/>
        <v>260</v>
      </c>
      <c r="U91" s="77">
        <f t="shared" ca="1" si="19"/>
        <v>260</v>
      </c>
      <c r="V91" s="77">
        <f t="shared" ca="1" si="19"/>
        <v>260</v>
      </c>
      <c r="W91" s="77">
        <f t="shared" ca="1" si="19"/>
        <v>260</v>
      </c>
      <c r="X91" s="77">
        <f t="shared" ca="1" si="19"/>
        <v>260</v>
      </c>
      <c r="Y91" s="77">
        <f t="shared" ca="1" si="19"/>
        <v>260</v>
      </c>
      <c r="Z91" s="77">
        <f t="shared" ca="1" si="19"/>
        <v>260</v>
      </c>
      <c r="AA91" s="77">
        <f t="shared" ca="1" si="19"/>
        <v>260</v>
      </c>
      <c r="AB91" s="77">
        <f t="shared" ca="1" si="19"/>
        <v>260</v>
      </c>
      <c r="AC91" s="77">
        <f t="shared" ca="1" si="19"/>
        <v>150</v>
      </c>
      <c r="AD91" s="77">
        <f t="shared" ca="1" si="19"/>
        <v>140</v>
      </c>
      <c r="AE91" s="77">
        <f t="shared" ca="1" si="19"/>
        <v>120.00000000000001</v>
      </c>
      <c r="AF91" s="77">
        <f t="shared" ca="1" si="19"/>
        <v>110.99999999999999</v>
      </c>
      <c r="AG91" s="77">
        <f t="shared" ca="1" si="19"/>
        <v>100</v>
      </c>
      <c r="AH91" s="77">
        <f t="shared" ca="1" si="19"/>
        <v>95</v>
      </c>
      <c r="AI91" s="77">
        <f t="shared" ca="1" si="19"/>
        <v>90</v>
      </c>
      <c r="AJ91" s="77">
        <f t="shared" ca="1" si="19"/>
        <v>85.000000000000014</v>
      </c>
      <c r="AK91" s="77">
        <f t="shared" ca="1" si="19"/>
        <v>80</v>
      </c>
      <c r="AL91" s="77">
        <f t="shared" ca="1" si="19"/>
        <v>75</v>
      </c>
      <c r="AM91" s="77">
        <f t="shared" ca="1" si="19"/>
        <v>70</v>
      </c>
      <c r="AN91" s="77">
        <f t="shared" ca="1" si="19"/>
        <v>70</v>
      </c>
      <c r="AO91" s="77">
        <f t="shared" ca="1" si="19"/>
        <v>65</v>
      </c>
      <c r="AP91" s="77">
        <f t="shared" ca="1" si="19"/>
        <v>0</v>
      </c>
      <c r="AQ91" s="77">
        <f t="shared" ca="1" si="19"/>
        <v>0</v>
      </c>
      <c r="AR91" s="77">
        <f t="shared" ca="1" si="19"/>
        <v>0</v>
      </c>
      <c r="AS91" s="77">
        <f t="shared" ca="1" si="19"/>
        <v>0</v>
      </c>
      <c r="AT91" s="77">
        <f t="shared" ca="1" si="19"/>
        <v>0</v>
      </c>
      <c r="AU91" s="77">
        <f t="shared" ca="1" si="19"/>
        <v>0</v>
      </c>
      <c r="AV91" s="77">
        <f t="shared" ca="1" si="19"/>
        <v>0</v>
      </c>
      <c r="AW91" s="77">
        <f t="shared" ca="1" si="19"/>
        <v>0</v>
      </c>
      <c r="AX91" s="77">
        <f t="shared" ca="1" si="19"/>
        <v>0</v>
      </c>
    </row>
    <row r="92" spans="1:50" s="3" customFormat="1" ht="15" customHeight="1" x14ac:dyDescent="0.25">
      <c r="A92" s="170"/>
      <c r="E92" s="77" t="str">
        <f t="shared" si="13"/>
        <v>Decommissioning costs, after ELT</v>
      </c>
      <c r="G92" s="3" t="str">
        <f t="shared" si="14"/>
        <v>US$ mn 2021</v>
      </c>
      <c r="I92" s="3">
        <f t="shared" ca="1" si="15"/>
        <v>750</v>
      </c>
      <c r="K92" s="3">
        <f t="shared" ref="K92:AX92" ca="1" si="20" xml:space="preserve"> K27 / K$80</f>
        <v>0</v>
      </c>
      <c r="L92" s="3">
        <f t="shared" ca="1" si="20"/>
        <v>0</v>
      </c>
      <c r="M92" s="3">
        <f t="shared" ca="1" si="20"/>
        <v>0</v>
      </c>
      <c r="N92" s="3">
        <f t="shared" ca="1" si="20"/>
        <v>0</v>
      </c>
      <c r="O92" s="3">
        <f t="shared" ca="1" si="20"/>
        <v>0</v>
      </c>
      <c r="P92" s="3">
        <f t="shared" ca="1" si="20"/>
        <v>0</v>
      </c>
      <c r="Q92" s="3">
        <f t="shared" ca="1" si="20"/>
        <v>0</v>
      </c>
      <c r="R92" s="3">
        <f t="shared" ca="1" si="20"/>
        <v>0</v>
      </c>
      <c r="S92" s="3">
        <f t="shared" ca="1" si="20"/>
        <v>0</v>
      </c>
      <c r="T92" s="3">
        <f t="shared" ca="1" si="20"/>
        <v>0</v>
      </c>
      <c r="U92" s="3">
        <f t="shared" ca="1" si="20"/>
        <v>0</v>
      </c>
      <c r="V92" s="3">
        <f t="shared" ca="1" si="20"/>
        <v>0</v>
      </c>
      <c r="W92" s="3">
        <f t="shared" ca="1" si="20"/>
        <v>0</v>
      </c>
      <c r="X92" s="3">
        <f t="shared" ca="1" si="20"/>
        <v>0</v>
      </c>
      <c r="Y92" s="3">
        <f t="shared" ca="1" si="20"/>
        <v>0</v>
      </c>
      <c r="Z92" s="3">
        <f t="shared" ca="1" si="20"/>
        <v>0</v>
      </c>
      <c r="AA92" s="3">
        <f t="shared" ca="1" si="20"/>
        <v>0</v>
      </c>
      <c r="AB92" s="3">
        <f t="shared" ca="1" si="20"/>
        <v>0</v>
      </c>
      <c r="AC92" s="3">
        <f t="shared" ca="1" si="20"/>
        <v>0</v>
      </c>
      <c r="AD92" s="3">
        <f t="shared" ca="1" si="20"/>
        <v>0</v>
      </c>
      <c r="AE92" s="3">
        <f t="shared" ca="1" si="20"/>
        <v>0</v>
      </c>
      <c r="AF92" s="3">
        <f t="shared" ca="1" si="20"/>
        <v>0</v>
      </c>
      <c r="AG92" s="3">
        <f t="shared" ca="1" si="20"/>
        <v>0</v>
      </c>
      <c r="AH92" s="3">
        <f t="shared" ca="1" si="20"/>
        <v>0</v>
      </c>
      <c r="AI92" s="3">
        <f t="shared" ca="1" si="20"/>
        <v>0</v>
      </c>
      <c r="AJ92" s="3">
        <f t="shared" ca="1" si="20"/>
        <v>0</v>
      </c>
      <c r="AK92" s="3">
        <f t="shared" ca="1" si="20"/>
        <v>0</v>
      </c>
      <c r="AL92" s="3">
        <f t="shared" ca="1" si="20"/>
        <v>250</v>
      </c>
      <c r="AM92" s="3">
        <f t="shared" ca="1" si="20"/>
        <v>0</v>
      </c>
      <c r="AN92" s="3">
        <f t="shared" ca="1" si="20"/>
        <v>0</v>
      </c>
      <c r="AO92" s="3">
        <f t="shared" ca="1" si="20"/>
        <v>0</v>
      </c>
      <c r="AP92" s="3">
        <f t="shared" ca="1" si="20"/>
        <v>250</v>
      </c>
      <c r="AQ92" s="3">
        <f t="shared" ca="1" si="20"/>
        <v>250</v>
      </c>
      <c r="AR92" s="3">
        <f t="shared" ca="1" si="20"/>
        <v>0</v>
      </c>
      <c r="AS92" s="3">
        <f t="shared" ca="1" si="20"/>
        <v>0</v>
      </c>
      <c r="AT92" s="3">
        <f t="shared" ca="1" si="20"/>
        <v>0</v>
      </c>
      <c r="AU92" s="3">
        <f t="shared" ca="1" si="20"/>
        <v>0</v>
      </c>
      <c r="AV92" s="3">
        <f t="shared" ca="1" si="20"/>
        <v>0</v>
      </c>
      <c r="AW92" s="3">
        <f t="shared" ca="1" si="20"/>
        <v>0</v>
      </c>
      <c r="AX92" s="3">
        <f t="shared" ca="1" si="20"/>
        <v>0</v>
      </c>
    </row>
    <row r="93" spans="1:50" s="3" customFormat="1" ht="15" customHeight="1" x14ac:dyDescent="0.25">
      <c r="A93" s="170"/>
      <c r="E93" s="77" t="str">
        <f t="shared" si="13"/>
        <v>Project costs</v>
      </c>
      <c r="G93" s="3" t="str">
        <f t="shared" si="14"/>
        <v>US$ mn 2021</v>
      </c>
      <c r="I93" s="3">
        <f t="shared" ca="1" si="15"/>
        <v>14821</v>
      </c>
      <c r="K93" s="3">
        <f t="shared" ref="K93:AX93" ca="1" si="21" xml:space="preserve"> K28 / K$80</f>
        <v>420</v>
      </c>
      <c r="L93" s="3">
        <f t="shared" ca="1" si="21"/>
        <v>50</v>
      </c>
      <c r="M93" s="3">
        <f t="shared" ca="1" si="21"/>
        <v>300</v>
      </c>
      <c r="N93" s="3">
        <f t="shared" ca="1" si="21"/>
        <v>1200</v>
      </c>
      <c r="O93" s="3">
        <f t="shared" ca="1" si="21"/>
        <v>1250</v>
      </c>
      <c r="P93" s="3">
        <f t="shared" ca="1" si="21"/>
        <v>2280</v>
      </c>
      <c r="Q93" s="3">
        <f t="shared" ca="1" si="21"/>
        <v>1360</v>
      </c>
      <c r="R93" s="3">
        <f t="shared" ca="1" si="21"/>
        <v>710</v>
      </c>
      <c r="S93" s="3">
        <f t="shared" ca="1" si="21"/>
        <v>510</v>
      </c>
      <c r="T93" s="3">
        <f t="shared" ca="1" si="21"/>
        <v>509.99999999999994</v>
      </c>
      <c r="U93" s="3">
        <f t="shared" ca="1" si="21"/>
        <v>510</v>
      </c>
      <c r="V93" s="3">
        <f t="shared" ca="1" si="21"/>
        <v>510</v>
      </c>
      <c r="W93" s="3">
        <f t="shared" ca="1" si="21"/>
        <v>510</v>
      </c>
      <c r="X93" s="3">
        <f t="shared" ca="1" si="21"/>
        <v>510</v>
      </c>
      <c r="Y93" s="3">
        <f t="shared" ca="1" si="21"/>
        <v>510</v>
      </c>
      <c r="Z93" s="3">
        <f t="shared" ca="1" si="21"/>
        <v>510</v>
      </c>
      <c r="AA93" s="3">
        <f t="shared" ca="1" si="21"/>
        <v>510</v>
      </c>
      <c r="AB93" s="3">
        <f t="shared" ca="1" si="21"/>
        <v>260</v>
      </c>
      <c r="AC93" s="3">
        <f t="shared" ca="1" si="21"/>
        <v>150</v>
      </c>
      <c r="AD93" s="3">
        <f t="shared" ca="1" si="21"/>
        <v>340</v>
      </c>
      <c r="AE93" s="3">
        <f t="shared" ca="1" si="21"/>
        <v>320</v>
      </c>
      <c r="AF93" s="3">
        <f t="shared" ca="1" si="21"/>
        <v>110.99999999999999</v>
      </c>
      <c r="AG93" s="3">
        <f t="shared" ca="1" si="21"/>
        <v>100</v>
      </c>
      <c r="AH93" s="3">
        <f t="shared" ca="1" si="21"/>
        <v>95</v>
      </c>
      <c r="AI93" s="3">
        <f t="shared" ca="1" si="21"/>
        <v>90</v>
      </c>
      <c r="AJ93" s="3">
        <f t="shared" ca="1" si="21"/>
        <v>85.000000000000014</v>
      </c>
      <c r="AK93" s="3">
        <f t="shared" ca="1" si="21"/>
        <v>80</v>
      </c>
      <c r="AL93" s="3">
        <f t="shared" ca="1" si="21"/>
        <v>325.00000000000006</v>
      </c>
      <c r="AM93" s="3">
        <f t="shared" ca="1" si="21"/>
        <v>70</v>
      </c>
      <c r="AN93" s="3">
        <f t="shared" ca="1" si="21"/>
        <v>70</v>
      </c>
      <c r="AO93" s="3">
        <f t="shared" ca="1" si="21"/>
        <v>65</v>
      </c>
      <c r="AP93" s="3">
        <f t="shared" ca="1" si="21"/>
        <v>250</v>
      </c>
      <c r="AQ93" s="3">
        <f t="shared" ca="1" si="21"/>
        <v>250</v>
      </c>
      <c r="AR93" s="3">
        <f t="shared" ca="1" si="21"/>
        <v>0</v>
      </c>
      <c r="AS93" s="3">
        <f t="shared" ca="1" si="21"/>
        <v>0</v>
      </c>
      <c r="AT93" s="3">
        <f t="shared" ca="1" si="21"/>
        <v>0</v>
      </c>
      <c r="AU93" s="3">
        <f t="shared" ca="1" si="21"/>
        <v>0</v>
      </c>
      <c r="AV93" s="3">
        <f t="shared" ca="1" si="21"/>
        <v>0</v>
      </c>
      <c r="AW93" s="3">
        <f t="shared" ca="1" si="21"/>
        <v>0</v>
      </c>
      <c r="AX93" s="3">
        <f t="shared" ca="1" si="21"/>
        <v>0</v>
      </c>
    </row>
    <row r="94" spans="1:50" s="3" customFormat="1" ht="15" customHeight="1" x14ac:dyDescent="0.25">
      <c r="A94" s="170"/>
    </row>
    <row r="95" spans="1:50" s="3" customFormat="1" ht="15" customHeight="1" x14ac:dyDescent="0.25">
      <c r="A95" s="170"/>
      <c r="E95" s="77" t="str">
        <f xml:space="preserve"> E30</f>
        <v>Cashflow before decommissioning fund</v>
      </c>
      <c r="G95" s="3" t="str">
        <f xml:space="preserve"> $F$81</f>
        <v>US$ mn 2021</v>
      </c>
      <c r="I95" s="3">
        <f ca="1" xml:space="preserve"> SUM(K95:AX95)</f>
        <v>29282.023863224542</v>
      </c>
      <c r="K95" s="3">
        <f t="shared" ref="K95:AX95" ca="1" si="22" xml:space="preserve"> K30 / K$80</f>
        <v>-420</v>
      </c>
      <c r="L95" s="3">
        <f t="shared" ca="1" si="22"/>
        <v>-50</v>
      </c>
      <c r="M95" s="3">
        <f t="shared" ca="1" si="22"/>
        <v>-300</v>
      </c>
      <c r="N95" s="3">
        <f t="shared" ca="1" si="22"/>
        <v>-1200</v>
      </c>
      <c r="O95" s="3">
        <f t="shared" ca="1" si="22"/>
        <v>-1058.3416418356894</v>
      </c>
      <c r="P95" s="3">
        <f t="shared" ca="1" si="22"/>
        <v>-774.37500000000011</v>
      </c>
      <c r="Q95" s="3">
        <f t="shared" ca="1" si="22"/>
        <v>1651.2500000000002</v>
      </c>
      <c r="R95" s="3">
        <f t="shared" ca="1" si="22"/>
        <v>2301.25</v>
      </c>
      <c r="S95" s="3">
        <f t="shared" ca="1" si="22"/>
        <v>2501.25</v>
      </c>
      <c r="T95" s="3">
        <f t="shared" ca="1" si="22"/>
        <v>2501.2500000000005</v>
      </c>
      <c r="U95" s="3">
        <f t="shared" ca="1" si="22"/>
        <v>2501.2499999999995</v>
      </c>
      <c r="V95" s="3">
        <f t="shared" ca="1" si="22"/>
        <v>2501.25</v>
      </c>
      <c r="W95" s="3">
        <f t="shared" ca="1" si="22"/>
        <v>2501.25</v>
      </c>
      <c r="X95" s="3">
        <f t="shared" ca="1" si="22"/>
        <v>2501.25</v>
      </c>
      <c r="Y95" s="3">
        <f t="shared" ca="1" si="22"/>
        <v>2501.25</v>
      </c>
      <c r="Z95" s="3">
        <f t="shared" ca="1" si="22"/>
        <v>2501.25</v>
      </c>
      <c r="AA95" s="3">
        <f t="shared" ca="1" si="22"/>
        <v>1929.1125000000006</v>
      </c>
      <c r="AB95" s="3">
        <f t="shared" ca="1" si="22"/>
        <v>1715.6811250000007</v>
      </c>
      <c r="AC95" s="3">
        <f t="shared" ca="1" si="22"/>
        <v>1450.3017112500004</v>
      </c>
      <c r="AD95" s="3">
        <f t="shared" ca="1" si="22"/>
        <v>956.24438611250082</v>
      </c>
      <c r="AE95" s="3">
        <f t="shared" ca="1" si="22"/>
        <v>729.9579527511255</v>
      </c>
      <c r="AF95" s="3">
        <f t="shared" ca="1" si="22"/>
        <v>739.46594172841185</v>
      </c>
      <c r="AG95" s="3">
        <f t="shared" ca="1" si="22"/>
        <v>588.87741280001364</v>
      </c>
      <c r="AH95" s="3">
        <f t="shared" ca="1" si="22"/>
        <v>462.99070436801105</v>
      </c>
      <c r="AI95" s="3">
        <f t="shared" ca="1" si="22"/>
        <v>361.972470538089</v>
      </c>
      <c r="AJ95" s="3">
        <f t="shared" ca="1" si="22"/>
        <v>281.09770113585205</v>
      </c>
      <c r="AK95" s="3">
        <f t="shared" ca="1" si="22"/>
        <v>216.53913792004025</v>
      </c>
      <c r="AL95" s="3">
        <f t="shared" ca="1" si="22"/>
        <v>-84.803298284767507</v>
      </c>
      <c r="AM95" s="3">
        <f t="shared" ca="1" si="22"/>
        <v>124.55932838933838</v>
      </c>
      <c r="AN95" s="3">
        <f t="shared" ca="1" si="22"/>
        <v>87.593055995364097</v>
      </c>
      <c r="AO95" s="3">
        <f t="shared" ca="1" si="22"/>
        <v>62.650375356244943</v>
      </c>
      <c r="AP95" s="3">
        <f t="shared" ca="1" si="22"/>
        <v>-250</v>
      </c>
      <c r="AQ95" s="3">
        <f t="shared" ca="1" si="22"/>
        <v>-250</v>
      </c>
      <c r="AR95" s="3">
        <f t="shared" ca="1" si="22"/>
        <v>0</v>
      </c>
      <c r="AS95" s="3">
        <f t="shared" ca="1" si="22"/>
        <v>0</v>
      </c>
      <c r="AT95" s="3">
        <f t="shared" ca="1" si="22"/>
        <v>0</v>
      </c>
      <c r="AU95" s="3">
        <f t="shared" ca="1" si="22"/>
        <v>0</v>
      </c>
      <c r="AV95" s="3">
        <f t="shared" ca="1" si="22"/>
        <v>0</v>
      </c>
      <c r="AW95" s="3">
        <f t="shared" ca="1" si="22"/>
        <v>0</v>
      </c>
      <c r="AX95" s="3">
        <f t="shared" ca="1" si="22"/>
        <v>0</v>
      </c>
    </row>
    <row r="96" spans="1:50" s="109" customFormat="1" ht="15" customHeight="1" x14ac:dyDescent="0.25">
      <c r="A96" s="106"/>
      <c r="B96" s="168"/>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row>
    <row r="97" spans="1:50" s="191" customFormat="1" ht="15" customHeight="1" x14ac:dyDescent="0.25">
      <c r="B97" s="192"/>
      <c r="E97" s="257" t="str">
        <f>Translate!E$601 &amp; ": " &amp; E84</f>
        <v>Total: Oil revenues gross, after ELT</v>
      </c>
      <c r="F97" s="77">
        <f ca="1" xml:space="preserve"> SUM(K84:AX84)</f>
        <v>44103.023863224538</v>
      </c>
      <c r="G97" s="257" t="str">
        <f xml:space="preserve"> G84</f>
        <v>US$ mn 2021</v>
      </c>
      <c r="H97" s="77"/>
      <c r="I97" s="77"/>
      <c r="J97" s="77"/>
      <c r="K97" s="77"/>
      <c r="L97" s="77"/>
      <c r="M97" s="77"/>
      <c r="N97" s="77"/>
      <c r="O97" s="77"/>
      <c r="P97" s="77"/>
      <c r="Q97" s="77"/>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77"/>
      <c r="AS97" s="77"/>
      <c r="AT97" s="77"/>
      <c r="AU97" s="77"/>
      <c r="AV97" s="77"/>
      <c r="AW97" s="77"/>
      <c r="AX97" s="77"/>
    </row>
    <row r="98" spans="1:50" s="109" customFormat="1" ht="15" customHeight="1" x14ac:dyDescent="0.25">
      <c r="A98" s="106"/>
      <c r="B98" s="168"/>
      <c r="E98" s="3" t="str">
        <f>Translate!E$601 &amp; ": " &amp; E85</f>
        <v>Total: Transport costs post-fiscal point, after ELT</v>
      </c>
      <c r="F98" s="77">
        <f ca="1" xml:space="preserve"> SUM(K85:AX85)</f>
        <v>0</v>
      </c>
      <c r="G98" s="3" t="str">
        <f xml:space="preserve"> G85</f>
        <v>US$ mn 2021</v>
      </c>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row>
    <row r="99" spans="1:50" s="109" customFormat="1" ht="15" customHeight="1" x14ac:dyDescent="0.25">
      <c r="A99" s="106"/>
      <c r="B99" s="168"/>
      <c r="E99" s="3" t="str">
        <f>Translate!E$601 &amp; ": " &amp; E86</f>
        <v>Total: Net revenues after ELT</v>
      </c>
      <c r="F99" s="77">
        <f ca="1" xml:space="preserve"> SUM(K86:AX86)</f>
        <v>44103.023863224538</v>
      </c>
      <c r="G99" s="3" t="str">
        <f xml:space="preserve"> G86</f>
        <v>US$ mn 2021</v>
      </c>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row>
    <row r="100" spans="1:50" s="109" customFormat="1" ht="15" customHeight="1" x14ac:dyDescent="0.25">
      <c r="A100" s="106"/>
      <c r="B100" s="168"/>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row>
    <row r="101" spans="1:50" s="109" customFormat="1" ht="15" customHeight="1" x14ac:dyDescent="0.25">
      <c r="A101" s="106"/>
      <c r="B101" s="168"/>
      <c r="E101" s="3" t="str">
        <f>Translate!E$601 &amp; ": " &amp; E88</f>
        <v>Total: Exploration costs, after ELT</v>
      </c>
      <c r="F101" s="77">
        <f t="shared" ref="F101:F106" ca="1" si="23" xml:space="preserve"> SUM(K88:AX88)</f>
        <v>420</v>
      </c>
      <c r="G101" s="3" t="str">
        <f t="shared" ref="G101:G106" si="24" xml:space="preserve"> G88</f>
        <v>US$ mn 2021</v>
      </c>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row>
    <row r="102" spans="1:50" s="109" customFormat="1" ht="15" customHeight="1" x14ac:dyDescent="0.25">
      <c r="A102" s="106"/>
      <c r="B102" s="168"/>
      <c r="E102" s="3" t="str">
        <f>Translate!E$601 &amp; ": " &amp; E89</f>
        <v>Total: Development costs, after ELT</v>
      </c>
      <c r="F102" s="77">
        <f t="shared" ca="1" si="23"/>
        <v>9050</v>
      </c>
      <c r="G102" s="3" t="str">
        <f t="shared" si="24"/>
        <v>US$ mn 2021</v>
      </c>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row>
    <row r="103" spans="1:50" s="109" customFormat="1" ht="15" customHeight="1" x14ac:dyDescent="0.25">
      <c r="A103" s="106"/>
      <c r="B103" s="168"/>
      <c r="E103" s="3" t="str">
        <f>Translate!E$601 &amp; ": " &amp; E90</f>
        <v>Total: Replacement capital costs, after ELT</v>
      </c>
      <c r="F103" s="77">
        <f t="shared" ca="1" si="23"/>
        <v>0</v>
      </c>
      <c r="G103" s="3" t="str">
        <f t="shared" si="24"/>
        <v>US$ mn 2021</v>
      </c>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row>
    <row r="104" spans="1:50" s="109" customFormat="1" ht="15" customHeight="1" x14ac:dyDescent="0.25">
      <c r="A104" s="106"/>
      <c r="B104" s="168"/>
      <c r="E104" s="3" t="str">
        <f>Translate!E$601 &amp; ": " &amp; E91</f>
        <v>Total: Operating costs, after ELT</v>
      </c>
      <c r="F104" s="77">
        <f t="shared" ca="1" si="23"/>
        <v>4601</v>
      </c>
      <c r="G104" s="3" t="str">
        <f t="shared" si="24"/>
        <v>US$ mn 2021</v>
      </c>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row>
    <row r="105" spans="1:50" s="109" customFormat="1" ht="15" customHeight="1" x14ac:dyDescent="0.25">
      <c r="A105" s="106"/>
      <c r="B105" s="168"/>
      <c r="E105" s="3" t="str">
        <f>Translate!E$601 &amp; ": " &amp; E92</f>
        <v>Total: Decommissioning costs, after ELT</v>
      </c>
      <c r="F105" s="77">
        <f t="shared" ca="1" si="23"/>
        <v>750</v>
      </c>
      <c r="G105" s="3" t="str">
        <f t="shared" si="24"/>
        <v>US$ mn 2021</v>
      </c>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row>
    <row r="106" spans="1:50" s="109" customFormat="1" ht="15" customHeight="1" x14ac:dyDescent="0.25">
      <c r="A106" s="106"/>
      <c r="B106" s="168"/>
      <c r="E106" s="3" t="str">
        <f>Translate!E$601 &amp; ": " &amp; E93</f>
        <v>Total: Project costs</v>
      </c>
      <c r="F106" s="77">
        <f t="shared" ca="1" si="23"/>
        <v>14821</v>
      </c>
      <c r="G106" s="3" t="str">
        <f t="shared" si="24"/>
        <v>US$ mn 2021</v>
      </c>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row>
    <row r="107" spans="1:50" s="109" customFormat="1" ht="15" customHeight="1" x14ac:dyDescent="0.25">
      <c r="A107" s="106"/>
      <c r="B107" s="168"/>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row>
    <row r="108" spans="1:50" s="109" customFormat="1" ht="15" customHeight="1" x14ac:dyDescent="0.25">
      <c r="A108" s="106"/>
      <c r="B108" s="168"/>
      <c r="E108" s="3" t="str">
        <f>Translate!E$601 &amp; ": " &amp; E95</f>
        <v>Total: Cashflow before decommissioning fund</v>
      </c>
      <c r="F108" s="77">
        <f ca="1" xml:space="preserve"> SUM(K95:AX95)</f>
        <v>29282.023863224542</v>
      </c>
      <c r="G108" s="3" t="str">
        <f xml:space="preserve"> G95</f>
        <v>US$ mn 2021</v>
      </c>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row>
    <row r="109" spans="1:50" s="109" customFormat="1" ht="15" customHeight="1" x14ac:dyDescent="0.25">
      <c r="A109" s="106"/>
      <c r="B109" s="168"/>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row>
    <row r="110" spans="1:50" s="109" customFormat="1" ht="15" customHeight="1" x14ac:dyDescent="0.25">
      <c r="A110" s="106"/>
      <c r="B110" s="168"/>
      <c r="E110" s="3" t="str">
        <f xml:space="preserve"> Translate!E$755 &amp; " " &amp; Translate!$E$701 &amp; ": " &amp; Inputs!F$91</f>
        <v>Check:  Project cashflows: real</v>
      </c>
      <c r="F110" s="71">
        <f ca="1" xml:space="preserve"> IF( ABS( F97 - F98 - SUM(F101:F105) - F108) &gt; CHK_TOL, 1, 0)</f>
        <v>0</v>
      </c>
      <c r="G110" s="3" t="str">
        <f xml:space="preserve"> Translate!E$604</f>
        <v>Check</v>
      </c>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row>
    <row r="111" spans="1:50" s="109" customFormat="1" ht="15" customHeight="1" x14ac:dyDescent="0.25">
      <c r="A111" s="106"/>
      <c r="B111" s="168"/>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row>
    <row r="112" spans="1:50" s="109" customFormat="1" ht="15" customHeight="1" x14ac:dyDescent="0.25">
      <c r="A112" s="106"/>
      <c r="B112" s="168"/>
      <c r="C112" s="108" t="str">
        <f>Translate!E704  &amp; ": " &amp; Inputs!F$89 &amp; ", " &amp; Inputs!F$91</f>
        <v>Unit analysis: full-cycle, real</v>
      </c>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row>
    <row r="113" spans="1:50" s="290" customFormat="1" ht="15" customHeight="1" x14ac:dyDescent="0.25">
      <c r="B113" s="292"/>
      <c r="E113" s="40" t="str">
        <f xml:space="preserve"> ProjectCashflows!E$133</f>
        <v>Total: Oil production Volume after ELT</v>
      </c>
      <c r="F113" s="40">
        <f ca="1" xml:space="preserve"> ProjectCashflows!F$133</f>
        <v>801.87316114953705</v>
      </c>
      <c r="G113" s="40" t="str">
        <f xml:space="preserve"> ProjectCashflows!G$133</f>
        <v>Mn Bbl</v>
      </c>
      <c r="H113" s="40"/>
      <c r="I113" s="40"/>
      <c r="J113" s="40"/>
      <c r="K113" s="40"/>
      <c r="L113" s="40"/>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row>
    <row r="114" spans="1:50" s="290" customFormat="1" ht="15" customHeight="1" x14ac:dyDescent="0.25">
      <c r="B114" s="292"/>
      <c r="E114" s="40" t="str">
        <f xml:space="preserve"> Inputs!E$56</f>
        <v>Label for unit cost: real</v>
      </c>
      <c r="F114" s="40" t="str">
        <f xml:space="preserve"> Inputs!F$56</f>
        <v>US$ 2021 / bbl</v>
      </c>
      <c r="G114" s="40" t="str">
        <f xml:space="preserve"> Inputs!G$56</f>
        <v>Label</v>
      </c>
      <c r="H114" s="40"/>
      <c r="I114" s="40"/>
      <c r="J114" s="40"/>
      <c r="K114" s="40"/>
      <c r="L114" s="40"/>
      <c r="M114" s="40"/>
      <c r="N114" s="40"/>
      <c r="O114" s="40"/>
      <c r="P114" s="40"/>
      <c r="Q114" s="40"/>
      <c r="R114" s="40"/>
      <c r="S114" s="40"/>
      <c r="T114" s="40"/>
      <c r="U114" s="40"/>
      <c r="V114" s="40"/>
      <c r="W114" s="40"/>
      <c r="X114" s="40"/>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row>
    <row r="115" spans="1:50" s="109" customFormat="1" ht="15" customHeight="1" x14ac:dyDescent="0.25">
      <c r="A115" s="106"/>
      <c r="B115" s="168"/>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row>
    <row r="116" spans="1:50" s="109" customFormat="1" ht="15" customHeight="1" x14ac:dyDescent="0.25">
      <c r="A116" s="106"/>
      <c r="B116" s="168"/>
      <c r="E116" s="257" t="str">
        <f xml:space="preserve"> E84</f>
        <v>Oil revenues gross, after ELT</v>
      </c>
      <c r="F116" s="335">
        <f ca="1" xml:space="preserve"> F97 / F$113</f>
        <v>55</v>
      </c>
      <c r="G116" s="257" t="str">
        <f>F$114</f>
        <v>US$ 2021 / bbl</v>
      </c>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row>
    <row r="117" spans="1:50" s="109" customFormat="1" ht="15" customHeight="1" x14ac:dyDescent="0.25">
      <c r="A117" s="106"/>
      <c r="B117" s="168"/>
      <c r="E117" s="3" t="str">
        <f xml:space="preserve"> E85</f>
        <v>Transport costs post-fiscal point, after ELT</v>
      </c>
      <c r="F117" s="335">
        <f ca="1" xml:space="preserve"> F98 / F$113</f>
        <v>0</v>
      </c>
      <c r="G117" s="3" t="str">
        <f t="shared" ref="G117:G127" si="25">F$114</f>
        <v>US$ 2021 / bbl</v>
      </c>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row>
    <row r="118" spans="1:50" s="109" customFormat="1" ht="15" customHeight="1" x14ac:dyDescent="0.25">
      <c r="A118" s="106"/>
      <c r="B118" s="168"/>
      <c r="E118" s="3" t="str">
        <f xml:space="preserve"> E86</f>
        <v>Net revenues after ELT</v>
      </c>
      <c r="F118" s="335">
        <f ca="1" xml:space="preserve"> F99 / F$113</f>
        <v>55</v>
      </c>
      <c r="G118" s="3" t="str">
        <f t="shared" si="25"/>
        <v>US$ 2021 / bbl</v>
      </c>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row>
    <row r="119" spans="1:50" s="109" customFormat="1" ht="15" customHeight="1" x14ac:dyDescent="0.25">
      <c r="A119" s="106"/>
      <c r="B119" s="168"/>
      <c r="E119" s="3"/>
      <c r="F119" s="3"/>
      <c r="G119" s="3" t="str">
        <f t="shared" si="25"/>
        <v>US$ 2021 / bbl</v>
      </c>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row>
    <row r="120" spans="1:50" s="109" customFormat="1" ht="15" customHeight="1" x14ac:dyDescent="0.25">
      <c r="A120" s="106"/>
      <c r="B120" s="168"/>
      <c r="E120" s="3" t="str">
        <f t="shared" ref="E120:E125" si="26" xml:space="preserve"> E88</f>
        <v>Exploration costs, after ELT</v>
      </c>
      <c r="F120" s="335">
        <f t="shared" ref="F120:F125" ca="1" si="27" xml:space="preserve"> F101 / F$113</f>
        <v>0.52377360952934604</v>
      </c>
      <c r="G120" s="3" t="str">
        <f t="shared" si="25"/>
        <v>US$ 2021 / bbl</v>
      </c>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row>
    <row r="121" spans="1:50" s="109" customFormat="1" ht="15" customHeight="1" x14ac:dyDescent="0.25">
      <c r="A121" s="106"/>
      <c r="B121" s="168"/>
      <c r="E121" s="3" t="str">
        <f t="shared" si="26"/>
        <v>Development costs, after ELT</v>
      </c>
      <c r="F121" s="335">
        <f t="shared" ca="1" si="27"/>
        <v>11.286074205334719</v>
      </c>
      <c r="G121" s="3" t="str">
        <f t="shared" si="25"/>
        <v>US$ 2021 / bbl</v>
      </c>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row>
    <row r="122" spans="1:50" s="109" customFormat="1" ht="15" customHeight="1" x14ac:dyDescent="0.25">
      <c r="A122" s="106"/>
      <c r="B122" s="168"/>
      <c r="E122" s="3" t="str">
        <f t="shared" si="26"/>
        <v>Replacement capital costs, after ELT</v>
      </c>
      <c r="F122" s="335">
        <f t="shared" ca="1" si="27"/>
        <v>0</v>
      </c>
      <c r="G122" s="3" t="str">
        <f t="shared" si="25"/>
        <v>US$ 2021 / bbl</v>
      </c>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row>
    <row r="123" spans="1:50" s="109" customFormat="1" ht="15" customHeight="1" x14ac:dyDescent="0.25">
      <c r="A123" s="106"/>
      <c r="B123" s="168"/>
      <c r="E123" s="3" t="str">
        <f t="shared" si="26"/>
        <v>Operating costs, after ELT</v>
      </c>
      <c r="F123" s="335">
        <f t="shared" ca="1" si="27"/>
        <v>5.7378151843917173</v>
      </c>
      <c r="G123" s="3" t="str">
        <f t="shared" si="25"/>
        <v>US$ 2021 / bbl</v>
      </c>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row>
    <row r="124" spans="1:50" s="109" customFormat="1" ht="15" customHeight="1" x14ac:dyDescent="0.25">
      <c r="A124" s="106"/>
      <c r="B124" s="168"/>
      <c r="E124" s="3" t="str">
        <f t="shared" si="26"/>
        <v>Decommissioning costs, after ELT</v>
      </c>
      <c r="F124" s="335">
        <f t="shared" ca="1" si="27"/>
        <v>0.93531001701668937</v>
      </c>
      <c r="G124" s="3" t="str">
        <f t="shared" si="25"/>
        <v>US$ 2021 / bbl</v>
      </c>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row>
    <row r="125" spans="1:50" s="109" customFormat="1" ht="15" customHeight="1" x14ac:dyDescent="0.25">
      <c r="A125" s="106"/>
      <c r="B125" s="168"/>
      <c r="E125" s="3" t="str">
        <f t="shared" si="26"/>
        <v>Project costs</v>
      </c>
      <c r="F125" s="335">
        <f t="shared" ca="1" si="27"/>
        <v>18.482973016272471</v>
      </c>
      <c r="G125" s="3" t="str">
        <f t="shared" si="25"/>
        <v>US$ 2021 / bbl</v>
      </c>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row>
    <row r="126" spans="1:50" s="109" customFormat="1" ht="15" customHeight="1" x14ac:dyDescent="0.25">
      <c r="A126" s="106"/>
      <c r="B126" s="168"/>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row>
    <row r="127" spans="1:50" s="109" customFormat="1" ht="15" customHeight="1" x14ac:dyDescent="0.25">
      <c r="A127" s="106"/>
      <c r="B127" s="168"/>
      <c r="E127" s="3" t="str">
        <f xml:space="preserve"> E95</f>
        <v>Cashflow before decommissioning fund</v>
      </c>
      <c r="F127" s="335">
        <f ca="1" xml:space="preserve"> F108 / F$113</f>
        <v>36.517026983727533</v>
      </c>
      <c r="G127" s="3" t="str">
        <f t="shared" si="25"/>
        <v>US$ 2021 / bbl</v>
      </c>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row>
    <row r="128" spans="1:50" s="109" customFormat="1" ht="15" customHeight="1" x14ac:dyDescent="0.25">
      <c r="A128" s="106"/>
      <c r="B128" s="168"/>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row>
    <row r="129" spans="1:50" s="109" customFormat="1" ht="15" customHeight="1" x14ac:dyDescent="0.25">
      <c r="A129" s="106"/>
      <c r="B129" s="189"/>
      <c r="C129" s="108" t="str">
        <f>Translate!$E$702 &amp; ": " &amp; Inputs!F$89 &amp; ", " &amp; Inputs!F$91</f>
        <v>Project participants: full-cycle, real</v>
      </c>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row>
    <row r="130" spans="1:50" s="109" customFormat="1" ht="15" customHeight="1" x14ac:dyDescent="0.25">
      <c r="A130" s="106"/>
      <c r="B130" s="168"/>
      <c r="E130" s="109" t="str">
        <f t="shared" ref="E130:E138" si="28" xml:space="preserve"> E33</f>
        <v>Cashflow before decommissioning fund</v>
      </c>
      <c r="G130" s="109" t="str">
        <f t="shared" ref="G130:G138" si="29" xml:space="preserve"> $F$81</f>
        <v>US$ mn 2021</v>
      </c>
      <c r="I130" s="109">
        <f t="shared" ref="I130:I138" ca="1" si="30" xml:space="preserve"> SUM(K130:AX130)</f>
        <v>29282.023863224542</v>
      </c>
      <c r="K130" s="109">
        <f t="shared" ref="K130:AX130" ca="1" si="31" xml:space="preserve"> K33 / K$80</f>
        <v>-420</v>
      </c>
      <c r="L130" s="109">
        <f t="shared" ca="1" si="31"/>
        <v>-50</v>
      </c>
      <c r="M130" s="109">
        <f t="shared" ca="1" si="31"/>
        <v>-300</v>
      </c>
      <c r="N130" s="109">
        <f t="shared" ca="1" si="31"/>
        <v>-1200</v>
      </c>
      <c r="O130" s="109">
        <f t="shared" ca="1" si="31"/>
        <v>-1058.3416418356894</v>
      </c>
      <c r="P130" s="109">
        <f t="shared" ca="1" si="31"/>
        <v>-774.37500000000011</v>
      </c>
      <c r="Q130" s="109">
        <f t="shared" ca="1" si="31"/>
        <v>1651.2500000000002</v>
      </c>
      <c r="R130" s="109">
        <f t="shared" ca="1" si="31"/>
        <v>2301.25</v>
      </c>
      <c r="S130" s="109">
        <f t="shared" ca="1" si="31"/>
        <v>2501.25</v>
      </c>
      <c r="T130" s="109">
        <f t="shared" ca="1" si="31"/>
        <v>2501.2500000000005</v>
      </c>
      <c r="U130" s="109">
        <f t="shared" ca="1" si="31"/>
        <v>2501.2499999999995</v>
      </c>
      <c r="V130" s="109">
        <f t="shared" ca="1" si="31"/>
        <v>2501.25</v>
      </c>
      <c r="W130" s="109">
        <f t="shared" ca="1" si="31"/>
        <v>2501.25</v>
      </c>
      <c r="X130" s="109">
        <f t="shared" ca="1" si="31"/>
        <v>2501.25</v>
      </c>
      <c r="Y130" s="109">
        <f t="shared" ca="1" si="31"/>
        <v>2501.25</v>
      </c>
      <c r="Z130" s="109">
        <f t="shared" ca="1" si="31"/>
        <v>2501.25</v>
      </c>
      <c r="AA130" s="109">
        <f t="shared" ca="1" si="31"/>
        <v>1929.1125000000006</v>
      </c>
      <c r="AB130" s="109">
        <f t="shared" ca="1" si="31"/>
        <v>1715.6811250000007</v>
      </c>
      <c r="AC130" s="109">
        <f t="shared" ca="1" si="31"/>
        <v>1450.3017112500004</v>
      </c>
      <c r="AD130" s="109">
        <f t="shared" ca="1" si="31"/>
        <v>956.24438611250082</v>
      </c>
      <c r="AE130" s="109">
        <f t="shared" ca="1" si="31"/>
        <v>729.9579527511255</v>
      </c>
      <c r="AF130" s="109">
        <f t="shared" ca="1" si="31"/>
        <v>739.46594172841185</v>
      </c>
      <c r="AG130" s="109">
        <f t="shared" ca="1" si="31"/>
        <v>588.87741280001364</v>
      </c>
      <c r="AH130" s="109">
        <f t="shared" ca="1" si="31"/>
        <v>462.99070436801105</v>
      </c>
      <c r="AI130" s="109">
        <f t="shared" ca="1" si="31"/>
        <v>361.972470538089</v>
      </c>
      <c r="AJ130" s="109">
        <f t="shared" ca="1" si="31"/>
        <v>281.09770113585205</v>
      </c>
      <c r="AK130" s="109">
        <f t="shared" ca="1" si="31"/>
        <v>216.53913792004025</v>
      </c>
      <c r="AL130" s="109">
        <f t="shared" ca="1" si="31"/>
        <v>-84.803298284767507</v>
      </c>
      <c r="AM130" s="109">
        <f t="shared" ca="1" si="31"/>
        <v>124.55932838933838</v>
      </c>
      <c r="AN130" s="109">
        <f t="shared" ca="1" si="31"/>
        <v>87.593055995364097</v>
      </c>
      <c r="AO130" s="109">
        <f t="shared" ca="1" si="31"/>
        <v>62.650375356244943</v>
      </c>
      <c r="AP130" s="109">
        <f t="shared" ca="1" si="31"/>
        <v>-250</v>
      </c>
      <c r="AQ130" s="109">
        <f t="shared" ca="1" si="31"/>
        <v>-250</v>
      </c>
      <c r="AR130" s="109">
        <f t="shared" ca="1" si="31"/>
        <v>0</v>
      </c>
      <c r="AS130" s="109">
        <f t="shared" ca="1" si="31"/>
        <v>0</v>
      </c>
      <c r="AT130" s="109">
        <f t="shared" ca="1" si="31"/>
        <v>0</v>
      </c>
      <c r="AU130" s="109">
        <f t="shared" ca="1" si="31"/>
        <v>0</v>
      </c>
      <c r="AV130" s="109">
        <f t="shared" ca="1" si="31"/>
        <v>0</v>
      </c>
      <c r="AW130" s="109">
        <f t="shared" ca="1" si="31"/>
        <v>0</v>
      </c>
      <c r="AX130" s="109">
        <f t="shared" ca="1" si="31"/>
        <v>0</v>
      </c>
    </row>
    <row r="131" spans="1:50" s="109" customFormat="1" ht="15" customHeight="1" x14ac:dyDescent="0.25">
      <c r="A131" s="106"/>
      <c r="B131" s="168"/>
      <c r="E131" s="109" t="str">
        <f t="shared" si="28"/>
        <v>Net decommissioning cashflows</v>
      </c>
      <c r="G131" s="109" t="str">
        <f t="shared" si="29"/>
        <v>US$ mn 2021</v>
      </c>
      <c r="I131" s="109">
        <f t="shared" ca="1" si="30"/>
        <v>-15.100000000000165</v>
      </c>
      <c r="K131" s="109">
        <f t="shared" ref="K131:AX131" ca="1" si="32" xml:space="preserve"> K34 / K$80</f>
        <v>0</v>
      </c>
      <c r="L131" s="109">
        <f t="shared" ca="1" si="32"/>
        <v>0</v>
      </c>
      <c r="M131" s="109">
        <f t="shared" ca="1" si="32"/>
        <v>0</v>
      </c>
      <c r="N131" s="109">
        <f t="shared" ca="1" si="32"/>
        <v>0</v>
      </c>
      <c r="O131" s="109">
        <f t="shared" ca="1" si="32"/>
        <v>0</v>
      </c>
      <c r="P131" s="109">
        <f t="shared" ca="1" si="32"/>
        <v>0</v>
      </c>
      <c r="Q131" s="109">
        <f t="shared" ca="1" si="32"/>
        <v>0</v>
      </c>
      <c r="R131" s="109">
        <f t="shared" ca="1" si="32"/>
        <v>0</v>
      </c>
      <c r="S131" s="109">
        <f t="shared" ca="1" si="32"/>
        <v>0</v>
      </c>
      <c r="T131" s="109">
        <f t="shared" ca="1" si="32"/>
        <v>0</v>
      </c>
      <c r="U131" s="109">
        <f t="shared" ca="1" si="32"/>
        <v>0</v>
      </c>
      <c r="V131" s="109">
        <f t="shared" ca="1" si="32"/>
        <v>0</v>
      </c>
      <c r="W131" s="109">
        <f t="shared" ca="1" si="32"/>
        <v>-50.26129342108063</v>
      </c>
      <c r="X131" s="109">
        <f t="shared" ca="1" si="32"/>
        <v>-49.275777863804542</v>
      </c>
      <c r="Y131" s="109">
        <f t="shared" ca="1" si="32"/>
        <v>-48.309586140984841</v>
      </c>
      <c r="Z131" s="109">
        <f t="shared" ca="1" si="32"/>
        <v>-47.362339353906705</v>
      </c>
      <c r="AA131" s="109">
        <f t="shared" ca="1" si="32"/>
        <v>-46.43366603324187</v>
      </c>
      <c r="AB131" s="109">
        <f t="shared" ca="1" si="32"/>
        <v>-45.523201993374379</v>
      </c>
      <c r="AC131" s="109">
        <f t="shared" ca="1" si="32"/>
        <v>-44.630590189582719</v>
      </c>
      <c r="AD131" s="109">
        <f t="shared" ca="1" si="32"/>
        <v>-43.755480578022279</v>
      </c>
      <c r="AE131" s="109">
        <f t="shared" ca="1" si="32"/>
        <v>-42.897529978453207</v>
      </c>
      <c r="AF131" s="109">
        <f t="shared" ca="1" si="32"/>
        <v>-42.056401939660006</v>
      </c>
      <c r="AG131" s="109">
        <f t="shared" ca="1" si="32"/>
        <v>-41.231766607509812</v>
      </c>
      <c r="AH131" s="109">
        <f t="shared" ca="1" si="32"/>
        <v>-40.423300595597851</v>
      </c>
      <c r="AI131" s="109">
        <f t="shared" ca="1" si="32"/>
        <v>-39.630686858429264</v>
      </c>
      <c r="AJ131" s="109">
        <f t="shared" ca="1" si="32"/>
        <v>-38.853614567087519</v>
      </c>
      <c r="AK131" s="109">
        <f t="shared" ca="1" si="32"/>
        <v>-38.091778987340703</v>
      </c>
      <c r="AL131" s="109">
        <f t="shared" ca="1" si="32"/>
        <v>212.65511863986208</v>
      </c>
      <c r="AM131" s="109">
        <f t="shared" ca="1" si="32"/>
        <v>-23.463088130463284</v>
      </c>
      <c r="AN131" s="109">
        <f t="shared" ca="1" si="32"/>
        <v>-23.003027578885572</v>
      </c>
      <c r="AO131" s="109">
        <f t="shared" ca="1" si="32"/>
        <v>-22.551987822436832</v>
      </c>
      <c r="AP131" s="109">
        <f t="shared" ca="1" si="32"/>
        <v>250</v>
      </c>
      <c r="AQ131" s="109">
        <f t="shared" ca="1" si="32"/>
        <v>249.99999999999986</v>
      </c>
      <c r="AR131" s="109">
        <f t="shared" ca="1" si="32"/>
        <v>0</v>
      </c>
      <c r="AS131" s="109">
        <f t="shared" ca="1" si="32"/>
        <v>0</v>
      </c>
      <c r="AT131" s="109">
        <f t="shared" ca="1" si="32"/>
        <v>0</v>
      </c>
      <c r="AU131" s="109">
        <f t="shared" ca="1" si="32"/>
        <v>0</v>
      </c>
      <c r="AV131" s="109">
        <f t="shared" ca="1" si="32"/>
        <v>0</v>
      </c>
      <c r="AW131" s="109">
        <f t="shared" ca="1" si="32"/>
        <v>0</v>
      </c>
      <c r="AX131" s="109">
        <f t="shared" ca="1" si="32"/>
        <v>0</v>
      </c>
    </row>
    <row r="132" spans="1:50" s="109" customFormat="1" ht="15" customHeight="1" x14ac:dyDescent="0.25">
      <c r="A132" s="106"/>
      <c r="B132" s="168"/>
      <c r="E132" s="109" t="str">
        <f t="shared" si="28"/>
        <v>Government revenues excluding participation</v>
      </c>
      <c r="G132" s="109" t="str">
        <f t="shared" si="29"/>
        <v>US$ mn 2021</v>
      </c>
      <c r="I132" s="109">
        <f t="shared" ca="1" si="30"/>
        <v>16056.404234002974</v>
      </c>
      <c r="K132" s="109">
        <f t="shared" ref="K132:AX132" ca="1" si="33" xml:space="preserve"> K35 / K$80</f>
        <v>10</v>
      </c>
      <c r="L132" s="109">
        <f t="shared" ca="1" si="33"/>
        <v>0</v>
      </c>
      <c r="M132" s="109">
        <f t="shared" ca="1" si="33"/>
        <v>0</v>
      </c>
      <c r="N132" s="109">
        <f t="shared" ca="1" si="33"/>
        <v>0</v>
      </c>
      <c r="O132" s="109">
        <f t="shared" ca="1" si="33"/>
        <v>88.582606280643191</v>
      </c>
      <c r="P132" s="109">
        <f t="shared" ca="1" si="33"/>
        <v>368.70789472108811</v>
      </c>
      <c r="Q132" s="109">
        <f t="shared" ca="1" si="33"/>
        <v>726.67019904192694</v>
      </c>
      <c r="R132" s="109">
        <f t="shared" ca="1" si="33"/>
        <v>872.09786683953814</v>
      </c>
      <c r="S132" s="109">
        <f t="shared" ca="1" si="33"/>
        <v>960.31286559465684</v>
      </c>
      <c r="T132" s="109">
        <f t="shared" ca="1" si="33"/>
        <v>1083.8332597760282</v>
      </c>
      <c r="U132" s="109">
        <f t="shared" ca="1" si="33"/>
        <v>1175.0607476730338</v>
      </c>
      <c r="V132" s="109">
        <f t="shared" ca="1" si="33"/>
        <v>1218.7759160069227</v>
      </c>
      <c r="W132" s="109">
        <f t="shared" ca="1" si="33"/>
        <v>1215.2021859068711</v>
      </c>
      <c r="X132" s="109">
        <f t="shared" ca="1" si="33"/>
        <v>1219.1837005000195</v>
      </c>
      <c r="Y132" s="109">
        <f t="shared" ca="1" si="33"/>
        <v>1223.0167429455282</v>
      </c>
      <c r="Z132" s="109">
        <f t="shared" ca="1" si="33"/>
        <v>1226.7056049175478</v>
      </c>
      <c r="AA132" s="109">
        <f t="shared" ca="1" si="33"/>
        <v>980.54322115569312</v>
      </c>
      <c r="AB132" s="109">
        <f t="shared" ca="1" si="33"/>
        <v>792.07065292357083</v>
      </c>
      <c r="AC132" s="109">
        <f t="shared" ca="1" si="33"/>
        <v>662.01527910276297</v>
      </c>
      <c r="AD132" s="109">
        <f t="shared" ca="1" si="33"/>
        <v>506.55521064156488</v>
      </c>
      <c r="AE132" s="109">
        <f t="shared" ca="1" si="33"/>
        <v>397.99498049994634</v>
      </c>
      <c r="AF132" s="109">
        <f t="shared" ca="1" si="33"/>
        <v>333.54915202440236</v>
      </c>
      <c r="AG132" s="109">
        <f t="shared" ca="1" si="33"/>
        <v>238.57407851609642</v>
      </c>
      <c r="AH132" s="109">
        <f t="shared" ca="1" si="33"/>
        <v>183.60843695408701</v>
      </c>
      <c r="AI132" s="109">
        <f t="shared" ca="1" si="33"/>
        <v>149.6302986943962</v>
      </c>
      <c r="AJ132" s="109">
        <f t="shared" ca="1" si="33"/>
        <v>124.22923883542845</v>
      </c>
      <c r="AK132" s="109">
        <f t="shared" ca="1" si="33"/>
        <v>95.591493187539157</v>
      </c>
      <c r="AL132" s="109">
        <f t="shared" ca="1" si="33"/>
        <v>72.709308696397386</v>
      </c>
      <c r="AM132" s="109">
        <f t="shared" ca="1" si="33"/>
        <v>58.167808109061234</v>
      </c>
      <c r="AN132" s="109">
        <f t="shared" ca="1" si="33"/>
        <v>42.243213131999639</v>
      </c>
      <c r="AO132" s="109">
        <f t="shared" ca="1" si="33"/>
        <v>30.772271326220405</v>
      </c>
      <c r="AP132" s="109">
        <f t="shared" ca="1" si="33"/>
        <v>0</v>
      </c>
      <c r="AQ132" s="109">
        <f t="shared" ca="1" si="33"/>
        <v>0</v>
      </c>
      <c r="AR132" s="109">
        <f t="shared" ca="1" si="33"/>
        <v>0</v>
      </c>
      <c r="AS132" s="109">
        <f t="shared" ca="1" si="33"/>
        <v>0</v>
      </c>
      <c r="AT132" s="109">
        <f t="shared" ca="1" si="33"/>
        <v>0</v>
      </c>
      <c r="AU132" s="109">
        <f t="shared" ca="1" si="33"/>
        <v>0</v>
      </c>
      <c r="AV132" s="109">
        <f t="shared" ca="1" si="33"/>
        <v>0</v>
      </c>
      <c r="AW132" s="109">
        <f t="shared" ca="1" si="33"/>
        <v>0</v>
      </c>
      <c r="AX132" s="109">
        <f t="shared" ca="1" si="33"/>
        <v>0</v>
      </c>
    </row>
    <row r="133" spans="1:50" s="109" customFormat="1" ht="15" customHeight="1" x14ac:dyDescent="0.25">
      <c r="A133" s="106"/>
      <c r="B133" s="168"/>
      <c r="E133" s="109" t="str">
        <f t="shared" si="28"/>
        <v>SOC net cash flow before tax, after carried interest, including share of lender cashflows</v>
      </c>
      <c r="G133" s="109" t="str">
        <f t="shared" si="29"/>
        <v>US$ mn 2021</v>
      </c>
      <c r="I133" s="109">
        <f t="shared" ca="1" si="30"/>
        <v>3982.9846625612686</v>
      </c>
      <c r="K133" s="109">
        <f t="shared" ref="K133:AX133" ca="1" si="34" xml:space="preserve"> K36 / K$80</f>
        <v>0</v>
      </c>
      <c r="L133" s="109">
        <f t="shared" ca="1" si="34"/>
        <v>-7</v>
      </c>
      <c r="M133" s="109">
        <f t="shared" ca="1" si="34"/>
        <v>-42</v>
      </c>
      <c r="N133" s="109">
        <f t="shared" ca="1" si="34"/>
        <v>-168</v>
      </c>
      <c r="O133" s="109">
        <f t="shared" ca="1" si="34"/>
        <v>-168</v>
      </c>
      <c r="P133" s="109">
        <f t="shared" ca="1" si="34"/>
        <v>-294</v>
      </c>
      <c r="Q133" s="109">
        <f t="shared" ca="1" si="34"/>
        <v>107.35265407110511</v>
      </c>
      <c r="R133" s="109">
        <f t="shared" ca="1" si="34"/>
        <v>324.64477343830453</v>
      </c>
      <c r="S133" s="109">
        <f t="shared" ca="1" si="34"/>
        <v>365.28368248645455</v>
      </c>
      <c r="T133" s="109">
        <f t="shared" ca="1" si="34"/>
        <v>365.90336297007161</v>
      </c>
      <c r="U133" s="109">
        <f t="shared" ca="1" si="34"/>
        <v>366.50432331073785</v>
      </c>
      <c r="V133" s="109">
        <f t="shared" ca="1" si="34"/>
        <v>367.08705938469217</v>
      </c>
      <c r="W133" s="109">
        <f t="shared" ca="1" si="34"/>
        <v>357.59979613511689</v>
      </c>
      <c r="X133" s="109">
        <f t="shared" ca="1" si="34"/>
        <v>358.34462571015644</v>
      </c>
      <c r="Y133" s="109">
        <f t="shared" ca="1" si="34"/>
        <v>359.06878153941</v>
      </c>
      <c r="Z133" s="109">
        <f t="shared" ca="1" si="34"/>
        <v>359.7727879952327</v>
      </c>
      <c r="AA133" s="109">
        <f t="shared" ca="1" si="34"/>
        <v>270.82581772687712</v>
      </c>
      <c r="AB133" s="109">
        <f t="shared" ca="1" si="34"/>
        <v>248.53589475441893</v>
      </c>
      <c r="AC133" s="109">
        <f t="shared" ca="1" si="34"/>
        <v>211.98544956012856</v>
      </c>
      <c r="AD133" s="109">
        <f t="shared" ca="1" si="34"/>
        <v>126.56885661966672</v>
      </c>
      <c r="AE133" s="109">
        <f t="shared" ca="1" si="34"/>
        <v>92.174442204675259</v>
      </c>
      <c r="AF133" s="109">
        <f t="shared" ca="1" si="34"/>
        <v>102.89086574523206</v>
      </c>
      <c r="AG133" s="109">
        <f t="shared" ca="1" si="34"/>
        <v>79.931240883226394</v>
      </c>
      <c r="AH133" s="109">
        <f t="shared" ca="1" si="34"/>
        <v>60.57163552775063</v>
      </c>
      <c r="AI133" s="109">
        <f t="shared" ca="1" si="34"/>
        <v>45.101226726046271</v>
      </c>
      <c r="AJ133" s="109">
        <f t="shared" ca="1" si="34"/>
        <v>32.781902148148902</v>
      </c>
      <c r="AK133" s="109">
        <f t="shared" ca="1" si="34"/>
        <v>23.015518262544532</v>
      </c>
      <c r="AL133" s="109">
        <f t="shared" ca="1" si="34"/>
        <v>15.317364349638096</v>
      </c>
      <c r="AM133" s="109">
        <f t="shared" ca="1" si="34"/>
        <v>11.924564486059397</v>
      </c>
      <c r="AN133" s="109">
        <f t="shared" ca="1" si="34"/>
        <v>6.2074486901330133</v>
      </c>
      <c r="AO133" s="109">
        <f t="shared" ca="1" si="34"/>
        <v>2.5905878354412502</v>
      </c>
      <c r="AP133" s="109">
        <f t="shared" ca="1" si="34"/>
        <v>0</v>
      </c>
      <c r="AQ133" s="109">
        <f t="shared" ca="1" si="34"/>
        <v>0</v>
      </c>
      <c r="AR133" s="109">
        <f t="shared" ca="1" si="34"/>
        <v>0</v>
      </c>
      <c r="AS133" s="109">
        <f t="shared" ca="1" si="34"/>
        <v>0</v>
      </c>
      <c r="AT133" s="109">
        <f t="shared" ca="1" si="34"/>
        <v>0</v>
      </c>
      <c r="AU133" s="109">
        <f t="shared" ca="1" si="34"/>
        <v>0</v>
      </c>
      <c r="AV133" s="109">
        <f t="shared" ca="1" si="34"/>
        <v>0</v>
      </c>
      <c r="AW133" s="109">
        <f t="shared" ca="1" si="34"/>
        <v>0</v>
      </c>
      <c r="AX133" s="109">
        <f t="shared" ca="1" si="34"/>
        <v>0</v>
      </c>
    </row>
    <row r="134" spans="1:50" s="109" customFormat="1" ht="15" customHeight="1" x14ac:dyDescent="0.25">
      <c r="A134" s="106"/>
      <c r="B134" s="168"/>
      <c r="E134" s="109" t="str">
        <f t="shared" si="28"/>
        <v>Government revenues including participation</v>
      </c>
      <c r="G134" s="109" t="str">
        <f t="shared" si="29"/>
        <v>US$ mn 2021</v>
      </c>
      <c r="I134" s="109">
        <f t="shared" ca="1" si="30"/>
        <v>20039.388896564244</v>
      </c>
      <c r="K134" s="109">
        <f t="shared" ref="K134:AX134" ca="1" si="35" xml:space="preserve"> K37 / K$80</f>
        <v>10</v>
      </c>
      <c r="L134" s="109">
        <f t="shared" ca="1" si="35"/>
        <v>-7</v>
      </c>
      <c r="M134" s="109">
        <f t="shared" ca="1" si="35"/>
        <v>-42</v>
      </c>
      <c r="N134" s="109">
        <f t="shared" ca="1" si="35"/>
        <v>-168</v>
      </c>
      <c r="O134" s="109">
        <f t="shared" ca="1" si="35"/>
        <v>-79.417393719356795</v>
      </c>
      <c r="P134" s="109">
        <f t="shared" ca="1" si="35"/>
        <v>74.707894721088095</v>
      </c>
      <c r="Q134" s="109">
        <f t="shared" ca="1" si="35"/>
        <v>834.02285311303206</v>
      </c>
      <c r="R134" s="109">
        <f t="shared" ca="1" si="35"/>
        <v>1196.7426402778426</v>
      </c>
      <c r="S134" s="109">
        <f t="shared" ca="1" si="35"/>
        <v>1325.5965480811115</v>
      </c>
      <c r="T134" s="109">
        <f t="shared" ca="1" si="35"/>
        <v>1449.7366227460996</v>
      </c>
      <c r="U134" s="109">
        <f t="shared" ca="1" si="35"/>
        <v>1541.5650709837716</v>
      </c>
      <c r="V134" s="109">
        <f t="shared" ca="1" si="35"/>
        <v>1585.862975391615</v>
      </c>
      <c r="W134" s="109">
        <f t="shared" ca="1" si="35"/>
        <v>1572.8019820419879</v>
      </c>
      <c r="X134" s="109">
        <f t="shared" ca="1" si="35"/>
        <v>1577.5283262101759</v>
      </c>
      <c r="Y134" s="109">
        <f t="shared" ca="1" si="35"/>
        <v>1582.0855244849383</v>
      </c>
      <c r="Z134" s="109">
        <f t="shared" ca="1" si="35"/>
        <v>1586.4783929127805</v>
      </c>
      <c r="AA134" s="109">
        <f t="shared" ca="1" si="35"/>
        <v>1251.3690388825703</v>
      </c>
      <c r="AB134" s="109">
        <f t="shared" ca="1" si="35"/>
        <v>1040.6065476779897</v>
      </c>
      <c r="AC134" s="109">
        <f t="shared" ca="1" si="35"/>
        <v>874.00072866289156</v>
      </c>
      <c r="AD134" s="109">
        <f t="shared" ca="1" si="35"/>
        <v>633.12406726123163</v>
      </c>
      <c r="AE134" s="109">
        <f t="shared" ca="1" si="35"/>
        <v>490.16942270462164</v>
      </c>
      <c r="AF134" s="109">
        <f t="shared" ca="1" si="35"/>
        <v>436.44001776963444</v>
      </c>
      <c r="AG134" s="109">
        <f t="shared" ca="1" si="35"/>
        <v>318.50531939932284</v>
      </c>
      <c r="AH134" s="109">
        <f t="shared" ca="1" si="35"/>
        <v>244.18007248183764</v>
      </c>
      <c r="AI134" s="109">
        <f t="shared" ca="1" si="35"/>
        <v>194.73152542044249</v>
      </c>
      <c r="AJ134" s="109">
        <f t="shared" ca="1" si="35"/>
        <v>157.01114098357735</v>
      </c>
      <c r="AK134" s="109">
        <f t="shared" ca="1" si="35"/>
        <v>118.60701145008369</v>
      </c>
      <c r="AL134" s="109">
        <f t="shared" ca="1" si="35"/>
        <v>88.026673046035498</v>
      </c>
      <c r="AM134" s="109">
        <f t="shared" ca="1" si="35"/>
        <v>70.092372595120622</v>
      </c>
      <c r="AN134" s="109">
        <f t="shared" ca="1" si="35"/>
        <v>48.450661822132652</v>
      </c>
      <c r="AO134" s="109">
        <f t="shared" ca="1" si="35"/>
        <v>33.362859161661653</v>
      </c>
      <c r="AP134" s="109">
        <f t="shared" ca="1" si="35"/>
        <v>0</v>
      </c>
      <c r="AQ134" s="109">
        <f t="shared" ca="1" si="35"/>
        <v>0</v>
      </c>
      <c r="AR134" s="109">
        <f t="shared" ca="1" si="35"/>
        <v>0</v>
      </c>
      <c r="AS134" s="109">
        <f t="shared" ca="1" si="35"/>
        <v>0</v>
      </c>
      <c r="AT134" s="109">
        <f t="shared" ca="1" si="35"/>
        <v>0</v>
      </c>
      <c r="AU134" s="109">
        <f t="shared" ca="1" si="35"/>
        <v>0</v>
      </c>
      <c r="AV134" s="109">
        <f t="shared" ca="1" si="35"/>
        <v>0</v>
      </c>
      <c r="AW134" s="109">
        <f t="shared" ca="1" si="35"/>
        <v>0</v>
      </c>
      <c r="AX134" s="109">
        <f t="shared" ca="1" si="35"/>
        <v>0</v>
      </c>
    </row>
    <row r="135" spans="1:50" s="109" customFormat="1" ht="15" customHeight="1" x14ac:dyDescent="0.25">
      <c r="A135" s="106"/>
      <c r="B135" s="168"/>
      <c r="E135" s="109" t="str">
        <f t="shared" si="28"/>
        <v>Net cashflow after fiscal regime: IOC</v>
      </c>
      <c r="G135" s="109" t="str">
        <f t="shared" si="29"/>
        <v>US$ mn 2021</v>
      </c>
      <c r="I135" s="109">
        <f t="shared" ca="1" si="30"/>
        <v>8704.1330285901367</v>
      </c>
      <c r="K135" s="109">
        <f t="shared" ref="K135:AX135" ca="1" si="36" xml:space="preserve"> K38 / K$80</f>
        <v>-430</v>
      </c>
      <c r="L135" s="109">
        <f t="shared" ca="1" si="36"/>
        <v>-15</v>
      </c>
      <c r="M135" s="109">
        <f t="shared" ca="1" si="36"/>
        <v>-90.000000000000028</v>
      </c>
      <c r="N135" s="109">
        <f t="shared" ca="1" si="36"/>
        <v>-359.99999999999994</v>
      </c>
      <c r="O135" s="109">
        <f t="shared" ca="1" si="36"/>
        <v>-306.92424811633282</v>
      </c>
      <c r="P135" s="109">
        <f t="shared" ca="1" si="36"/>
        <v>326.91710527891212</v>
      </c>
      <c r="Q135" s="109">
        <f t="shared" ca="1" si="36"/>
        <v>408.15694636287162</v>
      </c>
      <c r="R135" s="109">
        <f t="shared" ca="1" si="36"/>
        <v>716.00712064570746</v>
      </c>
      <c r="S135" s="109">
        <f t="shared" ca="1" si="36"/>
        <v>807.07378333770725</v>
      </c>
      <c r="T135" s="109">
        <f t="shared" ca="1" si="36"/>
        <v>702.22244604555624</v>
      </c>
      <c r="U135" s="109">
        <f t="shared" ca="1" si="36"/>
        <v>629.06802101561345</v>
      </c>
      <c r="V135" s="109">
        <f t="shared" ca="1" si="36"/>
        <v>602.84611619536145</v>
      </c>
      <c r="W135" s="109">
        <f t="shared" ca="1" si="36"/>
        <v>583.14006444278107</v>
      </c>
      <c r="X135" s="109">
        <f t="shared" ca="1" si="36"/>
        <v>596.32759702267185</v>
      </c>
      <c r="Y135" s="109">
        <f t="shared" ca="1" si="36"/>
        <v>609.11453021540819</v>
      </c>
      <c r="Z135" s="109">
        <f t="shared" ca="1" si="36"/>
        <v>621.51150362303179</v>
      </c>
      <c r="AA135" s="109">
        <f t="shared" ca="1" si="36"/>
        <v>631.30979508418841</v>
      </c>
      <c r="AB135" s="109">
        <f t="shared" ca="1" si="36"/>
        <v>629.55137532863637</v>
      </c>
      <c r="AC135" s="109">
        <f t="shared" ca="1" si="36"/>
        <v>531.67039239752637</v>
      </c>
      <c r="AD135" s="109">
        <f t="shared" ca="1" si="36"/>
        <v>279.36483827324702</v>
      </c>
      <c r="AE135" s="109">
        <f t="shared" ca="1" si="36"/>
        <v>196.89100006805074</v>
      </c>
      <c r="AF135" s="109">
        <f t="shared" ca="1" si="36"/>
        <v>260.96952201911745</v>
      </c>
      <c r="AG135" s="109">
        <f t="shared" ca="1" si="36"/>
        <v>229.14032679318095</v>
      </c>
      <c r="AH135" s="109">
        <f t="shared" ca="1" si="36"/>
        <v>178.38733129057556</v>
      </c>
      <c r="AI135" s="109">
        <f t="shared" ca="1" si="36"/>
        <v>127.61025825921733</v>
      </c>
      <c r="AJ135" s="109">
        <f t="shared" ca="1" si="36"/>
        <v>85.23294558518721</v>
      </c>
      <c r="AK135" s="109">
        <f t="shared" ca="1" si="36"/>
        <v>59.840347482615819</v>
      </c>
      <c r="AL135" s="109">
        <f t="shared" ca="1" si="36"/>
        <v>39.825147309059105</v>
      </c>
      <c r="AM135" s="109">
        <f t="shared" ca="1" si="36"/>
        <v>31.00386766375447</v>
      </c>
      <c r="AN135" s="109">
        <f t="shared" ca="1" si="36"/>
        <v>16.13936659434588</v>
      </c>
      <c r="AO135" s="109">
        <f t="shared" ca="1" si="36"/>
        <v>6.735528372146443</v>
      </c>
      <c r="AP135" s="109">
        <f t="shared" ca="1" si="36"/>
        <v>0</v>
      </c>
      <c r="AQ135" s="109">
        <f t="shared" ca="1" si="36"/>
        <v>0</v>
      </c>
      <c r="AR135" s="109">
        <f t="shared" ca="1" si="36"/>
        <v>0</v>
      </c>
      <c r="AS135" s="109">
        <f t="shared" ca="1" si="36"/>
        <v>0</v>
      </c>
      <c r="AT135" s="109">
        <f t="shared" ca="1" si="36"/>
        <v>0</v>
      </c>
      <c r="AU135" s="109">
        <f t="shared" ca="1" si="36"/>
        <v>0</v>
      </c>
      <c r="AV135" s="109">
        <f t="shared" ca="1" si="36"/>
        <v>0</v>
      </c>
      <c r="AW135" s="109">
        <f t="shared" ca="1" si="36"/>
        <v>0</v>
      </c>
      <c r="AX135" s="109">
        <f t="shared" ca="1" si="36"/>
        <v>0</v>
      </c>
    </row>
    <row r="136" spans="1:50" s="109" customFormat="1" ht="15" customHeight="1" x14ac:dyDescent="0.25">
      <c r="A136" s="106"/>
      <c r="B136" s="168"/>
      <c r="E136" s="109" t="str">
        <f t="shared" si="28"/>
        <v>Lender cashflows after interest withholding tax: IOC parent</v>
      </c>
      <c r="G136" s="109" t="str">
        <f t="shared" si="29"/>
        <v>US$ mn 2021</v>
      </c>
      <c r="I136" s="109">
        <f t="shared" ca="1" si="30"/>
        <v>523.4019380701593</v>
      </c>
      <c r="K136" s="109">
        <f t="shared" ref="K136:AX136" ca="1" si="37" xml:space="preserve"> K39 / K$80</f>
        <v>0</v>
      </c>
      <c r="L136" s="109">
        <f t="shared" ca="1" si="37"/>
        <v>-27.999999999999996</v>
      </c>
      <c r="M136" s="109">
        <f t="shared" ca="1" si="37"/>
        <v>-168</v>
      </c>
      <c r="N136" s="109">
        <f t="shared" ca="1" si="37"/>
        <v>-672</v>
      </c>
      <c r="O136" s="109">
        <f t="shared" ca="1" si="37"/>
        <v>-672</v>
      </c>
      <c r="P136" s="109">
        <f t="shared" ca="1" si="37"/>
        <v>-1175.9999999999998</v>
      </c>
      <c r="Q136" s="109">
        <f t="shared" ca="1" si="37"/>
        <v>409.07020052409655</v>
      </c>
      <c r="R136" s="109">
        <f t="shared" ca="1" si="37"/>
        <v>388.50023907644999</v>
      </c>
      <c r="S136" s="109">
        <f t="shared" ca="1" si="37"/>
        <v>368.57966858118181</v>
      </c>
      <c r="T136" s="109">
        <f t="shared" ca="1" si="37"/>
        <v>349.29093120834369</v>
      </c>
      <c r="U136" s="109">
        <f t="shared" ca="1" si="37"/>
        <v>330.61690800061461</v>
      </c>
      <c r="V136" s="109">
        <f t="shared" ca="1" si="37"/>
        <v>312.540908413024</v>
      </c>
      <c r="W136" s="109">
        <f t="shared" ca="1" si="37"/>
        <v>295.04666009415058</v>
      </c>
      <c r="X136" s="109">
        <f t="shared" ca="1" si="37"/>
        <v>278.11829890334792</v>
      </c>
      <c r="Y136" s="109">
        <f t="shared" ca="1" si="37"/>
        <v>261.74035915866898</v>
      </c>
      <c r="Z136" s="109">
        <f t="shared" ca="1" si="37"/>
        <v>245.8977641102814</v>
      </c>
      <c r="AA136" s="109">
        <f t="shared" ca="1" si="37"/>
        <v>0</v>
      </c>
      <c r="AB136" s="109">
        <f t="shared" ca="1" si="37"/>
        <v>0</v>
      </c>
      <c r="AC136" s="109">
        <f t="shared" ca="1" si="37"/>
        <v>0</v>
      </c>
      <c r="AD136" s="109">
        <f t="shared" ca="1" si="37"/>
        <v>0</v>
      </c>
      <c r="AE136" s="109">
        <f t="shared" ca="1" si="37"/>
        <v>0</v>
      </c>
      <c r="AF136" s="109">
        <f t="shared" ca="1" si="37"/>
        <v>0</v>
      </c>
      <c r="AG136" s="109">
        <f t="shared" ca="1" si="37"/>
        <v>0</v>
      </c>
      <c r="AH136" s="109">
        <f t="shared" ca="1" si="37"/>
        <v>0</v>
      </c>
      <c r="AI136" s="109">
        <f t="shared" ca="1" si="37"/>
        <v>0</v>
      </c>
      <c r="AJ136" s="109">
        <f t="shared" ca="1" si="37"/>
        <v>0</v>
      </c>
      <c r="AK136" s="109">
        <f t="shared" ca="1" si="37"/>
        <v>0</v>
      </c>
      <c r="AL136" s="109">
        <f t="shared" ca="1" si="37"/>
        <v>0</v>
      </c>
      <c r="AM136" s="109">
        <f t="shared" ca="1" si="37"/>
        <v>0</v>
      </c>
      <c r="AN136" s="109">
        <f t="shared" ca="1" si="37"/>
        <v>0</v>
      </c>
      <c r="AO136" s="109">
        <f t="shared" ca="1" si="37"/>
        <v>0</v>
      </c>
      <c r="AP136" s="109">
        <f t="shared" ca="1" si="37"/>
        <v>0</v>
      </c>
      <c r="AQ136" s="109">
        <f t="shared" ca="1" si="37"/>
        <v>0</v>
      </c>
      <c r="AR136" s="109">
        <f t="shared" ca="1" si="37"/>
        <v>0</v>
      </c>
      <c r="AS136" s="109">
        <f t="shared" ca="1" si="37"/>
        <v>0</v>
      </c>
      <c r="AT136" s="109">
        <f t="shared" ca="1" si="37"/>
        <v>0</v>
      </c>
      <c r="AU136" s="109">
        <f t="shared" ca="1" si="37"/>
        <v>0</v>
      </c>
      <c r="AV136" s="109">
        <f t="shared" ca="1" si="37"/>
        <v>0</v>
      </c>
      <c r="AW136" s="109">
        <f t="shared" ca="1" si="37"/>
        <v>0</v>
      </c>
      <c r="AX136" s="109">
        <f t="shared" ca="1" si="37"/>
        <v>0</v>
      </c>
    </row>
    <row r="137" spans="1:50" s="109" customFormat="1" ht="15" customHeight="1" x14ac:dyDescent="0.25">
      <c r="A137" s="106"/>
      <c r="B137" s="168"/>
      <c r="E137" s="109" t="str">
        <f t="shared" si="28"/>
        <v>Investors (IOC + Lender)</v>
      </c>
      <c r="G137" s="109" t="str">
        <f t="shared" si="29"/>
        <v>US$ mn 2021</v>
      </c>
      <c r="I137" s="109">
        <f t="shared" ca="1" si="30"/>
        <v>9227.534966660296</v>
      </c>
      <c r="K137" s="109">
        <f t="shared" ref="K137:AX137" ca="1" si="38" xml:space="preserve"> K40 / K$80</f>
        <v>-430</v>
      </c>
      <c r="L137" s="109">
        <f t="shared" ca="1" si="38"/>
        <v>-43</v>
      </c>
      <c r="M137" s="109">
        <f t="shared" ca="1" si="38"/>
        <v>-258</v>
      </c>
      <c r="N137" s="109">
        <f t="shared" ca="1" si="38"/>
        <v>-1032</v>
      </c>
      <c r="O137" s="109">
        <f t="shared" ca="1" si="38"/>
        <v>-978.92424811633282</v>
      </c>
      <c r="P137" s="109">
        <f t="shared" ca="1" si="38"/>
        <v>-849.08289472108777</v>
      </c>
      <c r="Q137" s="109">
        <f t="shared" ca="1" si="38"/>
        <v>817.22714688696817</v>
      </c>
      <c r="R137" s="109">
        <f t="shared" ca="1" si="38"/>
        <v>1104.5073597221574</v>
      </c>
      <c r="S137" s="109">
        <f t="shared" ca="1" si="38"/>
        <v>1175.653451918889</v>
      </c>
      <c r="T137" s="109">
        <f t="shared" ca="1" si="38"/>
        <v>1051.5133772538998</v>
      </c>
      <c r="U137" s="109">
        <f t="shared" ca="1" si="38"/>
        <v>959.68492901622801</v>
      </c>
      <c r="V137" s="109">
        <f t="shared" ca="1" si="38"/>
        <v>915.38702460838545</v>
      </c>
      <c r="W137" s="109">
        <f t="shared" ca="1" si="38"/>
        <v>878.18672453693159</v>
      </c>
      <c r="X137" s="109">
        <f t="shared" ca="1" si="38"/>
        <v>874.44589592601972</v>
      </c>
      <c r="Y137" s="109">
        <f t="shared" ca="1" si="38"/>
        <v>870.85488937407717</v>
      </c>
      <c r="Z137" s="109">
        <f t="shared" ca="1" si="38"/>
        <v>867.40926773331307</v>
      </c>
      <c r="AA137" s="109">
        <f t="shared" ca="1" si="38"/>
        <v>631.30979508418841</v>
      </c>
      <c r="AB137" s="109">
        <f t="shared" ca="1" si="38"/>
        <v>629.55137532863637</v>
      </c>
      <c r="AC137" s="109">
        <f t="shared" ca="1" si="38"/>
        <v>531.67039239752637</v>
      </c>
      <c r="AD137" s="109">
        <f t="shared" ca="1" si="38"/>
        <v>279.36483827324702</v>
      </c>
      <c r="AE137" s="109">
        <f t="shared" ca="1" si="38"/>
        <v>196.89100006805074</v>
      </c>
      <c r="AF137" s="109">
        <f t="shared" ca="1" si="38"/>
        <v>260.96952201911745</v>
      </c>
      <c r="AG137" s="109">
        <f t="shared" ca="1" si="38"/>
        <v>229.14032679318095</v>
      </c>
      <c r="AH137" s="109">
        <f t="shared" ca="1" si="38"/>
        <v>178.38733129057556</v>
      </c>
      <c r="AI137" s="109">
        <f t="shared" ca="1" si="38"/>
        <v>127.61025825921733</v>
      </c>
      <c r="AJ137" s="109">
        <f t="shared" ca="1" si="38"/>
        <v>85.23294558518721</v>
      </c>
      <c r="AK137" s="109">
        <f t="shared" ca="1" si="38"/>
        <v>59.840347482615819</v>
      </c>
      <c r="AL137" s="109">
        <f t="shared" ca="1" si="38"/>
        <v>39.825147309059105</v>
      </c>
      <c r="AM137" s="109">
        <f t="shared" ca="1" si="38"/>
        <v>31.00386766375447</v>
      </c>
      <c r="AN137" s="109">
        <f t="shared" ca="1" si="38"/>
        <v>16.13936659434588</v>
      </c>
      <c r="AO137" s="109">
        <f t="shared" ca="1" si="38"/>
        <v>6.735528372146443</v>
      </c>
      <c r="AP137" s="109">
        <f t="shared" ca="1" si="38"/>
        <v>0</v>
      </c>
      <c r="AQ137" s="109">
        <f t="shared" ca="1" si="38"/>
        <v>0</v>
      </c>
      <c r="AR137" s="109">
        <f t="shared" ca="1" si="38"/>
        <v>0</v>
      </c>
      <c r="AS137" s="109">
        <f t="shared" ca="1" si="38"/>
        <v>0</v>
      </c>
      <c r="AT137" s="109">
        <f t="shared" ca="1" si="38"/>
        <v>0</v>
      </c>
      <c r="AU137" s="109">
        <f t="shared" ca="1" si="38"/>
        <v>0</v>
      </c>
      <c r="AV137" s="109">
        <f t="shared" ca="1" si="38"/>
        <v>0</v>
      </c>
      <c r="AW137" s="109">
        <f t="shared" ca="1" si="38"/>
        <v>0</v>
      </c>
      <c r="AX137" s="109">
        <f t="shared" ca="1" si="38"/>
        <v>0</v>
      </c>
    </row>
    <row r="138" spans="1:50" s="109" customFormat="1" ht="15" customHeight="1" x14ac:dyDescent="0.25">
      <c r="A138" s="106"/>
      <c r="B138" s="168"/>
      <c r="E138" s="109" t="str">
        <f t="shared" si="28"/>
        <v>Project benefits</v>
      </c>
      <c r="G138" s="109" t="str">
        <f t="shared" si="29"/>
        <v>US$ mn 2021</v>
      </c>
      <c r="I138" s="109">
        <f t="shared" ca="1" si="30"/>
        <v>38752.023863224538</v>
      </c>
      <c r="K138" s="109">
        <f t="shared" ref="K138:AX138" ca="1" si="39" xml:space="preserve"> K41 / K$80</f>
        <v>0</v>
      </c>
      <c r="L138" s="109">
        <f t="shared" ca="1" si="39"/>
        <v>0</v>
      </c>
      <c r="M138" s="109">
        <f t="shared" ca="1" si="39"/>
        <v>0</v>
      </c>
      <c r="N138" s="109">
        <f t="shared" ca="1" si="39"/>
        <v>0</v>
      </c>
      <c r="O138" s="109">
        <f t="shared" ca="1" si="39"/>
        <v>141.65835816431044</v>
      </c>
      <c r="P138" s="109">
        <f t="shared" ca="1" si="39"/>
        <v>1325.625</v>
      </c>
      <c r="Q138" s="109">
        <f t="shared" ca="1" si="39"/>
        <v>2751.25</v>
      </c>
      <c r="R138" s="109">
        <f t="shared" ca="1" si="39"/>
        <v>2751.25</v>
      </c>
      <c r="S138" s="109">
        <f t="shared" ca="1" si="39"/>
        <v>2751.25</v>
      </c>
      <c r="T138" s="109">
        <f t="shared" ca="1" si="39"/>
        <v>2751.25</v>
      </c>
      <c r="U138" s="109">
        <f t="shared" ca="1" si="39"/>
        <v>2751.25</v>
      </c>
      <c r="V138" s="109">
        <f t="shared" ca="1" si="39"/>
        <v>2751.2499999999995</v>
      </c>
      <c r="W138" s="109">
        <f t="shared" ca="1" si="39"/>
        <v>2751.2500000000005</v>
      </c>
      <c r="X138" s="109">
        <f t="shared" ca="1" si="39"/>
        <v>2751.25</v>
      </c>
      <c r="Y138" s="109">
        <f t="shared" ca="1" si="39"/>
        <v>2751.25</v>
      </c>
      <c r="Z138" s="109">
        <f t="shared" ca="1" si="39"/>
        <v>2751.25</v>
      </c>
      <c r="AA138" s="109">
        <f t="shared" ca="1" si="39"/>
        <v>2179.1125000000006</v>
      </c>
      <c r="AB138" s="109">
        <f t="shared" ca="1" si="39"/>
        <v>1715.6811250000007</v>
      </c>
      <c r="AC138" s="109">
        <f t="shared" ca="1" si="39"/>
        <v>1450.3017112500004</v>
      </c>
      <c r="AD138" s="109">
        <f t="shared" ca="1" si="39"/>
        <v>1156.2443861125007</v>
      </c>
      <c r="AE138" s="109">
        <f t="shared" ca="1" si="39"/>
        <v>929.9579527511255</v>
      </c>
      <c r="AF138" s="109">
        <f t="shared" ca="1" si="39"/>
        <v>739.46594172841185</v>
      </c>
      <c r="AG138" s="109">
        <f t="shared" ca="1" si="39"/>
        <v>588.87741280001364</v>
      </c>
      <c r="AH138" s="109">
        <f t="shared" ca="1" si="39"/>
        <v>462.99070436801105</v>
      </c>
      <c r="AI138" s="109">
        <f t="shared" ca="1" si="39"/>
        <v>361.972470538089</v>
      </c>
      <c r="AJ138" s="109">
        <f t="shared" ca="1" si="39"/>
        <v>281.09770113585205</v>
      </c>
      <c r="AK138" s="109">
        <f t="shared" ca="1" si="39"/>
        <v>216.53913792004025</v>
      </c>
      <c r="AL138" s="109">
        <f t="shared" ca="1" si="39"/>
        <v>-84.803298284767479</v>
      </c>
      <c r="AM138" s="109">
        <f t="shared" ca="1" si="39"/>
        <v>124.55932838933838</v>
      </c>
      <c r="AN138" s="109">
        <f t="shared" ca="1" si="39"/>
        <v>87.593055995364097</v>
      </c>
      <c r="AO138" s="109">
        <f t="shared" ca="1" si="39"/>
        <v>62.650375356244943</v>
      </c>
      <c r="AP138" s="109">
        <f t="shared" ca="1" si="39"/>
        <v>-250</v>
      </c>
      <c r="AQ138" s="109">
        <f t="shared" ca="1" si="39"/>
        <v>-250</v>
      </c>
      <c r="AR138" s="109">
        <f t="shared" ca="1" si="39"/>
        <v>0</v>
      </c>
      <c r="AS138" s="109">
        <f t="shared" ca="1" si="39"/>
        <v>0</v>
      </c>
      <c r="AT138" s="109">
        <f t="shared" ca="1" si="39"/>
        <v>0</v>
      </c>
      <c r="AU138" s="109">
        <f t="shared" ca="1" si="39"/>
        <v>0</v>
      </c>
      <c r="AV138" s="109">
        <f t="shared" ca="1" si="39"/>
        <v>0</v>
      </c>
      <c r="AW138" s="109">
        <f t="shared" ca="1" si="39"/>
        <v>0</v>
      </c>
      <c r="AX138" s="109">
        <f t="shared" ca="1" si="39"/>
        <v>0</v>
      </c>
    </row>
    <row r="139" spans="1:50" s="109" customFormat="1" ht="15" customHeight="1" x14ac:dyDescent="0.25">
      <c r="A139" s="106"/>
      <c r="B139" s="168"/>
    </row>
    <row r="140" spans="1:50" s="109" customFormat="1" ht="15" customHeight="1" x14ac:dyDescent="0.25">
      <c r="A140" s="106"/>
      <c r="B140" s="168"/>
      <c r="E140" s="109" t="str">
        <f xml:space="preserve"> Translate!E$755 &amp; " " &amp; Translate!E$813 &amp; ": "  &amp; Inputs!F$91 &amp; ", " &amp; Inputs!F$89</f>
        <v>Check:  Cashflows: real, full-cycle</v>
      </c>
      <c r="F140" s="71">
        <f ca="1" xml:space="preserve"> MIN( 1, SUM(K140:AX140))</f>
        <v>0</v>
      </c>
      <c r="G140" s="109" t="str">
        <f xml:space="preserve"> Translate!E$604</f>
        <v>Check</v>
      </c>
      <c r="I140" s="109">
        <f ca="1" xml:space="preserve"> SUM(K140:AX140)</f>
        <v>0</v>
      </c>
      <c r="K140" s="71">
        <f t="shared" ref="K140:AX140" ca="1" si="40" xml:space="preserve"> IF( ABS(K130 + K131 - SUM(K134:K136)) &gt; CHK_TOL, 1, 0)</f>
        <v>0</v>
      </c>
      <c r="L140" s="71">
        <f t="shared" ca="1" si="40"/>
        <v>0</v>
      </c>
      <c r="M140" s="71">
        <f t="shared" ca="1" si="40"/>
        <v>0</v>
      </c>
      <c r="N140" s="71">
        <f t="shared" ca="1" si="40"/>
        <v>0</v>
      </c>
      <c r="O140" s="71">
        <f t="shared" ca="1" si="40"/>
        <v>0</v>
      </c>
      <c r="P140" s="71">
        <f t="shared" ca="1" si="40"/>
        <v>0</v>
      </c>
      <c r="Q140" s="71">
        <f t="shared" ca="1" si="40"/>
        <v>0</v>
      </c>
      <c r="R140" s="71">
        <f t="shared" ca="1" si="40"/>
        <v>0</v>
      </c>
      <c r="S140" s="71">
        <f t="shared" ca="1" si="40"/>
        <v>0</v>
      </c>
      <c r="T140" s="71">
        <f t="shared" ca="1" si="40"/>
        <v>0</v>
      </c>
      <c r="U140" s="71">
        <f t="shared" ca="1" si="40"/>
        <v>0</v>
      </c>
      <c r="V140" s="71">
        <f t="shared" ca="1" si="40"/>
        <v>0</v>
      </c>
      <c r="W140" s="71">
        <f t="shared" ca="1" si="40"/>
        <v>0</v>
      </c>
      <c r="X140" s="71">
        <f t="shared" ca="1" si="40"/>
        <v>0</v>
      </c>
      <c r="Y140" s="71">
        <f t="shared" ca="1" si="40"/>
        <v>0</v>
      </c>
      <c r="Z140" s="71">
        <f t="shared" ca="1" si="40"/>
        <v>0</v>
      </c>
      <c r="AA140" s="71">
        <f t="shared" ca="1" si="40"/>
        <v>0</v>
      </c>
      <c r="AB140" s="71">
        <f t="shared" ca="1" si="40"/>
        <v>0</v>
      </c>
      <c r="AC140" s="71">
        <f t="shared" ca="1" si="40"/>
        <v>0</v>
      </c>
      <c r="AD140" s="71">
        <f t="shared" ca="1" si="40"/>
        <v>0</v>
      </c>
      <c r="AE140" s="71">
        <f t="shared" ca="1" si="40"/>
        <v>0</v>
      </c>
      <c r="AF140" s="71">
        <f t="shared" ca="1" si="40"/>
        <v>0</v>
      </c>
      <c r="AG140" s="71">
        <f t="shared" ca="1" si="40"/>
        <v>0</v>
      </c>
      <c r="AH140" s="71">
        <f t="shared" ca="1" si="40"/>
        <v>0</v>
      </c>
      <c r="AI140" s="71">
        <f t="shared" ca="1" si="40"/>
        <v>0</v>
      </c>
      <c r="AJ140" s="71">
        <f t="shared" ca="1" si="40"/>
        <v>0</v>
      </c>
      <c r="AK140" s="71">
        <f t="shared" ca="1" si="40"/>
        <v>0</v>
      </c>
      <c r="AL140" s="71">
        <f t="shared" ca="1" si="40"/>
        <v>0</v>
      </c>
      <c r="AM140" s="71">
        <f t="shared" ca="1" si="40"/>
        <v>0</v>
      </c>
      <c r="AN140" s="71">
        <f t="shared" ca="1" si="40"/>
        <v>0</v>
      </c>
      <c r="AO140" s="71">
        <f t="shared" ca="1" si="40"/>
        <v>0</v>
      </c>
      <c r="AP140" s="71">
        <f t="shared" ca="1" si="40"/>
        <v>0</v>
      </c>
      <c r="AQ140" s="71">
        <f t="shared" ca="1" si="40"/>
        <v>0</v>
      </c>
      <c r="AR140" s="71">
        <f t="shared" ca="1" si="40"/>
        <v>0</v>
      </c>
      <c r="AS140" s="71">
        <f t="shared" ca="1" si="40"/>
        <v>0</v>
      </c>
      <c r="AT140" s="71">
        <f t="shared" ca="1" si="40"/>
        <v>0</v>
      </c>
      <c r="AU140" s="71">
        <f t="shared" ca="1" si="40"/>
        <v>0</v>
      </c>
      <c r="AV140" s="71">
        <f t="shared" ca="1" si="40"/>
        <v>0</v>
      </c>
      <c r="AW140" s="71">
        <f t="shared" ca="1" si="40"/>
        <v>0</v>
      </c>
      <c r="AX140" s="71">
        <f t="shared" ca="1" si="40"/>
        <v>0</v>
      </c>
    </row>
    <row r="141" spans="1:50" s="109" customFormat="1" ht="15" customHeight="1" x14ac:dyDescent="0.25">
      <c r="A141" s="106"/>
      <c r="B141" s="168"/>
    </row>
    <row r="142" spans="1:50" s="109" customFormat="1" ht="15" customHeight="1" x14ac:dyDescent="0.25">
      <c r="A142" s="106"/>
      <c r="B142" s="168"/>
      <c r="E142" s="191" t="str">
        <f xml:space="preserve"> Translate!E$601 &amp; ": " &amp; E130</f>
        <v>Total: Cashflow before decommissioning fund</v>
      </c>
      <c r="F142" s="191">
        <f t="shared" ref="F142:F149" ca="1" si="41" xml:space="preserve"> SUM(K130:AX130)</f>
        <v>29282.023863224542</v>
      </c>
      <c r="G142" s="191" t="str">
        <f t="shared" ref="G142:G150" si="42" xml:space="preserve"> G130</f>
        <v>US$ mn 2021</v>
      </c>
    </row>
    <row r="143" spans="1:50" s="109" customFormat="1" ht="15" customHeight="1" x14ac:dyDescent="0.25">
      <c r="A143" s="106"/>
      <c r="B143" s="168"/>
      <c r="E143" s="109" t="str">
        <f xml:space="preserve"> Translate!E$601 &amp; ": " &amp; E131</f>
        <v>Total: Net decommissioning cashflows</v>
      </c>
      <c r="F143" s="191">
        <f t="shared" ca="1" si="41"/>
        <v>-15.100000000000165</v>
      </c>
      <c r="G143" s="109" t="str">
        <f t="shared" si="42"/>
        <v>US$ mn 2021</v>
      </c>
    </row>
    <row r="144" spans="1:50" s="109" customFormat="1" ht="15" customHeight="1" x14ac:dyDescent="0.25">
      <c r="A144" s="106"/>
      <c r="B144" s="168"/>
      <c r="E144" s="109" t="str">
        <f xml:space="preserve"> Translate!E$601 &amp; ": " &amp; E132</f>
        <v>Total: Government revenues excluding participation</v>
      </c>
      <c r="F144" s="191">
        <f t="shared" ca="1" si="41"/>
        <v>16056.404234002974</v>
      </c>
      <c r="G144" s="109" t="str">
        <f t="shared" si="42"/>
        <v>US$ mn 2021</v>
      </c>
    </row>
    <row r="145" spans="1:7" s="109" customFormat="1" ht="15" customHeight="1" x14ac:dyDescent="0.25">
      <c r="A145" s="106"/>
      <c r="B145" s="168"/>
      <c r="E145" s="109" t="str">
        <f xml:space="preserve"> Translate!E$601 &amp; ": " &amp; E133</f>
        <v>Total: SOC net cash flow before tax, after carried interest, including share of lender cashflows</v>
      </c>
      <c r="F145" s="191">
        <f t="shared" ca="1" si="41"/>
        <v>3982.9846625612686</v>
      </c>
      <c r="G145" s="109" t="str">
        <f t="shared" si="42"/>
        <v>US$ mn 2021</v>
      </c>
    </row>
    <row r="146" spans="1:7" s="109" customFormat="1" ht="15" customHeight="1" x14ac:dyDescent="0.25">
      <c r="A146" s="106"/>
      <c r="B146" s="168"/>
      <c r="E146" s="109" t="str">
        <f xml:space="preserve"> Translate!E$601 &amp; ": " &amp; E134</f>
        <v>Total: Government revenues including participation</v>
      </c>
      <c r="F146" s="191">
        <f t="shared" ca="1" si="41"/>
        <v>20039.388896564244</v>
      </c>
      <c r="G146" s="109" t="str">
        <f t="shared" si="42"/>
        <v>US$ mn 2021</v>
      </c>
    </row>
    <row r="147" spans="1:7" s="109" customFormat="1" ht="15" customHeight="1" x14ac:dyDescent="0.25">
      <c r="A147" s="106"/>
      <c r="B147" s="168"/>
      <c r="E147" s="109" t="str">
        <f xml:space="preserve"> Translate!E$601 &amp; ": " &amp; E135</f>
        <v>Total: Net cashflow after fiscal regime: IOC</v>
      </c>
      <c r="F147" s="191">
        <f t="shared" ca="1" si="41"/>
        <v>8704.1330285901367</v>
      </c>
      <c r="G147" s="109" t="str">
        <f t="shared" si="42"/>
        <v>US$ mn 2021</v>
      </c>
    </row>
    <row r="148" spans="1:7" s="109" customFormat="1" ht="15" customHeight="1" x14ac:dyDescent="0.25">
      <c r="A148" s="106"/>
      <c r="B148" s="168"/>
      <c r="E148" s="109" t="str">
        <f xml:space="preserve"> Translate!E$601 &amp; ": " &amp; E136</f>
        <v>Total: Lender cashflows after interest withholding tax: IOC parent</v>
      </c>
      <c r="F148" s="191">
        <f t="shared" ca="1" si="41"/>
        <v>523.4019380701593</v>
      </c>
      <c r="G148" s="109" t="str">
        <f t="shared" si="42"/>
        <v>US$ mn 2021</v>
      </c>
    </row>
    <row r="149" spans="1:7" s="109" customFormat="1" ht="15" customHeight="1" x14ac:dyDescent="0.25">
      <c r="A149" s="106"/>
      <c r="B149" s="168"/>
      <c r="E149" s="109" t="str">
        <f xml:space="preserve"> Translate!E$601 &amp; ": " &amp; E137</f>
        <v>Total: Investors (IOC + Lender)</v>
      </c>
      <c r="F149" s="191">
        <f t="shared" ca="1" si="41"/>
        <v>9227.534966660296</v>
      </c>
      <c r="G149" s="109" t="str">
        <f t="shared" si="42"/>
        <v>US$ mn 2021</v>
      </c>
    </row>
    <row r="150" spans="1:7" s="109" customFormat="1" ht="15" customHeight="1" x14ac:dyDescent="0.25">
      <c r="A150" s="106"/>
      <c r="B150" s="168"/>
      <c r="E150" s="109" t="str">
        <f xml:space="preserve"> Translate!E$601 &amp; ": " &amp; E138</f>
        <v>Total: Project benefits</v>
      </c>
      <c r="F150" s="109">
        <f ca="1" xml:space="preserve"> SUM(K138:AX138)</f>
        <v>38752.023863224538</v>
      </c>
      <c r="G150" s="109" t="str">
        <f t="shared" si="42"/>
        <v>US$ mn 2021</v>
      </c>
    </row>
    <row r="151" spans="1:7" s="109" customFormat="1" ht="15" customHeight="1" x14ac:dyDescent="0.25">
      <c r="A151" s="106"/>
      <c r="B151" s="168"/>
    </row>
    <row r="152" spans="1:7" s="109" customFormat="1" ht="15" customHeight="1" x14ac:dyDescent="0.25">
      <c r="A152" s="106"/>
      <c r="B152" s="168"/>
      <c r="E152" s="109" t="str">
        <f xml:space="preserve"> Translate!E$755 &amp; Translate!E$601 &amp; " " &amp; B79</f>
        <v>Check: Total Cashflows: full-cycle, real</v>
      </c>
      <c r="F152" s="71">
        <f ca="1" xml:space="preserve"> IF( ABS(F142 + F143 - SUM(F146:F148) ) &gt; CHK_TOL, 1, 0)</f>
        <v>0</v>
      </c>
      <c r="G152" s="109" t="str">
        <f xml:space="preserve"> Translate!E$604</f>
        <v>Check</v>
      </c>
    </row>
    <row r="153" spans="1:7" s="109" customFormat="1" ht="15" customHeight="1" x14ac:dyDescent="0.25">
      <c r="A153" s="106"/>
      <c r="B153" s="168"/>
    </row>
    <row r="154" spans="1:7" s="109" customFormat="1" ht="15" customHeight="1" x14ac:dyDescent="0.25">
      <c r="A154" s="106"/>
      <c r="B154" s="189" t="str">
        <f>Translate!$E$703  &amp; ": "  &amp; Inputs!F$89 &amp; ", " &amp; Inputs!F$91</f>
        <v>Government share metrics: full-cycle, real</v>
      </c>
    </row>
    <row r="155" spans="1:7" s="109" customFormat="1" ht="15" customHeight="1" x14ac:dyDescent="0.25">
      <c r="A155" s="106"/>
      <c r="B155" s="168"/>
      <c r="E155" s="109" t="str">
        <f>Translate!$E$707</f>
        <v>Average effective tax rate (excl. participation)</v>
      </c>
      <c r="F155" s="76">
        <f ca="1" xml:space="preserve"> F144 / F142</f>
        <v>0.54833655996600361</v>
      </c>
      <c r="G155" s="413" t="str">
        <f xml:space="preserve"> "% " &amp; Inputs!F$89 &amp; ", " &amp; Inputs!F$91 &amp; ", " &amp; Inputs!F$93</f>
        <v>% full-cycle, real, undiscounted</v>
      </c>
    </row>
    <row r="156" spans="1:7" s="109" customFormat="1" ht="15" customHeight="1" x14ac:dyDescent="0.25">
      <c r="A156" s="106"/>
      <c r="B156" s="168"/>
      <c r="E156" s="191" t="str">
        <f>Translate!$E$708</f>
        <v>Average effective tax rate (incl. participation)</v>
      </c>
      <c r="F156" s="334">
        <f ca="1" xml:space="preserve"> F146 / F142</f>
        <v>0.68435805496804558</v>
      </c>
      <c r="G156" s="191" t="str">
        <f xml:space="preserve"> "% " &amp; Inputs!F$89 &amp; ", " &amp; Inputs!F$91 &amp; ", " &amp; Inputs!F$93</f>
        <v>% full-cycle, real, undiscounted</v>
      </c>
    </row>
    <row r="157" spans="1:7" s="109" customFormat="1" ht="15" customHeight="1" x14ac:dyDescent="0.25">
      <c r="A157" s="106"/>
      <c r="B157" s="168"/>
      <c r="E157" s="109" t="str">
        <f xml:space="preserve"> Translate!E$119</f>
        <v>Government share of project benefits</v>
      </c>
      <c r="F157" s="334">
        <f ca="1" xml:space="preserve"> F146 / F150</f>
        <v>0.51711851146906207</v>
      </c>
      <c r="G157" s="413" t="str">
        <f xml:space="preserve"> "% " &amp; Inputs!F$89 &amp; ", " &amp; Inputs!F$91 &amp; ", " &amp; Inputs!F$93</f>
        <v>% full-cycle, real, undiscounted</v>
      </c>
    </row>
    <row r="158" spans="1:7" s="109" customFormat="1" ht="15" customHeight="1" x14ac:dyDescent="0.25">
      <c r="A158" s="106"/>
      <c r="B158" s="168"/>
    </row>
    <row r="159" spans="1:7" s="109" customFormat="1" ht="15" customHeight="1" x14ac:dyDescent="0.25">
      <c r="A159" s="106"/>
      <c r="B159" s="189" t="str">
        <f xml:space="preserve"> Translate!E$624  &amp; ": "  &amp; Inputs!F$89 &amp; ", " &amp; Inputs!F$91</f>
        <v>IRR: full-cycle, real</v>
      </c>
    </row>
    <row r="160" spans="1:7" s="109" customFormat="1" ht="15" customHeight="1" x14ac:dyDescent="0.25">
      <c r="A160" s="106"/>
      <c r="B160" s="168"/>
      <c r="E160" s="109" t="str">
        <f xml:space="preserve"> E130</f>
        <v>Cashflow before decommissioning fund</v>
      </c>
      <c r="F160" s="334">
        <f ca="1" xml:space="preserve"> IFERROR( IRR( K130:AX130), 0)</f>
        <v>0.32080257078416663</v>
      </c>
      <c r="G160" s="109" t="str">
        <f>" " &amp; Translate!E$408 &amp; " " &amp; G130</f>
        <v xml:space="preserve"> % p.a. US$ mn 2021</v>
      </c>
    </row>
    <row r="161" spans="1:50" s="109" customFormat="1" ht="15" customHeight="1" x14ac:dyDescent="0.25">
      <c r="A161" s="106"/>
      <c r="B161" s="168"/>
      <c r="E161" s="109" t="str">
        <f xml:space="preserve"> E135</f>
        <v>Net cashflow after fiscal regime: IOC</v>
      </c>
      <c r="F161" s="334">
        <f ca="1" xml:space="preserve"> IFERROR( IRR( K135:AX135), 0)</f>
        <v>0.2657782298330591</v>
      </c>
      <c r="G161" s="109" t="str">
        <f>" " &amp; Translate!E$408 &amp; " " &amp; G135</f>
        <v xml:space="preserve"> % p.a. US$ mn 2021</v>
      </c>
    </row>
    <row r="162" spans="1:50" s="109" customFormat="1" ht="15" customHeight="1" x14ac:dyDescent="0.25">
      <c r="A162" s="106"/>
      <c r="B162" s="168"/>
      <c r="E162" s="109" t="str">
        <f xml:space="preserve"> E136</f>
        <v>Lender cashflows after interest withholding tax: IOC parent</v>
      </c>
      <c r="F162" s="334">
        <f ca="1" xml:space="preserve"> IFERROR( IRR( K136:AX136), 0)</f>
        <v>3.0303570450990636E-2</v>
      </c>
      <c r="G162" s="109" t="str">
        <f>" " &amp; Translate!E$408 &amp; " " &amp; G136</f>
        <v xml:space="preserve"> % p.a. US$ mn 2021</v>
      </c>
    </row>
    <row r="163" spans="1:50" s="109" customFormat="1" ht="15" customHeight="1" x14ac:dyDescent="0.25">
      <c r="A163" s="106"/>
      <c r="B163" s="168"/>
      <c r="E163" s="109" t="str">
        <f xml:space="preserve"> E137</f>
        <v>Investors (IOC + Lender)</v>
      </c>
      <c r="F163" s="334">
        <f ca="1" xml:space="preserve"> IFERROR( IRR( K137:AX137), 0)</f>
        <v>0.17257303285373449</v>
      </c>
      <c r="G163" s="109" t="str">
        <f>" " &amp; Translate!E$408 &amp; " " &amp; G137</f>
        <v xml:space="preserve"> % p.a. US$ mn 2021</v>
      </c>
    </row>
    <row r="164" spans="1:50" s="109" customFormat="1" ht="15" customHeight="1" x14ac:dyDescent="0.25">
      <c r="A164" s="106"/>
      <c r="B164" s="168"/>
      <c r="E164" s="109" t="str">
        <f xml:space="preserve"> E133</f>
        <v>SOC net cash flow before tax, after carried interest, including share of lender cashflows</v>
      </c>
      <c r="F164" s="76">
        <f ca="1" xml:space="preserve"> IFERROR( IRR( K133:AX133), 0)</f>
        <v>0.30921009023404911</v>
      </c>
      <c r="G164" s="109" t="str">
        <f>" " &amp; Translate!E$408 &amp; " " &amp; G133</f>
        <v xml:space="preserve"> % p.a. US$ mn 2021</v>
      </c>
    </row>
    <row r="165" spans="1:50" s="109" customFormat="1" ht="15" customHeight="1" x14ac:dyDescent="0.25">
      <c r="A165" s="106"/>
      <c r="B165" s="168"/>
    </row>
    <row r="166" spans="1:50" s="109" customFormat="1" ht="15" customHeight="1" x14ac:dyDescent="0.25">
      <c r="A166" s="106"/>
      <c r="B166" s="189" t="str">
        <f>Translate!$E$700 &amp; ": " &amp; Inputs!F$89 &amp; ", " &amp; Inputs!F$91 &amp; ", " &amp; Inputs!F$93</f>
        <v>Payback: full-cycle, real, undiscounted</v>
      </c>
      <c r="H166" s="191"/>
      <c r="L166" s="191"/>
      <c r="M166" s="191"/>
      <c r="N166" s="191"/>
      <c r="O166" s="191"/>
      <c r="P166" s="191"/>
      <c r="Q166" s="191"/>
      <c r="R166" s="191"/>
      <c r="S166" s="191"/>
      <c r="T166" s="191"/>
      <c r="U166" s="191"/>
      <c r="V166" s="191"/>
      <c r="W166" s="191"/>
      <c r="X166" s="191"/>
      <c r="Y166" s="191"/>
      <c r="Z166" s="191"/>
      <c r="AA166" s="191"/>
      <c r="AB166" s="191"/>
      <c r="AC166" s="191"/>
      <c r="AD166" s="191"/>
      <c r="AE166" s="191"/>
      <c r="AF166" s="191"/>
      <c r="AG166" s="191"/>
      <c r="AH166" s="191"/>
      <c r="AI166" s="191"/>
      <c r="AJ166" s="191"/>
      <c r="AK166" s="191"/>
      <c r="AL166" s="191"/>
      <c r="AM166" s="191"/>
      <c r="AN166" s="191"/>
      <c r="AO166" s="191"/>
      <c r="AP166" s="191"/>
      <c r="AQ166" s="191"/>
      <c r="AR166" s="191"/>
      <c r="AS166" s="191"/>
      <c r="AT166" s="191"/>
      <c r="AU166" s="191"/>
      <c r="AV166" s="191"/>
      <c r="AW166" s="191"/>
      <c r="AX166" s="191"/>
    </row>
    <row r="167" spans="1:50" s="109" customFormat="1" ht="15" customHeight="1" x14ac:dyDescent="0.25">
      <c r="A167" s="106"/>
      <c r="B167" s="189"/>
      <c r="E167" s="109" t="str">
        <f t="shared" ref="E167:AX167" si="43" xml:space="preserve"> E130</f>
        <v>Cashflow before decommissioning fund</v>
      </c>
      <c r="F167" s="109">
        <f t="shared" si="43"/>
        <v>0</v>
      </c>
      <c r="G167" s="109" t="str">
        <f t="shared" si="43"/>
        <v>US$ mn 2021</v>
      </c>
      <c r="H167" s="109">
        <f t="shared" si="43"/>
        <v>0</v>
      </c>
      <c r="I167" s="109">
        <f t="shared" ca="1" si="43"/>
        <v>29282.023863224542</v>
      </c>
      <c r="J167" s="109">
        <f t="shared" si="43"/>
        <v>0</v>
      </c>
      <c r="K167" s="109">
        <f t="shared" ca="1" si="43"/>
        <v>-420</v>
      </c>
      <c r="L167" s="109">
        <f t="shared" ca="1" si="43"/>
        <v>-50</v>
      </c>
      <c r="M167" s="109">
        <f t="shared" ca="1" si="43"/>
        <v>-300</v>
      </c>
      <c r="N167" s="109">
        <f t="shared" ca="1" si="43"/>
        <v>-1200</v>
      </c>
      <c r="O167" s="109">
        <f t="shared" ca="1" si="43"/>
        <v>-1058.3416418356894</v>
      </c>
      <c r="P167" s="109">
        <f t="shared" ca="1" si="43"/>
        <v>-774.37500000000011</v>
      </c>
      <c r="Q167" s="109">
        <f t="shared" ca="1" si="43"/>
        <v>1651.2500000000002</v>
      </c>
      <c r="R167" s="109">
        <f t="shared" ca="1" si="43"/>
        <v>2301.25</v>
      </c>
      <c r="S167" s="109">
        <f t="shared" ca="1" si="43"/>
        <v>2501.25</v>
      </c>
      <c r="T167" s="109">
        <f t="shared" ca="1" si="43"/>
        <v>2501.2500000000005</v>
      </c>
      <c r="U167" s="109">
        <f t="shared" ca="1" si="43"/>
        <v>2501.2499999999995</v>
      </c>
      <c r="V167" s="109">
        <f t="shared" ca="1" si="43"/>
        <v>2501.25</v>
      </c>
      <c r="W167" s="109">
        <f t="shared" ca="1" si="43"/>
        <v>2501.25</v>
      </c>
      <c r="X167" s="109">
        <f t="shared" ca="1" si="43"/>
        <v>2501.25</v>
      </c>
      <c r="Y167" s="109">
        <f t="shared" ca="1" si="43"/>
        <v>2501.25</v>
      </c>
      <c r="Z167" s="109">
        <f t="shared" ca="1" si="43"/>
        <v>2501.25</v>
      </c>
      <c r="AA167" s="109">
        <f t="shared" ca="1" si="43"/>
        <v>1929.1125000000006</v>
      </c>
      <c r="AB167" s="109">
        <f t="shared" ca="1" si="43"/>
        <v>1715.6811250000007</v>
      </c>
      <c r="AC167" s="109">
        <f t="shared" ca="1" si="43"/>
        <v>1450.3017112500004</v>
      </c>
      <c r="AD167" s="109">
        <f t="shared" ca="1" si="43"/>
        <v>956.24438611250082</v>
      </c>
      <c r="AE167" s="109">
        <f t="shared" ca="1" si="43"/>
        <v>729.9579527511255</v>
      </c>
      <c r="AF167" s="109">
        <f t="shared" ca="1" si="43"/>
        <v>739.46594172841185</v>
      </c>
      <c r="AG167" s="109">
        <f t="shared" ca="1" si="43"/>
        <v>588.87741280001364</v>
      </c>
      <c r="AH167" s="109">
        <f t="shared" ca="1" si="43"/>
        <v>462.99070436801105</v>
      </c>
      <c r="AI167" s="109">
        <f t="shared" ca="1" si="43"/>
        <v>361.972470538089</v>
      </c>
      <c r="AJ167" s="109">
        <f t="shared" ca="1" si="43"/>
        <v>281.09770113585205</v>
      </c>
      <c r="AK167" s="109">
        <f t="shared" ca="1" si="43"/>
        <v>216.53913792004025</v>
      </c>
      <c r="AL167" s="109">
        <f t="shared" ca="1" si="43"/>
        <v>-84.803298284767507</v>
      </c>
      <c r="AM167" s="109">
        <f t="shared" ca="1" si="43"/>
        <v>124.55932838933838</v>
      </c>
      <c r="AN167" s="109">
        <f t="shared" ca="1" si="43"/>
        <v>87.593055995364097</v>
      </c>
      <c r="AO167" s="109">
        <f t="shared" ca="1" si="43"/>
        <v>62.650375356244943</v>
      </c>
      <c r="AP167" s="109">
        <f t="shared" ca="1" si="43"/>
        <v>-250</v>
      </c>
      <c r="AQ167" s="109">
        <f t="shared" ca="1" si="43"/>
        <v>-250</v>
      </c>
      <c r="AR167" s="109">
        <f t="shared" ca="1" si="43"/>
        <v>0</v>
      </c>
      <c r="AS167" s="109">
        <f t="shared" ca="1" si="43"/>
        <v>0</v>
      </c>
      <c r="AT167" s="109">
        <f t="shared" ca="1" si="43"/>
        <v>0</v>
      </c>
      <c r="AU167" s="109">
        <f t="shared" ca="1" si="43"/>
        <v>0</v>
      </c>
      <c r="AV167" s="109">
        <f t="shared" ca="1" si="43"/>
        <v>0</v>
      </c>
      <c r="AW167" s="109">
        <f t="shared" ca="1" si="43"/>
        <v>0</v>
      </c>
      <c r="AX167" s="109">
        <f t="shared" ca="1" si="43"/>
        <v>0</v>
      </c>
    </row>
    <row r="168" spans="1:50" s="109" customFormat="1" ht="15" customHeight="1" x14ac:dyDescent="0.25">
      <c r="A168" s="106"/>
      <c r="B168" s="189"/>
      <c r="E168" s="109" t="str">
        <f t="shared" ref="E168:AX168" si="44" xml:space="preserve"> E137</f>
        <v>Investors (IOC + Lender)</v>
      </c>
      <c r="F168" s="109">
        <f t="shared" si="44"/>
        <v>0</v>
      </c>
      <c r="G168" s="109" t="str">
        <f t="shared" si="44"/>
        <v>US$ mn 2021</v>
      </c>
      <c r="H168" s="109">
        <f t="shared" si="44"/>
        <v>0</v>
      </c>
      <c r="I168" s="109">
        <f t="shared" ca="1" si="44"/>
        <v>9227.534966660296</v>
      </c>
      <c r="J168" s="109">
        <f t="shared" si="44"/>
        <v>0</v>
      </c>
      <c r="K168" s="109">
        <f t="shared" ca="1" si="44"/>
        <v>-430</v>
      </c>
      <c r="L168" s="109">
        <f t="shared" ca="1" si="44"/>
        <v>-43</v>
      </c>
      <c r="M168" s="109">
        <f t="shared" ca="1" si="44"/>
        <v>-258</v>
      </c>
      <c r="N168" s="109">
        <f t="shared" ca="1" si="44"/>
        <v>-1032</v>
      </c>
      <c r="O168" s="109">
        <f t="shared" ca="1" si="44"/>
        <v>-978.92424811633282</v>
      </c>
      <c r="P168" s="109">
        <f t="shared" ca="1" si="44"/>
        <v>-849.08289472108777</v>
      </c>
      <c r="Q168" s="109">
        <f t="shared" ca="1" si="44"/>
        <v>817.22714688696817</v>
      </c>
      <c r="R168" s="109">
        <f t="shared" ca="1" si="44"/>
        <v>1104.5073597221574</v>
      </c>
      <c r="S168" s="109">
        <f t="shared" ca="1" si="44"/>
        <v>1175.653451918889</v>
      </c>
      <c r="T168" s="109">
        <f t="shared" ca="1" si="44"/>
        <v>1051.5133772538998</v>
      </c>
      <c r="U168" s="109">
        <f t="shared" ca="1" si="44"/>
        <v>959.68492901622801</v>
      </c>
      <c r="V168" s="109">
        <f t="shared" ca="1" si="44"/>
        <v>915.38702460838545</v>
      </c>
      <c r="W168" s="109">
        <f t="shared" ca="1" si="44"/>
        <v>878.18672453693159</v>
      </c>
      <c r="X168" s="109">
        <f t="shared" ca="1" si="44"/>
        <v>874.44589592601972</v>
      </c>
      <c r="Y168" s="109">
        <f t="shared" ca="1" si="44"/>
        <v>870.85488937407717</v>
      </c>
      <c r="Z168" s="109">
        <f t="shared" ca="1" si="44"/>
        <v>867.40926773331307</v>
      </c>
      <c r="AA168" s="109">
        <f t="shared" ca="1" si="44"/>
        <v>631.30979508418841</v>
      </c>
      <c r="AB168" s="109">
        <f t="shared" ca="1" si="44"/>
        <v>629.55137532863637</v>
      </c>
      <c r="AC168" s="109">
        <f t="shared" ca="1" si="44"/>
        <v>531.67039239752637</v>
      </c>
      <c r="AD168" s="109">
        <f t="shared" ca="1" si="44"/>
        <v>279.36483827324702</v>
      </c>
      <c r="AE168" s="109">
        <f t="shared" ca="1" si="44"/>
        <v>196.89100006805074</v>
      </c>
      <c r="AF168" s="109">
        <f t="shared" ca="1" si="44"/>
        <v>260.96952201911745</v>
      </c>
      <c r="AG168" s="109">
        <f t="shared" ca="1" si="44"/>
        <v>229.14032679318095</v>
      </c>
      <c r="AH168" s="109">
        <f t="shared" ca="1" si="44"/>
        <v>178.38733129057556</v>
      </c>
      <c r="AI168" s="109">
        <f t="shared" ca="1" si="44"/>
        <v>127.61025825921733</v>
      </c>
      <c r="AJ168" s="109">
        <f t="shared" ca="1" si="44"/>
        <v>85.23294558518721</v>
      </c>
      <c r="AK168" s="109">
        <f t="shared" ca="1" si="44"/>
        <v>59.840347482615819</v>
      </c>
      <c r="AL168" s="109">
        <f t="shared" ca="1" si="44"/>
        <v>39.825147309059105</v>
      </c>
      <c r="AM168" s="109">
        <f t="shared" ca="1" si="44"/>
        <v>31.00386766375447</v>
      </c>
      <c r="AN168" s="109">
        <f t="shared" ca="1" si="44"/>
        <v>16.13936659434588</v>
      </c>
      <c r="AO168" s="109">
        <f t="shared" ca="1" si="44"/>
        <v>6.735528372146443</v>
      </c>
      <c r="AP168" s="109">
        <f t="shared" ca="1" si="44"/>
        <v>0</v>
      </c>
      <c r="AQ168" s="109">
        <f t="shared" ca="1" si="44"/>
        <v>0</v>
      </c>
      <c r="AR168" s="109">
        <f t="shared" ca="1" si="44"/>
        <v>0</v>
      </c>
      <c r="AS168" s="109">
        <f t="shared" ca="1" si="44"/>
        <v>0</v>
      </c>
      <c r="AT168" s="109">
        <f t="shared" ca="1" si="44"/>
        <v>0</v>
      </c>
      <c r="AU168" s="109">
        <f t="shared" ca="1" si="44"/>
        <v>0</v>
      </c>
      <c r="AV168" s="109">
        <f t="shared" ca="1" si="44"/>
        <v>0</v>
      </c>
      <c r="AW168" s="109">
        <f t="shared" ca="1" si="44"/>
        <v>0</v>
      </c>
      <c r="AX168" s="109">
        <f t="shared" ca="1" si="44"/>
        <v>0</v>
      </c>
    </row>
    <row r="169" spans="1:50" s="109" customFormat="1" ht="15" customHeight="1" x14ac:dyDescent="0.25">
      <c r="A169" s="106"/>
      <c r="B169" s="168"/>
      <c r="E169" s="109" t="str">
        <f xml:space="preserve"> E130 &amp; ": " &amp; Translate!E$811</f>
        <v>Cashflow before decommissioning fund: cumulative</v>
      </c>
      <c r="G169" s="109" t="str">
        <f xml:space="preserve"> G130</f>
        <v>US$ mn 2021</v>
      </c>
      <c r="J169" s="293"/>
      <c r="K169" s="109">
        <f t="shared" ref="K169:AX169" ca="1" si="45" xml:space="preserve"> J169 + K167</f>
        <v>-420</v>
      </c>
      <c r="L169" s="109">
        <f t="shared" ca="1" si="45"/>
        <v>-470</v>
      </c>
      <c r="M169" s="109">
        <f t="shared" ca="1" si="45"/>
        <v>-770</v>
      </c>
      <c r="N169" s="109">
        <f t="shared" ca="1" si="45"/>
        <v>-1970</v>
      </c>
      <c r="O169" s="109">
        <f t="shared" ca="1" si="45"/>
        <v>-3028.3416418356892</v>
      </c>
      <c r="P169" s="109">
        <f t="shared" ca="1" si="45"/>
        <v>-3802.7166418356892</v>
      </c>
      <c r="Q169" s="109">
        <f t="shared" ca="1" si="45"/>
        <v>-2151.4666418356892</v>
      </c>
      <c r="R169" s="109">
        <f t="shared" ca="1" si="45"/>
        <v>149.78335816431081</v>
      </c>
      <c r="S169" s="109">
        <f t="shared" ca="1" si="45"/>
        <v>2651.0333581643108</v>
      </c>
      <c r="T169" s="109">
        <f t="shared" ca="1" si="45"/>
        <v>5152.2833581643117</v>
      </c>
      <c r="U169" s="109">
        <f t="shared" ca="1" si="45"/>
        <v>7653.5333581643117</v>
      </c>
      <c r="V169" s="109">
        <f t="shared" ca="1" si="45"/>
        <v>10154.783358164312</v>
      </c>
      <c r="W169" s="109">
        <f t="shared" ca="1" si="45"/>
        <v>12656.033358164312</v>
      </c>
      <c r="X169" s="109">
        <f t="shared" ca="1" si="45"/>
        <v>15157.283358164312</v>
      </c>
      <c r="Y169" s="109">
        <f t="shared" ca="1" si="45"/>
        <v>17658.533358164314</v>
      </c>
      <c r="Z169" s="109">
        <f t="shared" ca="1" si="45"/>
        <v>20159.783358164314</v>
      </c>
      <c r="AA169" s="109">
        <f t="shared" ca="1" si="45"/>
        <v>22088.895858164313</v>
      </c>
      <c r="AB169" s="109">
        <f t="shared" ca="1" si="45"/>
        <v>23804.576983164312</v>
      </c>
      <c r="AC169" s="109">
        <f t="shared" ca="1" si="45"/>
        <v>25254.878694414314</v>
      </c>
      <c r="AD169" s="109">
        <f t="shared" ca="1" si="45"/>
        <v>26211.123080526813</v>
      </c>
      <c r="AE169" s="109">
        <f t="shared" ca="1" si="45"/>
        <v>26941.08103327794</v>
      </c>
      <c r="AF169" s="109">
        <f t="shared" ca="1" si="45"/>
        <v>27680.546975006353</v>
      </c>
      <c r="AG169" s="109">
        <f t="shared" ca="1" si="45"/>
        <v>28269.424387806368</v>
      </c>
      <c r="AH169" s="109">
        <f t="shared" ca="1" si="45"/>
        <v>28732.415092174379</v>
      </c>
      <c r="AI169" s="109">
        <f t="shared" ca="1" si="45"/>
        <v>29094.387562712469</v>
      </c>
      <c r="AJ169" s="109">
        <f t="shared" ca="1" si="45"/>
        <v>29375.485263848321</v>
      </c>
      <c r="AK169" s="109">
        <f t="shared" ca="1" si="45"/>
        <v>29592.024401768362</v>
      </c>
      <c r="AL169" s="109">
        <f t="shared" ca="1" si="45"/>
        <v>29507.221103483593</v>
      </c>
      <c r="AM169" s="109">
        <f t="shared" ca="1" si="45"/>
        <v>29631.780431872932</v>
      </c>
      <c r="AN169" s="109">
        <f t="shared" ca="1" si="45"/>
        <v>29719.373487868295</v>
      </c>
      <c r="AO169" s="109">
        <f t="shared" ca="1" si="45"/>
        <v>29782.023863224542</v>
      </c>
      <c r="AP169" s="109">
        <f t="shared" ca="1" si="45"/>
        <v>29532.023863224542</v>
      </c>
      <c r="AQ169" s="109">
        <f t="shared" ca="1" si="45"/>
        <v>29282.023863224542</v>
      </c>
      <c r="AR169" s="109">
        <f t="shared" ca="1" si="45"/>
        <v>29282.023863224542</v>
      </c>
      <c r="AS169" s="109">
        <f t="shared" ca="1" si="45"/>
        <v>29282.023863224542</v>
      </c>
      <c r="AT169" s="109">
        <f t="shared" ca="1" si="45"/>
        <v>29282.023863224542</v>
      </c>
      <c r="AU169" s="109">
        <f t="shared" ca="1" si="45"/>
        <v>29282.023863224542</v>
      </c>
      <c r="AV169" s="109">
        <f t="shared" ca="1" si="45"/>
        <v>29282.023863224542</v>
      </c>
      <c r="AW169" s="109">
        <f t="shared" ca="1" si="45"/>
        <v>29282.023863224542</v>
      </c>
      <c r="AX169" s="109">
        <f t="shared" ca="1" si="45"/>
        <v>29282.023863224542</v>
      </c>
    </row>
    <row r="170" spans="1:50" s="109" customFormat="1" ht="15" customHeight="1" x14ac:dyDescent="0.25">
      <c r="A170" s="106"/>
      <c r="B170" s="168"/>
      <c r="E170" s="109" t="str">
        <f xml:space="preserve"> E135 &amp; ": " &amp; Translate!E$811</f>
        <v>Net cashflow after fiscal regime: IOC: cumulative</v>
      </c>
      <c r="G170" s="109" t="str">
        <f xml:space="preserve"> G135</f>
        <v>US$ mn 2021</v>
      </c>
      <c r="J170" s="293"/>
      <c r="K170" s="109">
        <f t="shared" ref="K170:AX170" ca="1" si="46" xml:space="preserve"> J170 + K168</f>
        <v>-430</v>
      </c>
      <c r="L170" s="109">
        <f t="shared" ca="1" si="46"/>
        <v>-473</v>
      </c>
      <c r="M170" s="109">
        <f t="shared" ca="1" si="46"/>
        <v>-731</v>
      </c>
      <c r="N170" s="109">
        <f t="shared" ca="1" si="46"/>
        <v>-1763</v>
      </c>
      <c r="O170" s="109">
        <f t="shared" ca="1" si="46"/>
        <v>-2741.9242481163328</v>
      </c>
      <c r="P170" s="109">
        <f t="shared" ca="1" si="46"/>
        <v>-3591.0071428374204</v>
      </c>
      <c r="Q170" s="109">
        <f t="shared" ca="1" si="46"/>
        <v>-2773.7799959504523</v>
      </c>
      <c r="R170" s="109">
        <f t="shared" ca="1" si="46"/>
        <v>-1669.2726362282949</v>
      </c>
      <c r="S170" s="109">
        <f t="shared" ca="1" si="46"/>
        <v>-493.61918430940591</v>
      </c>
      <c r="T170" s="109">
        <f t="shared" ca="1" si="46"/>
        <v>557.89419294449385</v>
      </c>
      <c r="U170" s="109">
        <f t="shared" ca="1" si="46"/>
        <v>1517.5791219607217</v>
      </c>
      <c r="V170" s="109">
        <f t="shared" ca="1" si="46"/>
        <v>2432.966146569107</v>
      </c>
      <c r="W170" s="109">
        <f t="shared" ca="1" si="46"/>
        <v>3311.1528711060387</v>
      </c>
      <c r="X170" s="109">
        <f t="shared" ca="1" si="46"/>
        <v>4185.5987670320583</v>
      </c>
      <c r="Y170" s="109">
        <f t="shared" ca="1" si="46"/>
        <v>5056.4536564061355</v>
      </c>
      <c r="Z170" s="109">
        <f t="shared" ca="1" si="46"/>
        <v>5923.8629241394483</v>
      </c>
      <c r="AA170" s="109">
        <f t="shared" ca="1" si="46"/>
        <v>6555.1727192236367</v>
      </c>
      <c r="AB170" s="109">
        <f t="shared" ca="1" si="46"/>
        <v>7184.7240945522735</v>
      </c>
      <c r="AC170" s="109">
        <f t="shared" ca="1" si="46"/>
        <v>7716.3944869498</v>
      </c>
      <c r="AD170" s="109">
        <f t="shared" ca="1" si="46"/>
        <v>7995.7593252230472</v>
      </c>
      <c r="AE170" s="109">
        <f t="shared" ca="1" si="46"/>
        <v>8192.6503252910989</v>
      </c>
      <c r="AF170" s="109">
        <f t="shared" ca="1" si="46"/>
        <v>8453.6198473102158</v>
      </c>
      <c r="AG170" s="109">
        <f t="shared" ca="1" si="46"/>
        <v>8682.7601741033959</v>
      </c>
      <c r="AH170" s="109">
        <f t="shared" ca="1" si="46"/>
        <v>8861.1475053939721</v>
      </c>
      <c r="AI170" s="109">
        <f t="shared" ca="1" si="46"/>
        <v>8988.7577636531896</v>
      </c>
      <c r="AJ170" s="109">
        <f t="shared" ca="1" si="46"/>
        <v>9073.9907092383764</v>
      </c>
      <c r="AK170" s="109">
        <f t="shared" ca="1" si="46"/>
        <v>9133.8310567209919</v>
      </c>
      <c r="AL170" s="109">
        <f t="shared" ca="1" si="46"/>
        <v>9173.6562040300505</v>
      </c>
      <c r="AM170" s="109">
        <f t="shared" ca="1" si="46"/>
        <v>9204.6600716938046</v>
      </c>
      <c r="AN170" s="109">
        <f t="shared" ca="1" si="46"/>
        <v>9220.7994382881498</v>
      </c>
      <c r="AO170" s="109">
        <f t="shared" ca="1" si="46"/>
        <v>9227.534966660296</v>
      </c>
      <c r="AP170" s="109">
        <f t="shared" ca="1" si="46"/>
        <v>9227.534966660296</v>
      </c>
      <c r="AQ170" s="109">
        <f t="shared" ca="1" si="46"/>
        <v>9227.534966660296</v>
      </c>
      <c r="AR170" s="109">
        <f t="shared" ca="1" si="46"/>
        <v>9227.534966660296</v>
      </c>
      <c r="AS170" s="109">
        <f t="shared" ca="1" si="46"/>
        <v>9227.534966660296</v>
      </c>
      <c r="AT170" s="109">
        <f t="shared" ca="1" si="46"/>
        <v>9227.534966660296</v>
      </c>
      <c r="AU170" s="109">
        <f t="shared" ca="1" si="46"/>
        <v>9227.534966660296</v>
      </c>
      <c r="AV170" s="109">
        <f t="shared" ca="1" si="46"/>
        <v>9227.534966660296</v>
      </c>
      <c r="AW170" s="109">
        <f t="shared" ca="1" si="46"/>
        <v>9227.534966660296</v>
      </c>
      <c r="AX170" s="109">
        <f t="shared" ca="1" si="46"/>
        <v>9227.534966660296</v>
      </c>
    </row>
    <row r="171" spans="1:50" s="109" customFormat="1" ht="15" customHeight="1" x14ac:dyDescent="0.25">
      <c r="A171" s="106"/>
      <c r="B171" s="189"/>
    </row>
    <row r="172" spans="1:50" s="290" customFormat="1" ht="15" customHeight="1" x14ac:dyDescent="0.25">
      <c r="B172" s="291"/>
      <c r="E172" s="290" t="str">
        <f xml:space="preserve"> ProjectCashflows!E$174</f>
        <v>Cumulative project years</v>
      </c>
      <c r="F172" s="290">
        <f xml:space="preserve"> ProjectCashflows!F$174</f>
        <v>0</v>
      </c>
      <c r="G172" s="290" t="str">
        <f xml:space="preserve"> ProjectCashflows!G$174</f>
        <v>Year</v>
      </c>
      <c r="H172" s="290">
        <f xml:space="preserve"> ProjectCashflows!H$174</f>
        <v>0</v>
      </c>
      <c r="I172" s="290">
        <f xml:space="preserve"> ProjectCashflows!I$174</f>
        <v>0</v>
      </c>
      <c r="J172" s="290">
        <f xml:space="preserve"> ProjectCashflows!J$174</f>
        <v>0</v>
      </c>
      <c r="K172" s="290">
        <f ca="1" xml:space="preserve"> ProjectCashflows!K$174</f>
        <v>1</v>
      </c>
      <c r="L172" s="290">
        <f ca="1" xml:space="preserve"> ProjectCashflows!L$174</f>
        <v>2</v>
      </c>
      <c r="M172" s="290">
        <f ca="1" xml:space="preserve"> ProjectCashflows!M$174</f>
        <v>3</v>
      </c>
      <c r="N172" s="290">
        <f ca="1" xml:space="preserve"> ProjectCashflows!N$174</f>
        <v>4</v>
      </c>
      <c r="O172" s="290">
        <f ca="1" xml:space="preserve"> ProjectCashflows!O$174</f>
        <v>5</v>
      </c>
      <c r="P172" s="290">
        <f ca="1" xml:space="preserve"> ProjectCashflows!P$174</f>
        <v>6</v>
      </c>
      <c r="Q172" s="290">
        <f ca="1" xml:space="preserve"> ProjectCashflows!Q$174</f>
        <v>7</v>
      </c>
      <c r="R172" s="290">
        <f ca="1" xml:space="preserve"> ProjectCashflows!R$174</f>
        <v>8</v>
      </c>
      <c r="S172" s="290">
        <f ca="1" xml:space="preserve"> ProjectCashflows!S$174</f>
        <v>9</v>
      </c>
      <c r="T172" s="290">
        <f ca="1" xml:space="preserve"> ProjectCashflows!T$174</f>
        <v>10</v>
      </c>
      <c r="U172" s="290">
        <f ca="1" xml:space="preserve"> ProjectCashflows!U$174</f>
        <v>11</v>
      </c>
      <c r="V172" s="290">
        <f ca="1" xml:space="preserve"> ProjectCashflows!V$174</f>
        <v>12</v>
      </c>
      <c r="W172" s="290">
        <f ca="1" xml:space="preserve"> ProjectCashflows!W$174</f>
        <v>13</v>
      </c>
      <c r="X172" s="290">
        <f ca="1" xml:space="preserve"> ProjectCashflows!X$174</f>
        <v>14</v>
      </c>
      <c r="Y172" s="290">
        <f ca="1" xml:space="preserve"> ProjectCashflows!Y$174</f>
        <v>15</v>
      </c>
      <c r="Z172" s="290">
        <f ca="1" xml:space="preserve"> ProjectCashflows!Z$174</f>
        <v>16</v>
      </c>
      <c r="AA172" s="290">
        <f ca="1" xml:space="preserve"> ProjectCashflows!AA$174</f>
        <v>17</v>
      </c>
      <c r="AB172" s="290">
        <f ca="1" xml:space="preserve"> ProjectCashflows!AB$174</f>
        <v>18</v>
      </c>
      <c r="AC172" s="290">
        <f ca="1" xml:space="preserve"> ProjectCashflows!AC$174</f>
        <v>19</v>
      </c>
      <c r="AD172" s="290">
        <f ca="1" xml:space="preserve"> ProjectCashflows!AD$174</f>
        <v>20</v>
      </c>
      <c r="AE172" s="290">
        <f ca="1" xml:space="preserve"> ProjectCashflows!AE$174</f>
        <v>21</v>
      </c>
      <c r="AF172" s="290">
        <f ca="1" xml:space="preserve"> ProjectCashflows!AF$174</f>
        <v>22</v>
      </c>
      <c r="AG172" s="290">
        <f ca="1" xml:space="preserve"> ProjectCashflows!AG$174</f>
        <v>23</v>
      </c>
      <c r="AH172" s="290">
        <f ca="1" xml:space="preserve"> ProjectCashflows!AH$174</f>
        <v>24</v>
      </c>
      <c r="AI172" s="290">
        <f ca="1" xml:space="preserve"> ProjectCashflows!AI$174</f>
        <v>25</v>
      </c>
      <c r="AJ172" s="290">
        <f ca="1" xml:space="preserve"> ProjectCashflows!AJ$174</f>
        <v>26</v>
      </c>
      <c r="AK172" s="290">
        <f ca="1" xml:space="preserve"> ProjectCashflows!AK$174</f>
        <v>27</v>
      </c>
      <c r="AL172" s="290">
        <f ca="1" xml:space="preserve"> ProjectCashflows!AL$174</f>
        <v>28</v>
      </c>
      <c r="AM172" s="290">
        <f ca="1" xml:space="preserve"> ProjectCashflows!AM$174</f>
        <v>29</v>
      </c>
      <c r="AN172" s="290">
        <f ca="1" xml:space="preserve"> ProjectCashflows!AN$174</f>
        <v>30</v>
      </c>
      <c r="AO172" s="290">
        <f ca="1" xml:space="preserve"> ProjectCashflows!AO$174</f>
        <v>31</v>
      </c>
      <c r="AP172" s="290">
        <f ca="1" xml:space="preserve"> ProjectCashflows!AP$174</f>
        <v>32</v>
      </c>
      <c r="AQ172" s="290">
        <f ca="1" xml:space="preserve"> ProjectCashflows!AQ$174</f>
        <v>33</v>
      </c>
      <c r="AR172" s="290">
        <f ca="1" xml:space="preserve"> ProjectCashflows!AR$174</f>
        <v>0</v>
      </c>
      <c r="AS172" s="290">
        <f ca="1" xml:space="preserve"> ProjectCashflows!AS$174</f>
        <v>0</v>
      </c>
      <c r="AT172" s="290">
        <f ca="1" xml:space="preserve"> ProjectCashflows!AT$174</f>
        <v>0</v>
      </c>
      <c r="AU172" s="290">
        <f ca="1" xml:space="preserve"> ProjectCashflows!AU$174</f>
        <v>0</v>
      </c>
      <c r="AV172" s="290">
        <f ca="1" xml:space="preserve"> ProjectCashflows!AV$174</f>
        <v>0</v>
      </c>
      <c r="AW172" s="290">
        <f ca="1" xml:space="preserve"> ProjectCashflows!AW$174</f>
        <v>0</v>
      </c>
      <c r="AX172" s="290">
        <f ca="1" xml:space="preserve"> ProjectCashflows!AX$174</f>
        <v>0</v>
      </c>
    </row>
    <row r="173" spans="1:50" s="290" customFormat="1" ht="15" customHeight="1" x14ac:dyDescent="0.25">
      <c r="B173" s="291"/>
      <c r="E173" s="290" t="str">
        <f xml:space="preserve"> ProjectCashflows!E$181</f>
        <v>Cumulative production years</v>
      </c>
      <c r="F173" s="290">
        <f xml:space="preserve"> ProjectCashflows!F$181</f>
        <v>0</v>
      </c>
      <c r="G173" s="290" t="str">
        <f xml:space="preserve"> ProjectCashflows!G$181</f>
        <v>Year</v>
      </c>
      <c r="H173" s="290">
        <f xml:space="preserve"> ProjectCashflows!H$181</f>
        <v>0</v>
      </c>
      <c r="I173" s="290">
        <f xml:space="preserve"> ProjectCashflows!I$181</f>
        <v>0</v>
      </c>
      <c r="J173" s="290">
        <f xml:space="preserve"> ProjectCashflows!J$181</f>
        <v>0</v>
      </c>
      <c r="K173" s="290">
        <f ca="1" xml:space="preserve"> ProjectCashflows!K$181</f>
        <v>0</v>
      </c>
      <c r="L173" s="290">
        <f ca="1" xml:space="preserve"> ProjectCashflows!L$181</f>
        <v>0</v>
      </c>
      <c r="M173" s="290">
        <f ca="1" xml:space="preserve"> ProjectCashflows!M$181</f>
        <v>0</v>
      </c>
      <c r="N173" s="290">
        <f ca="1" xml:space="preserve"> ProjectCashflows!N$181</f>
        <v>0</v>
      </c>
      <c r="O173" s="290">
        <f ca="1" xml:space="preserve"> ProjectCashflows!O$181</f>
        <v>1</v>
      </c>
      <c r="P173" s="290">
        <f ca="1" xml:space="preserve"> ProjectCashflows!P$181</f>
        <v>2</v>
      </c>
      <c r="Q173" s="290">
        <f ca="1" xml:space="preserve"> ProjectCashflows!Q$181</f>
        <v>3</v>
      </c>
      <c r="R173" s="290">
        <f ca="1" xml:space="preserve"> ProjectCashflows!R$181</f>
        <v>4</v>
      </c>
      <c r="S173" s="290">
        <f ca="1" xml:space="preserve"> ProjectCashflows!S$181</f>
        <v>5</v>
      </c>
      <c r="T173" s="290">
        <f ca="1" xml:space="preserve"> ProjectCashflows!T$181</f>
        <v>6</v>
      </c>
      <c r="U173" s="290">
        <f ca="1" xml:space="preserve"> ProjectCashflows!U$181</f>
        <v>7</v>
      </c>
      <c r="V173" s="290">
        <f ca="1" xml:space="preserve"> ProjectCashflows!V$181</f>
        <v>8</v>
      </c>
      <c r="W173" s="290">
        <f ca="1" xml:space="preserve"> ProjectCashflows!W$181</f>
        <v>9</v>
      </c>
      <c r="X173" s="290">
        <f ca="1" xml:space="preserve"> ProjectCashflows!X$181</f>
        <v>10</v>
      </c>
      <c r="Y173" s="290">
        <f ca="1" xml:space="preserve"> ProjectCashflows!Y$181</f>
        <v>11</v>
      </c>
      <c r="Z173" s="290">
        <f ca="1" xml:space="preserve"> ProjectCashflows!Z$181</f>
        <v>12</v>
      </c>
      <c r="AA173" s="290">
        <f ca="1" xml:space="preserve"> ProjectCashflows!AA$181</f>
        <v>13</v>
      </c>
      <c r="AB173" s="290">
        <f ca="1" xml:space="preserve"> ProjectCashflows!AB$181</f>
        <v>14</v>
      </c>
      <c r="AC173" s="290">
        <f ca="1" xml:space="preserve"> ProjectCashflows!AC$181</f>
        <v>15</v>
      </c>
      <c r="AD173" s="290">
        <f ca="1" xml:space="preserve"> ProjectCashflows!AD$181</f>
        <v>16</v>
      </c>
      <c r="AE173" s="290">
        <f ca="1" xml:space="preserve"> ProjectCashflows!AE$181</f>
        <v>17</v>
      </c>
      <c r="AF173" s="290">
        <f ca="1" xml:space="preserve"> ProjectCashflows!AF$181</f>
        <v>18</v>
      </c>
      <c r="AG173" s="290">
        <f ca="1" xml:space="preserve"> ProjectCashflows!AG$181</f>
        <v>19</v>
      </c>
      <c r="AH173" s="290">
        <f ca="1" xml:space="preserve"> ProjectCashflows!AH$181</f>
        <v>20</v>
      </c>
      <c r="AI173" s="290">
        <f ca="1" xml:space="preserve"> ProjectCashflows!AI$181</f>
        <v>21</v>
      </c>
      <c r="AJ173" s="290">
        <f ca="1" xml:space="preserve"> ProjectCashflows!AJ$181</f>
        <v>22</v>
      </c>
      <c r="AK173" s="290">
        <f ca="1" xml:space="preserve"> ProjectCashflows!AK$181</f>
        <v>23</v>
      </c>
      <c r="AL173" s="290">
        <f ca="1" xml:space="preserve"> ProjectCashflows!AL$181</f>
        <v>24</v>
      </c>
      <c r="AM173" s="290">
        <f ca="1" xml:space="preserve"> ProjectCashflows!AM$181</f>
        <v>25</v>
      </c>
      <c r="AN173" s="290">
        <f ca="1" xml:space="preserve"> ProjectCashflows!AN$181</f>
        <v>26</v>
      </c>
      <c r="AO173" s="290">
        <f ca="1" xml:space="preserve"> ProjectCashflows!AO$181</f>
        <v>27</v>
      </c>
      <c r="AP173" s="290">
        <f ca="1" xml:space="preserve"> ProjectCashflows!AP$181</f>
        <v>0</v>
      </c>
      <c r="AQ173" s="290">
        <f ca="1" xml:space="preserve"> ProjectCashflows!AQ$181</f>
        <v>0</v>
      </c>
      <c r="AR173" s="290">
        <f ca="1" xml:space="preserve"> ProjectCashflows!AR$181</f>
        <v>0</v>
      </c>
      <c r="AS173" s="290">
        <f ca="1" xml:space="preserve"> ProjectCashflows!AS$181</f>
        <v>0</v>
      </c>
      <c r="AT173" s="290">
        <f ca="1" xml:space="preserve"> ProjectCashflows!AT$181</f>
        <v>0</v>
      </c>
      <c r="AU173" s="290">
        <f ca="1" xml:space="preserve"> ProjectCashflows!AU$181</f>
        <v>0</v>
      </c>
      <c r="AV173" s="290">
        <f ca="1" xml:space="preserve"> ProjectCashflows!AV$181</f>
        <v>0</v>
      </c>
      <c r="AW173" s="290">
        <f ca="1" xml:space="preserve"> ProjectCashflows!AW$181</f>
        <v>0</v>
      </c>
      <c r="AX173" s="290">
        <f ca="1" xml:space="preserve"> ProjectCashflows!AX$181</f>
        <v>0</v>
      </c>
    </row>
    <row r="174" spans="1:50" s="109" customFormat="1" ht="15" customHeight="1" x14ac:dyDescent="0.25">
      <c r="A174" s="106"/>
      <c r="B174" s="168"/>
      <c r="E174" s="109" t="str">
        <f xml:space="preserve"> E167 &amp; " " &amp;  Translate!E$700</f>
        <v>Cashflow before decommissioning fund Payback</v>
      </c>
      <c r="G174" s="413" t="str">
        <f xml:space="preserve"> Translate!E$403</f>
        <v>Production year</v>
      </c>
      <c r="I174" s="294"/>
      <c r="K174" s="294">
        <f ca="1" xml:space="preserve"> IFERROR( AND( K169 &gt; 0, J169 &lt; 0 ) * (ABS(J169 / K167) + J173), 0)</f>
        <v>0</v>
      </c>
      <c r="L174" s="294">
        <f t="shared" ref="L174:AX174" ca="1" si="47" xml:space="preserve"> IFERROR( AND( L169 &gt; 0, K169 &lt; 0 ) * (ABS(K169 / L167) + K173), 0)</f>
        <v>0</v>
      </c>
      <c r="M174" s="294">
        <f t="shared" ca="1" si="47"/>
        <v>0</v>
      </c>
      <c r="N174" s="294">
        <f t="shared" ca="1" si="47"/>
        <v>0</v>
      </c>
      <c r="O174" s="294">
        <f t="shared" ca="1" si="47"/>
        <v>0</v>
      </c>
      <c r="P174" s="294">
        <f t="shared" ca="1" si="47"/>
        <v>0</v>
      </c>
      <c r="Q174" s="294">
        <f t="shared" ca="1" si="47"/>
        <v>0</v>
      </c>
      <c r="R174" s="294">
        <f t="shared" ca="1" si="47"/>
        <v>3.9349121746162692</v>
      </c>
      <c r="S174" s="294">
        <f t="shared" ca="1" si="47"/>
        <v>0</v>
      </c>
      <c r="T174" s="294">
        <f t="shared" ca="1" si="47"/>
        <v>0</v>
      </c>
      <c r="U174" s="294">
        <f t="shared" ca="1" si="47"/>
        <v>0</v>
      </c>
      <c r="V174" s="294">
        <f t="shared" ca="1" si="47"/>
        <v>0</v>
      </c>
      <c r="W174" s="294">
        <f t="shared" ca="1" si="47"/>
        <v>0</v>
      </c>
      <c r="X174" s="294">
        <f t="shared" ca="1" si="47"/>
        <v>0</v>
      </c>
      <c r="Y174" s="294">
        <f t="shared" ca="1" si="47"/>
        <v>0</v>
      </c>
      <c r="Z174" s="294">
        <f t="shared" ca="1" si="47"/>
        <v>0</v>
      </c>
      <c r="AA174" s="294">
        <f t="shared" ca="1" si="47"/>
        <v>0</v>
      </c>
      <c r="AB174" s="294">
        <f t="shared" ca="1" si="47"/>
        <v>0</v>
      </c>
      <c r="AC174" s="294">
        <f t="shared" ca="1" si="47"/>
        <v>0</v>
      </c>
      <c r="AD174" s="294">
        <f t="shared" ca="1" si="47"/>
        <v>0</v>
      </c>
      <c r="AE174" s="294">
        <f t="shared" ca="1" si="47"/>
        <v>0</v>
      </c>
      <c r="AF174" s="294">
        <f t="shared" ca="1" si="47"/>
        <v>0</v>
      </c>
      <c r="AG174" s="294">
        <f t="shared" ca="1" si="47"/>
        <v>0</v>
      </c>
      <c r="AH174" s="294">
        <f t="shared" ca="1" si="47"/>
        <v>0</v>
      </c>
      <c r="AI174" s="294">
        <f t="shared" ca="1" si="47"/>
        <v>0</v>
      </c>
      <c r="AJ174" s="294">
        <f t="shared" ca="1" si="47"/>
        <v>0</v>
      </c>
      <c r="AK174" s="294">
        <f t="shared" ca="1" si="47"/>
        <v>0</v>
      </c>
      <c r="AL174" s="294">
        <f t="shared" ca="1" si="47"/>
        <v>0</v>
      </c>
      <c r="AM174" s="294">
        <f t="shared" ca="1" si="47"/>
        <v>0</v>
      </c>
      <c r="AN174" s="294">
        <f t="shared" ca="1" si="47"/>
        <v>0</v>
      </c>
      <c r="AO174" s="294">
        <f t="shared" ca="1" si="47"/>
        <v>0</v>
      </c>
      <c r="AP174" s="294">
        <f t="shared" ca="1" si="47"/>
        <v>0</v>
      </c>
      <c r="AQ174" s="294">
        <f t="shared" ca="1" si="47"/>
        <v>0</v>
      </c>
      <c r="AR174" s="294">
        <f t="shared" ca="1" si="47"/>
        <v>0</v>
      </c>
      <c r="AS174" s="294">
        <f t="shared" ca="1" si="47"/>
        <v>0</v>
      </c>
      <c r="AT174" s="294">
        <f t="shared" ca="1" si="47"/>
        <v>0</v>
      </c>
      <c r="AU174" s="294">
        <f t="shared" ca="1" si="47"/>
        <v>0</v>
      </c>
      <c r="AV174" s="294">
        <f t="shared" ca="1" si="47"/>
        <v>0</v>
      </c>
      <c r="AW174" s="294">
        <f t="shared" ca="1" si="47"/>
        <v>0</v>
      </c>
      <c r="AX174" s="294">
        <f t="shared" ca="1" si="47"/>
        <v>0</v>
      </c>
    </row>
    <row r="175" spans="1:50" s="109" customFormat="1" ht="15" customHeight="1" x14ac:dyDescent="0.25">
      <c r="A175" s="106"/>
      <c r="B175" s="168"/>
      <c r="E175" s="109" t="str">
        <f xml:space="preserve"> E168 &amp; " " &amp;  Translate!E$700</f>
        <v>Investors (IOC + Lender) Payback</v>
      </c>
      <c r="G175" s="413" t="str">
        <f xml:space="preserve"> Translate!E$403</f>
        <v>Production year</v>
      </c>
      <c r="I175" s="294"/>
      <c r="K175" s="294">
        <f ca="1" xml:space="preserve"> IFERROR( AND( K170 &gt; 0, J170 &lt; 0 ) * (ABS(J170 / K168) + J173), 0)</f>
        <v>0</v>
      </c>
      <c r="L175" s="294">
        <f t="shared" ref="L175:AX175" ca="1" si="48" xml:space="preserve"> IFERROR( AND( L170 &gt; 0, K170 &lt; 0 ) * (ABS(K170 / L168) + K173), 0)</f>
        <v>0</v>
      </c>
      <c r="M175" s="294">
        <f t="shared" ca="1" si="48"/>
        <v>0</v>
      </c>
      <c r="N175" s="294">
        <f t="shared" ca="1" si="48"/>
        <v>0</v>
      </c>
      <c r="O175" s="294">
        <f t="shared" ca="1" si="48"/>
        <v>0</v>
      </c>
      <c r="P175" s="294">
        <f t="shared" ca="1" si="48"/>
        <v>0</v>
      </c>
      <c r="Q175" s="294">
        <f t="shared" ca="1" si="48"/>
        <v>0</v>
      </c>
      <c r="R175" s="294">
        <f t="shared" ca="1" si="48"/>
        <v>0</v>
      </c>
      <c r="S175" s="294">
        <f t="shared" ca="1" si="48"/>
        <v>0</v>
      </c>
      <c r="T175" s="294">
        <f t="shared" ca="1" si="48"/>
        <v>5.4694369039778898</v>
      </c>
      <c r="U175" s="294">
        <f t="shared" ca="1" si="48"/>
        <v>0</v>
      </c>
      <c r="V175" s="294">
        <f t="shared" ca="1" si="48"/>
        <v>0</v>
      </c>
      <c r="W175" s="294">
        <f t="shared" ca="1" si="48"/>
        <v>0</v>
      </c>
      <c r="X175" s="294">
        <f t="shared" ca="1" si="48"/>
        <v>0</v>
      </c>
      <c r="Y175" s="294">
        <f t="shared" ca="1" si="48"/>
        <v>0</v>
      </c>
      <c r="Z175" s="294">
        <f t="shared" ca="1" si="48"/>
        <v>0</v>
      </c>
      <c r="AA175" s="294">
        <f t="shared" ca="1" si="48"/>
        <v>0</v>
      </c>
      <c r="AB175" s="294">
        <f t="shared" ca="1" si="48"/>
        <v>0</v>
      </c>
      <c r="AC175" s="294">
        <f t="shared" ca="1" si="48"/>
        <v>0</v>
      </c>
      <c r="AD175" s="294">
        <f t="shared" ca="1" si="48"/>
        <v>0</v>
      </c>
      <c r="AE175" s="294">
        <f t="shared" ca="1" si="48"/>
        <v>0</v>
      </c>
      <c r="AF175" s="294">
        <f t="shared" ca="1" si="48"/>
        <v>0</v>
      </c>
      <c r="AG175" s="294">
        <f t="shared" ca="1" si="48"/>
        <v>0</v>
      </c>
      <c r="AH175" s="294">
        <f t="shared" ca="1" si="48"/>
        <v>0</v>
      </c>
      <c r="AI175" s="294">
        <f t="shared" ca="1" si="48"/>
        <v>0</v>
      </c>
      <c r="AJ175" s="294">
        <f t="shared" ca="1" si="48"/>
        <v>0</v>
      </c>
      <c r="AK175" s="294">
        <f t="shared" ca="1" si="48"/>
        <v>0</v>
      </c>
      <c r="AL175" s="294">
        <f t="shared" ca="1" si="48"/>
        <v>0</v>
      </c>
      <c r="AM175" s="294">
        <f t="shared" ca="1" si="48"/>
        <v>0</v>
      </c>
      <c r="AN175" s="294">
        <f t="shared" ca="1" si="48"/>
        <v>0</v>
      </c>
      <c r="AO175" s="294">
        <f t="shared" ca="1" si="48"/>
        <v>0</v>
      </c>
      <c r="AP175" s="294">
        <f t="shared" ca="1" si="48"/>
        <v>0</v>
      </c>
      <c r="AQ175" s="294">
        <f t="shared" ca="1" si="48"/>
        <v>0</v>
      </c>
      <c r="AR175" s="294">
        <f t="shared" ca="1" si="48"/>
        <v>0</v>
      </c>
      <c r="AS175" s="294">
        <f t="shared" ca="1" si="48"/>
        <v>0</v>
      </c>
      <c r="AT175" s="294">
        <f t="shared" ca="1" si="48"/>
        <v>0</v>
      </c>
      <c r="AU175" s="294">
        <f t="shared" ca="1" si="48"/>
        <v>0</v>
      </c>
      <c r="AV175" s="294">
        <f t="shared" ca="1" si="48"/>
        <v>0</v>
      </c>
      <c r="AW175" s="294">
        <f t="shared" ca="1" si="48"/>
        <v>0</v>
      </c>
      <c r="AX175" s="294">
        <f t="shared" ca="1" si="48"/>
        <v>0</v>
      </c>
    </row>
    <row r="176" spans="1:50" s="109" customFormat="1" ht="15" customHeight="1" x14ac:dyDescent="0.25">
      <c r="A176" s="106"/>
      <c r="B176" s="168"/>
    </row>
    <row r="177" spans="1:50" s="109" customFormat="1" ht="15" customHeight="1" x14ac:dyDescent="0.25">
      <c r="A177" s="106"/>
      <c r="B177" s="168"/>
      <c r="E177" s="109" t="str">
        <f xml:space="preserve"> E174</f>
        <v>Cashflow before decommissioning fund Payback</v>
      </c>
      <c r="F177" s="295">
        <f ca="1" xml:space="preserve"> SUM(K174:AX174)</f>
        <v>3.9349121746162692</v>
      </c>
      <c r="G177" s="109" t="str">
        <f xml:space="preserve"> G174</f>
        <v>Production year</v>
      </c>
    </row>
    <row r="178" spans="1:50" s="109" customFormat="1" ht="15" customHeight="1" x14ac:dyDescent="0.25">
      <c r="A178" s="106"/>
      <c r="B178" s="168"/>
      <c r="E178" s="109" t="str">
        <f xml:space="preserve"> E175</f>
        <v>Investors (IOC + Lender) Payback</v>
      </c>
      <c r="F178" s="295">
        <f ca="1" xml:space="preserve"> SUM(K175:AX175)</f>
        <v>5.4694369039778898</v>
      </c>
      <c r="G178" s="109" t="str">
        <f xml:space="preserve"> G175</f>
        <v>Production year</v>
      </c>
    </row>
    <row r="179" spans="1:50" s="109" customFormat="1" ht="15" customHeight="1" x14ac:dyDescent="0.25">
      <c r="A179" s="106"/>
      <c r="B179" s="168"/>
    </row>
    <row r="180" spans="1:50" s="109" customFormat="1" ht="15" customHeight="1" x14ac:dyDescent="0.25">
      <c r="A180" s="106"/>
      <c r="B180" s="107" t="str">
        <f>Translate!$E$702 &amp; ": " &amp; Inputs!F$89 &amp; ", " &amp; Inputs!F$91 &amp; ", " &amp; Inputs!F$63</f>
        <v>Project participants: full-cycle, real, NPV8</v>
      </c>
    </row>
    <row r="181" spans="1:50" s="109" customFormat="1" ht="15" customHeight="1" x14ac:dyDescent="0.25">
      <c r="A181" s="106"/>
      <c r="B181" s="168"/>
      <c r="C181" s="107"/>
    </row>
    <row r="182" spans="1:50" s="800" customFormat="1" ht="15" customHeight="1" x14ac:dyDescent="0.25">
      <c r="E182" s="800" t="str">
        <f xml:space="preserve"> ProjectCashflows!E$208</f>
        <v>Discount factor: full-cycle, NPV8</v>
      </c>
      <c r="F182" s="800">
        <f xml:space="preserve"> ProjectCashflows!F$208</f>
        <v>0</v>
      </c>
      <c r="G182" s="800" t="str">
        <f xml:space="preserve"> ProjectCashflows!G$208</f>
        <v>factor</v>
      </c>
      <c r="H182" s="800">
        <f xml:space="preserve"> ProjectCashflows!H$208</f>
        <v>0</v>
      </c>
      <c r="I182" s="800">
        <f xml:space="preserve"> ProjectCashflows!I$208</f>
        <v>0</v>
      </c>
      <c r="J182" s="800">
        <f xml:space="preserve"> ProjectCashflows!J$208</f>
        <v>0</v>
      </c>
      <c r="K182" s="800">
        <f ca="1" xml:space="preserve"> ProjectCashflows!K$208</f>
        <v>1</v>
      </c>
      <c r="L182" s="800">
        <f ca="1" xml:space="preserve"> ProjectCashflows!L$208</f>
        <v>0.92592592592592582</v>
      </c>
      <c r="M182" s="800">
        <f ca="1" xml:space="preserve"> ProjectCashflows!M$208</f>
        <v>0.85733882030178321</v>
      </c>
      <c r="N182" s="800">
        <f ca="1" xml:space="preserve"> ProjectCashflows!N$208</f>
        <v>0.79383224102016958</v>
      </c>
      <c r="O182" s="800">
        <f ca="1" xml:space="preserve"> ProjectCashflows!O$208</f>
        <v>0.73502985279645328</v>
      </c>
      <c r="P182" s="800">
        <f ca="1" xml:space="preserve"> ProjectCashflows!P$208</f>
        <v>0.68058319703375303</v>
      </c>
      <c r="Q182" s="800">
        <f ca="1" xml:space="preserve"> ProjectCashflows!Q$208</f>
        <v>0.63016962688310452</v>
      </c>
      <c r="R182" s="800">
        <f ca="1" xml:space="preserve"> ProjectCashflows!R$208</f>
        <v>0.58349039526213387</v>
      </c>
      <c r="S182" s="800">
        <f ca="1" xml:space="preserve"> ProjectCashflows!S$208</f>
        <v>0.54026888450197574</v>
      </c>
      <c r="T182" s="800">
        <f ca="1" xml:space="preserve"> ProjectCashflows!T$208</f>
        <v>0.50024896713145905</v>
      </c>
      <c r="U182" s="800">
        <f ca="1" xml:space="preserve"> ProjectCashflows!U$208</f>
        <v>0.46319348808468425</v>
      </c>
      <c r="V182" s="800">
        <f ca="1" xml:space="preserve"> ProjectCashflows!V$208</f>
        <v>0.42888285933767062</v>
      </c>
      <c r="W182" s="800">
        <f ca="1" xml:space="preserve"> ProjectCashflows!W$208</f>
        <v>0.39711375864599124</v>
      </c>
      <c r="X182" s="800">
        <f ca="1" xml:space="preserve"> ProjectCashflows!X$208</f>
        <v>0.36769792467221413</v>
      </c>
      <c r="Y182" s="800">
        <f ca="1" xml:space="preserve"> ProjectCashflows!Y$208</f>
        <v>0.34046104136316119</v>
      </c>
      <c r="Z182" s="800">
        <f ca="1" xml:space="preserve"> ProjectCashflows!Z$208</f>
        <v>0.31524170496588994</v>
      </c>
      <c r="AA182" s="800">
        <f ca="1" xml:space="preserve"> ProjectCashflows!AA$208</f>
        <v>0.29189046756100923</v>
      </c>
      <c r="AB182" s="800">
        <f ca="1" xml:space="preserve"> ProjectCashflows!AB$208</f>
        <v>0.27026895144537894</v>
      </c>
      <c r="AC182" s="800">
        <f ca="1" xml:space="preserve"> ProjectCashflows!AC$208</f>
        <v>0.25024902911609154</v>
      </c>
      <c r="AD182" s="800">
        <f ca="1" xml:space="preserve"> ProjectCashflows!AD$208</f>
        <v>0.23171206399638106</v>
      </c>
      <c r="AE182" s="800">
        <f ca="1" xml:space="preserve"> ProjectCashflows!AE$208</f>
        <v>0.21454820740405653</v>
      </c>
      <c r="AF182" s="800">
        <f ca="1" xml:space="preserve"> ProjectCashflows!AF$208</f>
        <v>0.19865574759634863</v>
      </c>
      <c r="AG182" s="800">
        <f ca="1" xml:space="preserve"> ProjectCashflows!AG$208</f>
        <v>0.18394050703365611</v>
      </c>
      <c r="AH182" s="800">
        <f ca="1" xml:space="preserve"> ProjectCashflows!AH$208</f>
        <v>0.17031528429042234</v>
      </c>
      <c r="AI182" s="800">
        <f ca="1" xml:space="preserve"> ProjectCashflows!AI$208</f>
        <v>0.1576993373059466</v>
      </c>
      <c r="AJ182" s="800">
        <f ca="1" xml:space="preserve"> ProjectCashflows!AJ$208</f>
        <v>0.1460179049129135</v>
      </c>
      <c r="AK182" s="800">
        <f ca="1" xml:space="preserve"> ProjectCashflows!AK$208</f>
        <v>0.13520176380825324</v>
      </c>
      <c r="AL182" s="800">
        <f ca="1" xml:space="preserve"> ProjectCashflows!AL$208</f>
        <v>0.12518681834097523</v>
      </c>
      <c r="AM182" s="800">
        <f ca="1" xml:space="preserve"> ProjectCashflows!AM$208</f>
        <v>0.11591372068608817</v>
      </c>
      <c r="AN182" s="800">
        <f ca="1" xml:space="preserve"> ProjectCashflows!AN$208</f>
        <v>0.10732751915378534</v>
      </c>
      <c r="AO182" s="800">
        <f ca="1" xml:space="preserve"> ProjectCashflows!AO$208</f>
        <v>9.9377332549801231E-2</v>
      </c>
      <c r="AP182" s="800">
        <f ca="1" xml:space="preserve"> ProjectCashflows!AP$208</f>
        <v>9.2016048657223348E-2</v>
      </c>
      <c r="AQ182" s="800">
        <f ca="1" xml:space="preserve"> ProjectCashflows!AQ$208</f>
        <v>8.5200045052984577E-2</v>
      </c>
      <c r="AR182" s="800">
        <f ca="1" xml:space="preserve"> ProjectCashflows!AR$208</f>
        <v>0</v>
      </c>
      <c r="AS182" s="800">
        <f ca="1" xml:space="preserve"> ProjectCashflows!AS$208</f>
        <v>0</v>
      </c>
      <c r="AT182" s="800">
        <f ca="1" xml:space="preserve"> ProjectCashflows!AT$208</f>
        <v>0</v>
      </c>
      <c r="AU182" s="800">
        <f ca="1" xml:space="preserve"> ProjectCashflows!AU$208</f>
        <v>0</v>
      </c>
      <c r="AV182" s="800">
        <f ca="1" xml:space="preserve"> ProjectCashflows!AV$208</f>
        <v>0</v>
      </c>
      <c r="AW182" s="800">
        <f ca="1" xml:space="preserve"> ProjectCashflows!AW$208</f>
        <v>0</v>
      </c>
      <c r="AX182" s="800">
        <f ca="1" xml:space="preserve"> ProjectCashflows!AX$208</f>
        <v>0</v>
      </c>
    </row>
    <row r="183" spans="1:50" s="290" customFormat="1" ht="15" customHeight="1" x14ac:dyDescent="0.25">
      <c r="B183" s="292"/>
      <c r="E183" s="40" t="str">
        <f xml:space="preserve"> Inputs!E$63</f>
        <v>Short NPV label</v>
      </c>
      <c r="F183" s="283" t="str">
        <f xml:space="preserve"> Inputs!F$63</f>
        <v>NPV8</v>
      </c>
      <c r="G183" s="40" t="str">
        <f xml:space="preserve"> Inputs!G$63</f>
        <v>Label</v>
      </c>
      <c r="H183" s="40"/>
      <c r="I183" s="40"/>
      <c r="J183" s="40"/>
      <c r="K183" s="40"/>
      <c r="L183" s="40"/>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row>
    <row r="184" spans="1:50" s="109" customFormat="1" ht="15" customHeight="1" x14ac:dyDescent="0.25">
      <c r="A184" s="106"/>
      <c r="B184" s="168"/>
    </row>
    <row r="185" spans="1:50" s="109" customFormat="1" ht="15" customHeight="1" x14ac:dyDescent="0.25">
      <c r="A185" s="106"/>
      <c r="B185" s="168"/>
      <c r="E185" s="109" t="str">
        <f t="shared" ref="E185:E193" si="49" xml:space="preserve"> E130</f>
        <v>Cashflow before decommissioning fund</v>
      </c>
      <c r="G185" s="109" t="str">
        <f t="shared" ref="G185:G193" si="50" xml:space="preserve"> G130 &amp; " " &amp; F$183</f>
        <v>US$ mn 2021 NPV8</v>
      </c>
      <c r="K185" s="109">
        <f t="shared" ref="K185:AX185" ca="1" si="51" xml:space="preserve"> IFERROR( K130 * K$182, 0)</f>
        <v>-420</v>
      </c>
      <c r="L185" s="109">
        <f t="shared" ca="1" si="51"/>
        <v>-46.296296296296291</v>
      </c>
      <c r="M185" s="109">
        <f t="shared" ca="1" si="51"/>
        <v>-257.20164609053495</v>
      </c>
      <c r="N185" s="109">
        <f t="shared" ca="1" si="51"/>
        <v>-952.59868922420355</v>
      </c>
      <c r="O185" s="109">
        <f t="shared" ca="1" si="51"/>
        <v>-777.91270120684351</v>
      </c>
      <c r="P185" s="109">
        <f t="shared" ca="1" si="51"/>
        <v>-527.02661320301263</v>
      </c>
      <c r="Q185" s="109">
        <f t="shared" ca="1" si="51"/>
        <v>1040.5675963907265</v>
      </c>
      <c r="R185" s="109">
        <f t="shared" ca="1" si="51"/>
        <v>1342.7572720969856</v>
      </c>
      <c r="S185" s="109">
        <f t="shared" ca="1" si="51"/>
        <v>1351.3475473605668</v>
      </c>
      <c r="T185" s="109">
        <f t="shared" ca="1" si="51"/>
        <v>1251.2477290375623</v>
      </c>
      <c r="U185" s="109">
        <f t="shared" ca="1" si="51"/>
        <v>1158.5627120718163</v>
      </c>
      <c r="V185" s="109">
        <f t="shared" ca="1" si="51"/>
        <v>1072.7432519183487</v>
      </c>
      <c r="W185" s="109">
        <f t="shared" ca="1" si="51"/>
        <v>993.28078881328565</v>
      </c>
      <c r="X185" s="109">
        <f t="shared" ca="1" si="51"/>
        <v>919.70443408637561</v>
      </c>
      <c r="Y185" s="109">
        <f t="shared" ca="1" si="51"/>
        <v>851.57817970960696</v>
      </c>
      <c r="Z185" s="109">
        <f t="shared" ca="1" si="51"/>
        <v>788.4983145459322</v>
      </c>
      <c r="AA185" s="109">
        <f t="shared" ca="1" si="51"/>
        <v>563.08954960278754</v>
      </c>
      <c r="AB185" s="109">
        <f t="shared" ca="1" si="51"/>
        <v>463.69533866837833</v>
      </c>
      <c r="AC185" s="109">
        <f t="shared" ca="1" si="51"/>
        <v>362.9365951657187</v>
      </c>
      <c r="AD185" s="109">
        <f t="shared" ca="1" si="51"/>
        <v>221.57336039107992</v>
      </c>
      <c r="AE185" s="109">
        <f t="shared" ca="1" si="51"/>
        <v>156.61117024308896</v>
      </c>
      <c r="AF185" s="109">
        <f t="shared" ca="1" si="51"/>
        <v>146.89915947609563</v>
      </c>
      <c r="AG185" s="109">
        <f t="shared" ca="1" si="51"/>
        <v>108.31840989110212</v>
      </c>
      <c r="AH185" s="109">
        <f t="shared" ca="1" si="51"/>
        <v>78.854393438260686</v>
      </c>
      <c r="AI185" s="109">
        <f t="shared" ca="1" si="51"/>
        <v>57.082818726852913</v>
      </c>
      <c r="AJ185" s="109">
        <f t="shared" ca="1" si="51"/>
        <v>41.045297395693424</v>
      </c>
      <c r="AK185" s="109">
        <f t="shared" ca="1" si="51"/>
        <v>29.276473380308055</v>
      </c>
      <c r="AL185" s="109">
        <f t="shared" ca="1" si="51"/>
        <v>-10.616255097090725</v>
      </c>
      <c r="AM185" s="109">
        <f t="shared" ca="1" si="51"/>
        <v>14.438135199768501</v>
      </c>
      <c r="AN185" s="109">
        <f t="shared" ca="1" si="51"/>
        <v>9.4011453950810324</v>
      </c>
      <c r="AO185" s="109">
        <f t="shared" ca="1" si="51"/>
        <v>6.2260271861474257</v>
      </c>
      <c r="AP185" s="109">
        <f t="shared" ca="1" si="51"/>
        <v>-23.004012164305838</v>
      </c>
      <c r="AQ185" s="109">
        <f t="shared" ca="1" si="51"/>
        <v>-21.300011263246144</v>
      </c>
      <c r="AR185" s="109">
        <f t="shared" ca="1" si="51"/>
        <v>0</v>
      </c>
      <c r="AS185" s="109">
        <f t="shared" ca="1" si="51"/>
        <v>0</v>
      </c>
      <c r="AT185" s="109">
        <f t="shared" ca="1" si="51"/>
        <v>0</v>
      </c>
      <c r="AU185" s="109">
        <f t="shared" ca="1" si="51"/>
        <v>0</v>
      </c>
      <c r="AV185" s="109">
        <f t="shared" ca="1" si="51"/>
        <v>0</v>
      </c>
      <c r="AW185" s="109">
        <f t="shared" ca="1" si="51"/>
        <v>0</v>
      </c>
      <c r="AX185" s="109">
        <f t="shared" ca="1" si="51"/>
        <v>0</v>
      </c>
    </row>
    <row r="186" spans="1:50" s="109" customFormat="1" ht="15" customHeight="1" x14ac:dyDescent="0.25">
      <c r="A186" s="106"/>
      <c r="B186" s="168"/>
      <c r="E186" s="109" t="str">
        <f t="shared" si="49"/>
        <v>Net decommissioning cashflows</v>
      </c>
      <c r="G186" s="109" t="str">
        <f t="shared" si="50"/>
        <v>US$ mn 2021 NPV8</v>
      </c>
      <c r="K186" s="109">
        <f t="shared" ref="K186:AX186" ca="1" si="52" xml:space="preserve"> IFERROR( K131 * K$182, 0)</f>
        <v>0</v>
      </c>
      <c r="L186" s="109">
        <f t="shared" ca="1" si="52"/>
        <v>0</v>
      </c>
      <c r="M186" s="109">
        <f t="shared" ca="1" si="52"/>
        <v>0</v>
      </c>
      <c r="N186" s="109">
        <f t="shared" ca="1" si="52"/>
        <v>0</v>
      </c>
      <c r="O186" s="109">
        <f t="shared" ca="1" si="52"/>
        <v>0</v>
      </c>
      <c r="P186" s="109">
        <f t="shared" ca="1" si="52"/>
        <v>0</v>
      </c>
      <c r="Q186" s="109">
        <f t="shared" ca="1" si="52"/>
        <v>0</v>
      </c>
      <c r="R186" s="109">
        <f t="shared" ca="1" si="52"/>
        <v>0</v>
      </c>
      <c r="S186" s="109">
        <f t="shared" ca="1" si="52"/>
        <v>0</v>
      </c>
      <c r="T186" s="109">
        <f t="shared" ca="1" si="52"/>
        <v>0</v>
      </c>
      <c r="U186" s="109">
        <f t="shared" ca="1" si="52"/>
        <v>0</v>
      </c>
      <c r="V186" s="109">
        <f t="shared" ca="1" si="52"/>
        <v>0</v>
      </c>
      <c r="W186" s="109">
        <f t="shared" ca="1" si="52"/>
        <v>-19.959451144854359</v>
      </c>
      <c r="X186" s="109">
        <f t="shared" ca="1" si="52"/>
        <v>-18.11860125712996</v>
      </c>
      <c r="Y186" s="109">
        <f t="shared" ca="1" si="52"/>
        <v>-16.447532005383039</v>
      </c>
      <c r="Z186" s="109">
        <f t="shared" ca="1" si="52"/>
        <v>-14.930584609098617</v>
      </c>
      <c r="AA186" s="109">
        <f t="shared" ca="1" si="52"/>
        <v>-13.553544489014723</v>
      </c>
      <c r="AB186" s="109">
        <f t="shared" ca="1" si="52"/>
        <v>-12.303508069185478</v>
      </c>
      <c r="AC186" s="109">
        <f t="shared" ca="1" si="52"/>
        <v>-11.168761863821235</v>
      </c>
      <c r="AD186" s="109">
        <f t="shared" ca="1" si="52"/>
        <v>-10.138672715887108</v>
      </c>
      <c r="AE186" s="109">
        <f t="shared" ca="1" si="52"/>
        <v>-9.2035881589389117</v>
      </c>
      <c r="AF186" s="109">
        <f t="shared" ca="1" si="52"/>
        <v>-8.3547459685356849</v>
      </c>
      <c r="AG186" s="109">
        <f t="shared" ca="1" si="52"/>
        <v>-7.5841920556787255</v>
      </c>
      <c r="AH186" s="109">
        <f t="shared" ca="1" si="52"/>
        <v>-6.8847059328964466</v>
      </c>
      <c r="AI186" s="109">
        <f t="shared" ca="1" si="52"/>
        <v>-6.2497330545537819</v>
      </c>
      <c r="AJ186" s="109">
        <f t="shared" ca="1" si="52"/>
        <v>-5.6733233973799759</v>
      </c>
      <c r="AK186" s="109">
        <f t="shared" ca="1" si="52"/>
        <v>-5.1500757056826219</v>
      </c>
      <c r="AL186" s="109">
        <f t="shared" ca="1" si="52"/>
        <v>26.621617706446948</v>
      </c>
      <c r="AM186" s="109">
        <f t="shared" ca="1" si="52"/>
        <v>-2.7196938439875917</v>
      </c>
      <c r="AN186" s="109">
        <f t="shared" ca="1" si="52"/>
        <v>-2.4688578830678938</v>
      </c>
      <c r="AO186" s="109">
        <f t="shared" ca="1" si="52"/>
        <v>-2.2411563934893728</v>
      </c>
      <c r="AP186" s="109">
        <f t="shared" ca="1" si="52"/>
        <v>23.004012164305838</v>
      </c>
      <c r="AQ186" s="109">
        <f t="shared" ca="1" si="52"/>
        <v>21.300011263246134</v>
      </c>
      <c r="AR186" s="109">
        <f t="shared" ca="1" si="52"/>
        <v>0</v>
      </c>
      <c r="AS186" s="109">
        <f t="shared" ca="1" si="52"/>
        <v>0</v>
      </c>
      <c r="AT186" s="109">
        <f t="shared" ca="1" si="52"/>
        <v>0</v>
      </c>
      <c r="AU186" s="109">
        <f t="shared" ca="1" si="52"/>
        <v>0</v>
      </c>
      <c r="AV186" s="109">
        <f t="shared" ca="1" si="52"/>
        <v>0</v>
      </c>
      <c r="AW186" s="109">
        <f t="shared" ca="1" si="52"/>
        <v>0</v>
      </c>
      <c r="AX186" s="109">
        <f t="shared" ca="1" si="52"/>
        <v>0</v>
      </c>
    </row>
    <row r="187" spans="1:50" s="109" customFormat="1" ht="15" customHeight="1" x14ac:dyDescent="0.25">
      <c r="A187" s="106"/>
      <c r="B187" s="168"/>
      <c r="E187" s="109" t="str">
        <f t="shared" si="49"/>
        <v>Government revenues excluding participation</v>
      </c>
      <c r="G187" s="109" t="str">
        <f t="shared" si="50"/>
        <v>US$ mn 2021 NPV8</v>
      </c>
      <c r="K187" s="109">
        <f t="shared" ref="K187:AX187" ca="1" si="53" xml:space="preserve"> IFERROR( K132 * K$182, 0)</f>
        <v>10</v>
      </c>
      <c r="L187" s="109">
        <f t="shared" ca="1" si="53"/>
        <v>0</v>
      </c>
      <c r="M187" s="109">
        <f t="shared" ca="1" si="53"/>
        <v>0</v>
      </c>
      <c r="N187" s="109">
        <f t="shared" ca="1" si="53"/>
        <v>0</v>
      </c>
      <c r="O187" s="109">
        <f t="shared" ca="1" si="53"/>
        <v>65.110860054787338</v>
      </c>
      <c r="P187" s="109">
        <f t="shared" ca="1" si="53"/>
        <v>250.93639776086258</v>
      </c>
      <c r="Q187" s="109">
        <f t="shared" ca="1" si="53"/>
        <v>457.92548819732241</v>
      </c>
      <c r="R187" s="109">
        <f t="shared" ca="1" si="53"/>
        <v>508.86072902946592</v>
      </c>
      <c r="S187" s="109">
        <f t="shared" ca="1" si="53"/>
        <v>518.82716066772105</v>
      </c>
      <c r="T187" s="109">
        <f t="shared" ca="1" si="53"/>
        <v>542.18646874568049</v>
      </c>
      <c r="U187" s="109">
        <f t="shared" ca="1" si="53"/>
        <v>544.2804864260695</v>
      </c>
      <c r="V187" s="109">
        <f t="shared" ca="1" si="53"/>
        <v>522.7120997489377</v>
      </c>
      <c r="W187" s="109">
        <f t="shared" ca="1" si="53"/>
        <v>482.57350756030223</v>
      </c>
      <c r="X187" s="109">
        <f t="shared" ca="1" si="53"/>
        <v>448.29131646804746</v>
      </c>
      <c r="Y187" s="109">
        <f t="shared" ca="1" si="53"/>
        <v>416.38955390781615</v>
      </c>
      <c r="Z187" s="109">
        <f t="shared" ca="1" si="53"/>
        <v>386.70876638542114</v>
      </c>
      <c r="AA187" s="109">
        <f t="shared" ca="1" si="53"/>
        <v>286.21121928691332</v>
      </c>
      <c r="AB187" s="109">
        <f t="shared" ca="1" si="53"/>
        <v>214.07210483631016</v>
      </c>
      <c r="AC187" s="109">
        <f t="shared" ca="1" si="53"/>
        <v>165.66868085548481</v>
      </c>
      <c r="AD187" s="109">
        <f t="shared" ca="1" si="53"/>
        <v>117.37495338587857</v>
      </c>
      <c r="AE187" s="109">
        <f t="shared" ca="1" si="53"/>
        <v>85.389109622075921</v>
      </c>
      <c r="AF187" s="109">
        <f t="shared" ca="1" si="53"/>
        <v>66.261456155535797</v>
      </c>
      <c r="AG187" s="109">
        <f t="shared" ca="1" si="53"/>
        <v>43.883436967338056</v>
      </c>
      <c r="AH187" s="109">
        <f t="shared" ca="1" si="53"/>
        <v>31.271323137955417</v>
      </c>
      <c r="AI187" s="109">
        <f t="shared" ca="1" si="53"/>
        <v>23.596598944997126</v>
      </c>
      <c r="AJ187" s="109">
        <f t="shared" ca="1" si="53"/>
        <v>18.139693183675213</v>
      </c>
      <c r="AK187" s="109">
        <f t="shared" ca="1" si="53"/>
        <v>12.924138484019918</v>
      </c>
      <c r="AL187" s="109">
        <f t="shared" ca="1" si="53"/>
        <v>9.1022470194737899</v>
      </c>
      <c r="AM187" s="109">
        <f t="shared" ca="1" si="53"/>
        <v>6.7424470620756987</v>
      </c>
      <c r="AN187" s="109">
        <f t="shared" ca="1" si="53"/>
        <v>4.5338592665421276</v>
      </c>
      <c r="AO187" s="109">
        <f t="shared" ca="1" si="53"/>
        <v>3.0580662408985182</v>
      </c>
      <c r="AP187" s="109">
        <f t="shared" ca="1" si="53"/>
        <v>0</v>
      </c>
      <c r="AQ187" s="109">
        <f t="shared" ca="1" si="53"/>
        <v>0</v>
      </c>
      <c r="AR187" s="109">
        <f t="shared" ca="1" si="53"/>
        <v>0</v>
      </c>
      <c r="AS187" s="109">
        <f t="shared" ca="1" si="53"/>
        <v>0</v>
      </c>
      <c r="AT187" s="109">
        <f t="shared" ca="1" si="53"/>
        <v>0</v>
      </c>
      <c r="AU187" s="109">
        <f t="shared" ca="1" si="53"/>
        <v>0</v>
      </c>
      <c r="AV187" s="109">
        <f t="shared" ca="1" si="53"/>
        <v>0</v>
      </c>
      <c r="AW187" s="109">
        <f t="shared" ca="1" si="53"/>
        <v>0</v>
      </c>
      <c r="AX187" s="109">
        <f t="shared" ca="1" si="53"/>
        <v>0</v>
      </c>
    </row>
    <row r="188" spans="1:50" s="109" customFormat="1" ht="15" customHeight="1" x14ac:dyDescent="0.25">
      <c r="A188" s="106"/>
      <c r="B188" s="168"/>
      <c r="E188" s="109" t="str">
        <f t="shared" si="49"/>
        <v>SOC net cash flow before tax, after carried interest, including share of lender cashflows</v>
      </c>
      <c r="G188" s="109" t="str">
        <f t="shared" si="50"/>
        <v>US$ mn 2021 NPV8</v>
      </c>
      <c r="K188" s="109">
        <f t="shared" ref="K188:AX188" ca="1" si="54" xml:space="preserve"> IFERROR( K133 * K$182, 0)</f>
        <v>0</v>
      </c>
      <c r="L188" s="109">
        <f t="shared" ca="1" si="54"/>
        <v>-6.481481481481481</v>
      </c>
      <c r="M188" s="109">
        <f t="shared" ca="1" si="54"/>
        <v>-36.008230452674894</v>
      </c>
      <c r="N188" s="109">
        <f t="shared" ca="1" si="54"/>
        <v>-133.36381649138849</v>
      </c>
      <c r="O188" s="109">
        <f t="shared" ca="1" si="54"/>
        <v>-123.48501526980415</v>
      </c>
      <c r="P188" s="109">
        <f t="shared" ca="1" si="54"/>
        <v>-200.09145992792338</v>
      </c>
      <c r="Q188" s="109">
        <f t="shared" ca="1" si="54"/>
        <v>67.650381960899296</v>
      </c>
      <c r="R188" s="109">
        <f t="shared" ca="1" si="54"/>
        <v>189.4271071733022</v>
      </c>
      <c r="S188" s="109">
        <f t="shared" ca="1" si="54"/>
        <v>197.3514076637307</v>
      </c>
      <c r="T188" s="109">
        <f t="shared" ca="1" si="54"/>
        <v>183.04277939570568</v>
      </c>
      <c r="U188" s="109">
        <f t="shared" ca="1" si="54"/>
        <v>169.76241591241751</v>
      </c>
      <c r="V188" s="109">
        <f t="shared" ca="1" si="54"/>
        <v>157.43734765476407</v>
      </c>
      <c r="W188" s="109">
        <f t="shared" ca="1" si="54"/>
        <v>142.00779913425649</v>
      </c>
      <c r="X188" s="109">
        <f t="shared" ca="1" si="54"/>
        <v>131.76257519106588</v>
      </c>
      <c r="Y188" s="109">
        <f t="shared" ca="1" si="54"/>
        <v>122.24893128390896</v>
      </c>
      <c r="Z188" s="109">
        <f t="shared" ca="1" si="54"/>
        <v>113.41538708794882</v>
      </c>
      <c r="AA188" s="109">
        <f t="shared" ca="1" si="54"/>
        <v>79.051474563890821</v>
      </c>
      <c r="AB188" s="109">
        <f t="shared" ca="1" si="54"/>
        <v>67.17153567181586</v>
      </c>
      <c r="AC188" s="109">
        <f t="shared" ca="1" si="54"/>
        <v>53.049152939160365</v>
      </c>
      <c r="AD188" s="109">
        <f t="shared" ca="1" si="54"/>
        <v>29.327531005004992</v>
      </c>
      <c r="AE188" s="109">
        <f t="shared" ca="1" si="54"/>
        <v>19.775861343481889</v>
      </c>
      <c r="AF188" s="109">
        <f t="shared" ca="1" si="54"/>
        <v>20.439861855454613</v>
      </c>
      <c r="AG188" s="109">
        <f t="shared" ca="1" si="54"/>
        <v>14.702592975889965</v>
      </c>
      <c r="AH188" s="109">
        <f t="shared" ca="1" si="54"/>
        <v>10.316275324844694</v>
      </c>
      <c r="AI188" s="109">
        <f t="shared" ca="1" si="54"/>
        <v>7.1124335663827445</v>
      </c>
      <c r="AJ188" s="109">
        <f t="shared" ca="1" si="54"/>
        <v>4.7867446707328414</v>
      </c>
      <c r="AK188" s="109">
        <f t="shared" ca="1" si="54"/>
        <v>3.1117386640570848</v>
      </c>
      <c r="AL188" s="109">
        <f t="shared" ca="1" si="54"/>
        <v>1.9175321083006744</v>
      </c>
      <c r="AM188" s="109">
        <f t="shared" ca="1" si="54"/>
        <v>1.3822206371403356</v>
      </c>
      <c r="AN188" s="109">
        <f t="shared" ca="1" si="54"/>
        <v>0.66623006818639074</v>
      </c>
      <c r="AO188" s="109">
        <f t="shared" ca="1" si="54"/>
        <v>0.25744570882211487</v>
      </c>
      <c r="AP188" s="109">
        <f t="shared" ca="1" si="54"/>
        <v>0</v>
      </c>
      <c r="AQ188" s="109">
        <f t="shared" ca="1" si="54"/>
        <v>0</v>
      </c>
      <c r="AR188" s="109">
        <f t="shared" ca="1" si="54"/>
        <v>0</v>
      </c>
      <c r="AS188" s="109">
        <f t="shared" ca="1" si="54"/>
        <v>0</v>
      </c>
      <c r="AT188" s="109">
        <f t="shared" ca="1" si="54"/>
        <v>0</v>
      </c>
      <c r="AU188" s="109">
        <f t="shared" ca="1" si="54"/>
        <v>0</v>
      </c>
      <c r="AV188" s="109">
        <f t="shared" ca="1" si="54"/>
        <v>0</v>
      </c>
      <c r="AW188" s="109">
        <f t="shared" ca="1" si="54"/>
        <v>0</v>
      </c>
      <c r="AX188" s="109">
        <f t="shared" ca="1" si="54"/>
        <v>0</v>
      </c>
    </row>
    <row r="189" spans="1:50" s="109" customFormat="1" ht="15" customHeight="1" x14ac:dyDescent="0.25">
      <c r="A189" s="106"/>
      <c r="B189" s="168"/>
      <c r="E189" s="109" t="str">
        <f t="shared" si="49"/>
        <v>Government revenues including participation</v>
      </c>
      <c r="G189" s="109" t="str">
        <f t="shared" si="50"/>
        <v>US$ mn 2021 NPV8</v>
      </c>
      <c r="K189" s="109">
        <f t="shared" ref="K189:AX189" ca="1" si="55" xml:space="preserve"> IFERROR( K134 * K$182, 0)</f>
        <v>10</v>
      </c>
      <c r="L189" s="109">
        <f t="shared" ca="1" si="55"/>
        <v>-6.481481481481481</v>
      </c>
      <c r="M189" s="109">
        <f t="shared" ca="1" si="55"/>
        <v>-36.008230452674894</v>
      </c>
      <c r="N189" s="109">
        <f t="shared" ca="1" si="55"/>
        <v>-133.36381649138849</v>
      </c>
      <c r="O189" s="109">
        <f t="shared" ca="1" si="55"/>
        <v>-58.374155215016799</v>
      </c>
      <c r="P189" s="109">
        <f t="shared" ca="1" si="55"/>
        <v>50.844937832939181</v>
      </c>
      <c r="Q189" s="109">
        <f t="shared" ca="1" si="55"/>
        <v>525.57587015822173</v>
      </c>
      <c r="R189" s="109">
        <f t="shared" ca="1" si="55"/>
        <v>698.28783620276806</v>
      </c>
      <c r="S189" s="109">
        <f t="shared" ca="1" si="55"/>
        <v>716.17856833145174</v>
      </c>
      <c r="T189" s="109">
        <f t="shared" ca="1" si="55"/>
        <v>725.22924814138605</v>
      </c>
      <c r="U189" s="109">
        <f t="shared" ca="1" si="55"/>
        <v>714.04290233848701</v>
      </c>
      <c r="V189" s="109">
        <f t="shared" ca="1" si="55"/>
        <v>680.14944740370186</v>
      </c>
      <c r="W189" s="109">
        <f t="shared" ca="1" si="55"/>
        <v>624.58130669455863</v>
      </c>
      <c r="X189" s="109">
        <f t="shared" ca="1" si="55"/>
        <v>580.05389165911333</v>
      </c>
      <c r="Y189" s="109">
        <f t="shared" ca="1" si="55"/>
        <v>538.63848519172518</v>
      </c>
      <c r="Z189" s="109">
        <f t="shared" ca="1" si="55"/>
        <v>500.12415347336997</v>
      </c>
      <c r="AA189" s="109">
        <f t="shared" ca="1" si="55"/>
        <v>365.26269385080417</v>
      </c>
      <c r="AB189" s="109">
        <f t="shared" ca="1" si="55"/>
        <v>281.24364050812602</v>
      </c>
      <c r="AC189" s="109">
        <f t="shared" ca="1" si="55"/>
        <v>218.71783379464517</v>
      </c>
      <c r="AD189" s="109">
        <f t="shared" ca="1" si="55"/>
        <v>146.70248439088357</v>
      </c>
      <c r="AE189" s="109">
        <f t="shared" ca="1" si="55"/>
        <v>105.16497096555781</v>
      </c>
      <c r="AF189" s="109">
        <f t="shared" ca="1" si="55"/>
        <v>86.701318010990406</v>
      </c>
      <c r="AG189" s="109">
        <f t="shared" ca="1" si="55"/>
        <v>58.586029943228027</v>
      </c>
      <c r="AH189" s="109">
        <f t="shared" ca="1" si="55"/>
        <v>41.587598462800109</v>
      </c>
      <c r="AI189" s="109">
        <f t="shared" ca="1" si="55"/>
        <v>30.709032511379874</v>
      </c>
      <c r="AJ189" s="109">
        <f t="shared" ca="1" si="55"/>
        <v>22.926437854408054</v>
      </c>
      <c r="AK189" s="109">
        <f t="shared" ca="1" si="55"/>
        <v>16.035877148077002</v>
      </c>
      <c r="AL189" s="109">
        <f t="shared" ca="1" si="55"/>
        <v>11.019779127774466</v>
      </c>
      <c r="AM189" s="109">
        <f t="shared" ca="1" si="55"/>
        <v>8.1246676992160332</v>
      </c>
      <c r="AN189" s="109">
        <f t="shared" ca="1" si="55"/>
        <v>5.200089334728518</v>
      </c>
      <c r="AO189" s="109">
        <f t="shared" ca="1" si="55"/>
        <v>3.3155119497206327</v>
      </c>
      <c r="AP189" s="109">
        <f t="shared" ca="1" si="55"/>
        <v>0</v>
      </c>
      <c r="AQ189" s="109">
        <f t="shared" ca="1" si="55"/>
        <v>0</v>
      </c>
      <c r="AR189" s="109">
        <f t="shared" ca="1" si="55"/>
        <v>0</v>
      </c>
      <c r="AS189" s="109">
        <f t="shared" ca="1" si="55"/>
        <v>0</v>
      </c>
      <c r="AT189" s="109">
        <f t="shared" ca="1" si="55"/>
        <v>0</v>
      </c>
      <c r="AU189" s="109">
        <f t="shared" ca="1" si="55"/>
        <v>0</v>
      </c>
      <c r="AV189" s="109">
        <f t="shared" ca="1" si="55"/>
        <v>0</v>
      </c>
      <c r="AW189" s="109">
        <f t="shared" ca="1" si="55"/>
        <v>0</v>
      </c>
      <c r="AX189" s="109">
        <f t="shared" ca="1" si="55"/>
        <v>0</v>
      </c>
    </row>
    <row r="190" spans="1:50" s="109" customFormat="1" ht="15" customHeight="1" x14ac:dyDescent="0.25">
      <c r="A190" s="106"/>
      <c r="B190" s="168"/>
      <c r="E190" s="109" t="str">
        <f t="shared" si="49"/>
        <v>Net cashflow after fiscal regime: IOC</v>
      </c>
      <c r="G190" s="109" t="str">
        <f t="shared" si="50"/>
        <v>US$ mn 2021 NPV8</v>
      </c>
      <c r="K190" s="109">
        <f t="shared" ref="K190:AX190" ca="1" si="56" xml:space="preserve"> IFERROR( K135 * K$182, 0)</f>
        <v>-430</v>
      </c>
      <c r="L190" s="109">
        <f t="shared" ca="1" si="56"/>
        <v>-13.888888888888888</v>
      </c>
      <c r="M190" s="109">
        <f t="shared" ca="1" si="56"/>
        <v>-77.160493827160508</v>
      </c>
      <c r="N190" s="109">
        <f t="shared" ca="1" si="56"/>
        <v>-285.77960676726099</v>
      </c>
      <c r="O190" s="109">
        <f t="shared" ca="1" si="56"/>
        <v>-225.59848491261022</v>
      </c>
      <c r="P190" s="109">
        <f t="shared" ca="1" si="56"/>
        <v>222.49428867574204</v>
      </c>
      <c r="Q190" s="109">
        <f t="shared" ca="1" si="56"/>
        <v>257.20811059923813</v>
      </c>
      <c r="R190" s="109">
        <f t="shared" ca="1" si="56"/>
        <v>417.78327783606619</v>
      </c>
      <c r="S190" s="109">
        <f t="shared" ca="1" si="56"/>
        <v>436.03685263465235</v>
      </c>
      <c r="T190" s="109">
        <f t="shared" ca="1" si="56"/>
        <v>351.28605333081623</v>
      </c>
      <c r="U190" s="109">
        <f t="shared" ca="1" si="56"/>
        <v>291.38021089675146</v>
      </c>
      <c r="V190" s="109">
        <f t="shared" ca="1" si="56"/>
        <v>258.55036605447623</v>
      </c>
      <c r="W190" s="109">
        <f t="shared" ca="1" si="56"/>
        <v>231.57294280793835</v>
      </c>
      <c r="X190" s="109">
        <f t="shared" ca="1" si="56"/>
        <v>219.26841985000485</v>
      </c>
      <c r="Y190" s="109">
        <f t="shared" ca="1" si="56"/>
        <v>207.37976726657058</v>
      </c>
      <c r="Z190" s="109">
        <f t="shared" ca="1" si="56"/>
        <v>195.92634605803843</v>
      </c>
      <c r="AA190" s="109">
        <f t="shared" ca="1" si="56"/>
        <v>184.27331126296869</v>
      </c>
      <c r="AB190" s="109">
        <f t="shared" ca="1" si="56"/>
        <v>170.14819009106677</v>
      </c>
      <c r="AC190" s="109">
        <f t="shared" ca="1" si="56"/>
        <v>133.04999950725238</v>
      </c>
      <c r="AD190" s="109">
        <f t="shared" ca="1" si="56"/>
        <v>64.73220328430925</v>
      </c>
      <c r="AE190" s="109">
        <f t="shared" ca="1" si="56"/>
        <v>42.242611118592258</v>
      </c>
      <c r="AF190" s="109">
        <f t="shared" ca="1" si="56"/>
        <v>51.843095496569539</v>
      </c>
      <c r="AG190" s="109">
        <f t="shared" ca="1" si="56"/>
        <v>42.148187892195359</v>
      </c>
      <c r="AH190" s="109">
        <f t="shared" ca="1" si="56"/>
        <v>30.382089042564129</v>
      </c>
      <c r="AI190" s="109">
        <f t="shared" ca="1" si="56"/>
        <v>20.124053160919271</v>
      </c>
      <c r="AJ190" s="109">
        <f t="shared" ca="1" si="56"/>
        <v>12.445536143905397</v>
      </c>
      <c r="AK190" s="109">
        <f t="shared" ca="1" si="56"/>
        <v>8.0905205265484259</v>
      </c>
      <c r="AL190" s="109">
        <f t="shared" ca="1" si="56"/>
        <v>4.9855834815817603</v>
      </c>
      <c r="AM190" s="109">
        <f t="shared" ca="1" si="56"/>
        <v>3.5937736565648768</v>
      </c>
      <c r="AN190" s="109">
        <f t="shared" ca="1" si="56"/>
        <v>1.7321981772846207</v>
      </c>
      <c r="AO190" s="109">
        <f t="shared" ca="1" si="56"/>
        <v>0.66935884293741843</v>
      </c>
      <c r="AP190" s="109">
        <f t="shared" ca="1" si="56"/>
        <v>0</v>
      </c>
      <c r="AQ190" s="109">
        <f t="shared" ca="1" si="56"/>
        <v>0</v>
      </c>
      <c r="AR190" s="109">
        <f t="shared" ca="1" si="56"/>
        <v>0</v>
      </c>
      <c r="AS190" s="109">
        <f t="shared" ca="1" si="56"/>
        <v>0</v>
      </c>
      <c r="AT190" s="109">
        <f t="shared" ca="1" si="56"/>
        <v>0</v>
      </c>
      <c r="AU190" s="109">
        <f t="shared" ca="1" si="56"/>
        <v>0</v>
      </c>
      <c r="AV190" s="109">
        <f t="shared" ca="1" si="56"/>
        <v>0</v>
      </c>
      <c r="AW190" s="109">
        <f t="shared" ca="1" si="56"/>
        <v>0</v>
      </c>
      <c r="AX190" s="109">
        <f t="shared" ca="1" si="56"/>
        <v>0</v>
      </c>
    </row>
    <row r="191" spans="1:50" s="109" customFormat="1" ht="15" customHeight="1" x14ac:dyDescent="0.25">
      <c r="A191" s="106"/>
      <c r="B191" s="168"/>
      <c r="E191" s="109" t="str">
        <f t="shared" si="49"/>
        <v>Lender cashflows after interest withholding tax: IOC parent</v>
      </c>
      <c r="G191" s="109" t="str">
        <f t="shared" si="50"/>
        <v>US$ mn 2021 NPV8</v>
      </c>
      <c r="K191" s="109">
        <f t="shared" ref="K191:AX191" ca="1" si="57" xml:space="preserve"> IFERROR( K136 * K$182, 0)</f>
        <v>0</v>
      </c>
      <c r="L191" s="109">
        <f t="shared" ca="1" si="57"/>
        <v>-25.92592592592592</v>
      </c>
      <c r="M191" s="109">
        <f t="shared" ca="1" si="57"/>
        <v>-144.03292181069958</v>
      </c>
      <c r="N191" s="109">
        <f t="shared" ca="1" si="57"/>
        <v>-533.45526596555396</v>
      </c>
      <c r="O191" s="109">
        <f t="shared" ca="1" si="57"/>
        <v>-493.9400610792166</v>
      </c>
      <c r="P191" s="109">
        <f t="shared" ca="1" si="57"/>
        <v>-800.36583971169341</v>
      </c>
      <c r="Q191" s="109">
        <f t="shared" ca="1" si="57"/>
        <v>257.78361563326666</v>
      </c>
      <c r="R191" s="109">
        <f t="shared" ca="1" si="57"/>
        <v>226.68615805815131</v>
      </c>
      <c r="S191" s="109">
        <f t="shared" ca="1" si="57"/>
        <v>199.132126394463</v>
      </c>
      <c r="T191" s="109">
        <f t="shared" ca="1" si="57"/>
        <v>174.73242756535944</v>
      </c>
      <c r="U191" s="109">
        <f t="shared" ca="1" si="57"/>
        <v>153.13959883657785</v>
      </c>
      <c r="V191" s="109">
        <f t="shared" ca="1" si="57"/>
        <v>134.04343846017076</v>
      </c>
      <c r="W191" s="109">
        <f t="shared" ca="1" si="57"/>
        <v>117.16708816593433</v>
      </c>
      <c r="X191" s="109">
        <f t="shared" ca="1" si="57"/>
        <v>102.26352132012755</v>
      </c>
      <c r="Y191" s="109">
        <f t="shared" ca="1" si="57"/>
        <v>89.112395245928269</v>
      </c>
      <c r="Z191" s="109">
        <f t="shared" ca="1" si="57"/>
        <v>77.517230405425323</v>
      </c>
      <c r="AA191" s="109">
        <f t="shared" ca="1" si="57"/>
        <v>0</v>
      </c>
      <c r="AB191" s="109">
        <f t="shared" ca="1" si="57"/>
        <v>0</v>
      </c>
      <c r="AC191" s="109">
        <f t="shared" ca="1" si="57"/>
        <v>0</v>
      </c>
      <c r="AD191" s="109">
        <f t="shared" ca="1" si="57"/>
        <v>0</v>
      </c>
      <c r="AE191" s="109">
        <f t="shared" ca="1" si="57"/>
        <v>0</v>
      </c>
      <c r="AF191" s="109">
        <f t="shared" ca="1" si="57"/>
        <v>0</v>
      </c>
      <c r="AG191" s="109">
        <f t="shared" ca="1" si="57"/>
        <v>0</v>
      </c>
      <c r="AH191" s="109">
        <f t="shared" ca="1" si="57"/>
        <v>0</v>
      </c>
      <c r="AI191" s="109">
        <f t="shared" ca="1" si="57"/>
        <v>0</v>
      </c>
      <c r="AJ191" s="109">
        <f t="shared" ca="1" si="57"/>
        <v>0</v>
      </c>
      <c r="AK191" s="109">
        <f t="shared" ca="1" si="57"/>
        <v>0</v>
      </c>
      <c r="AL191" s="109">
        <f t="shared" ca="1" si="57"/>
        <v>0</v>
      </c>
      <c r="AM191" s="109">
        <f t="shared" ca="1" si="57"/>
        <v>0</v>
      </c>
      <c r="AN191" s="109">
        <f t="shared" ca="1" si="57"/>
        <v>0</v>
      </c>
      <c r="AO191" s="109">
        <f t="shared" ca="1" si="57"/>
        <v>0</v>
      </c>
      <c r="AP191" s="109">
        <f t="shared" ca="1" si="57"/>
        <v>0</v>
      </c>
      <c r="AQ191" s="109">
        <f t="shared" ca="1" si="57"/>
        <v>0</v>
      </c>
      <c r="AR191" s="109">
        <f t="shared" ca="1" si="57"/>
        <v>0</v>
      </c>
      <c r="AS191" s="109">
        <f t="shared" ca="1" si="57"/>
        <v>0</v>
      </c>
      <c r="AT191" s="109">
        <f t="shared" ca="1" si="57"/>
        <v>0</v>
      </c>
      <c r="AU191" s="109">
        <f t="shared" ca="1" si="57"/>
        <v>0</v>
      </c>
      <c r="AV191" s="109">
        <f t="shared" ca="1" si="57"/>
        <v>0</v>
      </c>
      <c r="AW191" s="109">
        <f t="shared" ca="1" si="57"/>
        <v>0</v>
      </c>
      <c r="AX191" s="109">
        <f t="shared" ca="1" si="57"/>
        <v>0</v>
      </c>
    </row>
    <row r="192" spans="1:50" s="109" customFormat="1" ht="15" customHeight="1" x14ac:dyDescent="0.25">
      <c r="A192" s="106"/>
      <c r="B192" s="168"/>
      <c r="E192" s="109" t="str">
        <f t="shared" si="49"/>
        <v>Investors (IOC + Lender)</v>
      </c>
      <c r="G192" s="109" t="str">
        <f t="shared" si="50"/>
        <v>US$ mn 2021 NPV8</v>
      </c>
      <c r="K192" s="109">
        <f t="shared" ref="K192:AX192" ca="1" si="58" xml:space="preserve"> IFERROR( K137 * K$182, 0)</f>
        <v>-430</v>
      </c>
      <c r="L192" s="109">
        <f t="shared" ca="1" si="58"/>
        <v>-39.81481481481481</v>
      </c>
      <c r="M192" s="109">
        <f t="shared" ca="1" si="58"/>
        <v>-221.19341563786006</v>
      </c>
      <c r="N192" s="109">
        <f t="shared" ca="1" si="58"/>
        <v>-819.23487273281501</v>
      </c>
      <c r="O192" s="109">
        <f t="shared" ca="1" si="58"/>
        <v>-719.53854599182682</v>
      </c>
      <c r="P192" s="109">
        <f t="shared" ca="1" si="58"/>
        <v>-577.87155103595148</v>
      </c>
      <c r="Q192" s="109">
        <f t="shared" ca="1" si="58"/>
        <v>514.99172623250479</v>
      </c>
      <c r="R192" s="109">
        <f t="shared" ca="1" si="58"/>
        <v>644.46943589421744</v>
      </c>
      <c r="S192" s="109">
        <f t="shared" ca="1" si="58"/>
        <v>635.16897902911535</v>
      </c>
      <c r="T192" s="109">
        <f t="shared" ca="1" si="58"/>
        <v>526.01848089617556</v>
      </c>
      <c r="U192" s="109">
        <f t="shared" ca="1" si="58"/>
        <v>444.51980973332928</v>
      </c>
      <c r="V192" s="109">
        <f t="shared" ca="1" si="58"/>
        <v>392.59380451464699</v>
      </c>
      <c r="W192" s="109">
        <f t="shared" ca="1" si="58"/>
        <v>348.74003097387265</v>
      </c>
      <c r="X192" s="109">
        <f t="shared" ca="1" si="58"/>
        <v>321.53194117013237</v>
      </c>
      <c r="Y192" s="109">
        <f t="shared" ca="1" si="58"/>
        <v>296.49216251249885</v>
      </c>
      <c r="Z192" s="109">
        <f t="shared" ca="1" si="58"/>
        <v>273.44357646346373</v>
      </c>
      <c r="AA192" s="109">
        <f t="shared" ca="1" si="58"/>
        <v>184.27331126296869</v>
      </c>
      <c r="AB192" s="109">
        <f t="shared" ca="1" si="58"/>
        <v>170.14819009106677</v>
      </c>
      <c r="AC192" s="109">
        <f t="shared" ca="1" si="58"/>
        <v>133.04999950725238</v>
      </c>
      <c r="AD192" s="109">
        <f t="shared" ca="1" si="58"/>
        <v>64.73220328430925</v>
      </c>
      <c r="AE192" s="109">
        <f t="shared" ca="1" si="58"/>
        <v>42.242611118592258</v>
      </c>
      <c r="AF192" s="109">
        <f t="shared" ca="1" si="58"/>
        <v>51.843095496569539</v>
      </c>
      <c r="AG192" s="109">
        <f t="shared" ca="1" si="58"/>
        <v>42.148187892195359</v>
      </c>
      <c r="AH192" s="109">
        <f t="shared" ca="1" si="58"/>
        <v>30.382089042564129</v>
      </c>
      <c r="AI192" s="109">
        <f t="shared" ca="1" si="58"/>
        <v>20.124053160919271</v>
      </c>
      <c r="AJ192" s="109">
        <f t="shared" ca="1" si="58"/>
        <v>12.445536143905397</v>
      </c>
      <c r="AK192" s="109">
        <f t="shared" ca="1" si="58"/>
        <v>8.0905205265484259</v>
      </c>
      <c r="AL192" s="109">
        <f t="shared" ca="1" si="58"/>
        <v>4.9855834815817603</v>
      </c>
      <c r="AM192" s="109">
        <f t="shared" ca="1" si="58"/>
        <v>3.5937736565648768</v>
      </c>
      <c r="AN192" s="109">
        <f t="shared" ca="1" si="58"/>
        <v>1.7321981772846207</v>
      </c>
      <c r="AO192" s="109">
        <f t="shared" ca="1" si="58"/>
        <v>0.66935884293741843</v>
      </c>
      <c r="AP192" s="109">
        <f t="shared" ca="1" si="58"/>
        <v>0</v>
      </c>
      <c r="AQ192" s="109">
        <f t="shared" ca="1" si="58"/>
        <v>0</v>
      </c>
      <c r="AR192" s="109">
        <f t="shared" ca="1" si="58"/>
        <v>0</v>
      </c>
      <c r="AS192" s="109">
        <f t="shared" ca="1" si="58"/>
        <v>0</v>
      </c>
      <c r="AT192" s="109">
        <f t="shared" ca="1" si="58"/>
        <v>0</v>
      </c>
      <c r="AU192" s="109">
        <f t="shared" ca="1" si="58"/>
        <v>0</v>
      </c>
      <c r="AV192" s="109">
        <f t="shared" ca="1" si="58"/>
        <v>0</v>
      </c>
      <c r="AW192" s="109">
        <f t="shared" ca="1" si="58"/>
        <v>0</v>
      </c>
      <c r="AX192" s="109">
        <f t="shared" ca="1" si="58"/>
        <v>0</v>
      </c>
    </row>
    <row r="193" spans="1:50" s="109" customFormat="1" ht="15" customHeight="1" x14ac:dyDescent="0.25">
      <c r="A193" s="106"/>
      <c r="B193" s="168"/>
      <c r="E193" s="109" t="str">
        <f t="shared" si="49"/>
        <v>Project benefits</v>
      </c>
      <c r="G193" s="109" t="str">
        <f t="shared" si="50"/>
        <v>US$ mn 2021 NPV8</v>
      </c>
      <c r="K193" s="109">
        <f t="shared" ref="K193:AX193" ca="1" si="59" xml:space="preserve"> IFERROR( K138 * K$182, 0)</f>
        <v>0</v>
      </c>
      <c r="L193" s="109">
        <f t="shared" ca="1" si="59"/>
        <v>0</v>
      </c>
      <c r="M193" s="109">
        <f t="shared" ca="1" si="59"/>
        <v>0</v>
      </c>
      <c r="N193" s="109">
        <f t="shared" ca="1" si="59"/>
        <v>0</v>
      </c>
      <c r="O193" s="109">
        <f t="shared" ca="1" si="59"/>
        <v>104.12312214890036</v>
      </c>
      <c r="P193" s="109">
        <f t="shared" ca="1" si="59"/>
        <v>902.19810056786889</v>
      </c>
      <c r="Q193" s="109">
        <f t="shared" ca="1" si="59"/>
        <v>1733.7541859621413</v>
      </c>
      <c r="R193" s="109">
        <f t="shared" ca="1" si="59"/>
        <v>1605.3279499649459</v>
      </c>
      <c r="S193" s="109">
        <f t="shared" ca="1" si="59"/>
        <v>1486.4147684860607</v>
      </c>
      <c r="T193" s="109">
        <f t="shared" ca="1" si="59"/>
        <v>1376.3099708204268</v>
      </c>
      <c r="U193" s="109">
        <f t="shared" ca="1" si="59"/>
        <v>1274.3610840929875</v>
      </c>
      <c r="V193" s="109">
        <f t="shared" ca="1" si="59"/>
        <v>1179.9639667527661</v>
      </c>
      <c r="W193" s="109">
        <f t="shared" ca="1" si="59"/>
        <v>1092.5592284747836</v>
      </c>
      <c r="X193" s="109">
        <f t="shared" ca="1" si="59"/>
        <v>1011.6289152544291</v>
      </c>
      <c r="Y193" s="109">
        <f t="shared" ca="1" si="59"/>
        <v>936.69344005039727</v>
      </c>
      <c r="Z193" s="109">
        <f t="shared" ca="1" si="59"/>
        <v>867.30874078740464</v>
      </c>
      <c r="AA193" s="109">
        <f t="shared" ca="1" si="59"/>
        <v>636.06216649303985</v>
      </c>
      <c r="AB193" s="109">
        <f t="shared" ca="1" si="59"/>
        <v>463.69533866837833</v>
      </c>
      <c r="AC193" s="109">
        <f t="shared" ca="1" si="59"/>
        <v>362.9365951657187</v>
      </c>
      <c r="AD193" s="109">
        <f t="shared" ca="1" si="59"/>
        <v>267.91577319035611</v>
      </c>
      <c r="AE193" s="109">
        <f t="shared" ca="1" si="59"/>
        <v>199.52081172390027</v>
      </c>
      <c r="AF193" s="109">
        <f t="shared" ca="1" si="59"/>
        <v>146.89915947609563</v>
      </c>
      <c r="AG193" s="109">
        <f t="shared" ca="1" si="59"/>
        <v>108.31840989110212</v>
      </c>
      <c r="AH193" s="109">
        <f t="shared" ca="1" si="59"/>
        <v>78.854393438260686</v>
      </c>
      <c r="AI193" s="109">
        <f t="shared" ca="1" si="59"/>
        <v>57.082818726852913</v>
      </c>
      <c r="AJ193" s="109">
        <f t="shared" ca="1" si="59"/>
        <v>41.045297395693424</v>
      </c>
      <c r="AK193" s="109">
        <f t="shared" ca="1" si="59"/>
        <v>29.276473380308055</v>
      </c>
      <c r="AL193" s="109">
        <f t="shared" ca="1" si="59"/>
        <v>-10.616255097090722</v>
      </c>
      <c r="AM193" s="109">
        <f t="shared" ca="1" si="59"/>
        <v>14.438135199768501</v>
      </c>
      <c r="AN193" s="109">
        <f t="shared" ca="1" si="59"/>
        <v>9.4011453950810324</v>
      </c>
      <c r="AO193" s="109">
        <f t="shared" ca="1" si="59"/>
        <v>6.2260271861474257</v>
      </c>
      <c r="AP193" s="109">
        <f t="shared" ca="1" si="59"/>
        <v>-23.004012164305838</v>
      </c>
      <c r="AQ193" s="109">
        <f t="shared" ca="1" si="59"/>
        <v>-21.300011263246144</v>
      </c>
      <c r="AR193" s="109">
        <f t="shared" ca="1" si="59"/>
        <v>0</v>
      </c>
      <c r="AS193" s="109">
        <f t="shared" ca="1" si="59"/>
        <v>0</v>
      </c>
      <c r="AT193" s="109">
        <f t="shared" ca="1" si="59"/>
        <v>0</v>
      </c>
      <c r="AU193" s="109">
        <f t="shared" ca="1" si="59"/>
        <v>0</v>
      </c>
      <c r="AV193" s="109">
        <f t="shared" ca="1" si="59"/>
        <v>0</v>
      </c>
      <c r="AW193" s="109">
        <f t="shared" ca="1" si="59"/>
        <v>0</v>
      </c>
      <c r="AX193" s="109">
        <f t="shared" ca="1" si="59"/>
        <v>0</v>
      </c>
    </row>
    <row r="194" spans="1:50" s="109" customFormat="1" ht="15" customHeight="1" x14ac:dyDescent="0.25">
      <c r="A194" s="106"/>
      <c r="B194" s="168"/>
    </row>
    <row r="195" spans="1:50" s="109" customFormat="1" ht="15" customHeight="1" x14ac:dyDescent="0.25">
      <c r="A195" s="106"/>
      <c r="B195" s="168"/>
      <c r="E195" s="109" t="str">
        <f>Translate!E$755 &amp; B180</f>
        <v>Check: Project participants: full-cycle, real, NPV8</v>
      </c>
      <c r="F195" s="71">
        <f ca="1" xml:space="preserve"> MIN( 1, SUM(K195:AX195))</f>
        <v>0</v>
      </c>
      <c r="G195" s="109" t="str">
        <f xml:space="preserve"> Translate!E$604</f>
        <v>Check</v>
      </c>
      <c r="I195" s="109">
        <f ca="1" xml:space="preserve"> SUM(K195:AX195)</f>
        <v>0</v>
      </c>
      <c r="K195" s="71">
        <f t="shared" ref="K195:AX195" ca="1" si="60" xml:space="preserve"> IF( ABS(K185 + K186 - SUM(K189:K191)) &gt; CHK_TOL, 1, 0)</f>
        <v>0</v>
      </c>
      <c r="L195" s="71">
        <f t="shared" ca="1" si="60"/>
        <v>0</v>
      </c>
      <c r="M195" s="71">
        <f t="shared" ca="1" si="60"/>
        <v>0</v>
      </c>
      <c r="N195" s="71">
        <f t="shared" ca="1" si="60"/>
        <v>0</v>
      </c>
      <c r="O195" s="71">
        <f t="shared" ca="1" si="60"/>
        <v>0</v>
      </c>
      <c r="P195" s="71">
        <f t="shared" ca="1" si="60"/>
        <v>0</v>
      </c>
      <c r="Q195" s="71">
        <f t="shared" ca="1" si="60"/>
        <v>0</v>
      </c>
      <c r="R195" s="71">
        <f t="shared" ca="1" si="60"/>
        <v>0</v>
      </c>
      <c r="S195" s="71">
        <f t="shared" ca="1" si="60"/>
        <v>0</v>
      </c>
      <c r="T195" s="71">
        <f t="shared" ca="1" si="60"/>
        <v>0</v>
      </c>
      <c r="U195" s="71">
        <f t="shared" ca="1" si="60"/>
        <v>0</v>
      </c>
      <c r="V195" s="71">
        <f t="shared" ca="1" si="60"/>
        <v>0</v>
      </c>
      <c r="W195" s="71">
        <f t="shared" ca="1" si="60"/>
        <v>0</v>
      </c>
      <c r="X195" s="71">
        <f t="shared" ca="1" si="60"/>
        <v>0</v>
      </c>
      <c r="Y195" s="71">
        <f t="shared" ca="1" si="60"/>
        <v>0</v>
      </c>
      <c r="Z195" s="71">
        <f t="shared" ca="1" si="60"/>
        <v>0</v>
      </c>
      <c r="AA195" s="71">
        <f t="shared" ca="1" si="60"/>
        <v>0</v>
      </c>
      <c r="AB195" s="71">
        <f t="shared" ca="1" si="60"/>
        <v>0</v>
      </c>
      <c r="AC195" s="71">
        <f t="shared" ca="1" si="60"/>
        <v>0</v>
      </c>
      <c r="AD195" s="71">
        <f t="shared" ca="1" si="60"/>
        <v>0</v>
      </c>
      <c r="AE195" s="71">
        <f t="shared" ca="1" si="60"/>
        <v>0</v>
      </c>
      <c r="AF195" s="71">
        <f t="shared" ca="1" si="60"/>
        <v>0</v>
      </c>
      <c r="AG195" s="71">
        <f t="shared" ca="1" si="60"/>
        <v>0</v>
      </c>
      <c r="AH195" s="71">
        <f t="shared" ca="1" si="60"/>
        <v>0</v>
      </c>
      <c r="AI195" s="71">
        <f t="shared" ca="1" si="60"/>
        <v>0</v>
      </c>
      <c r="AJ195" s="71">
        <f t="shared" ca="1" si="60"/>
        <v>0</v>
      </c>
      <c r="AK195" s="71">
        <f t="shared" ca="1" si="60"/>
        <v>0</v>
      </c>
      <c r="AL195" s="71">
        <f t="shared" ca="1" si="60"/>
        <v>0</v>
      </c>
      <c r="AM195" s="71">
        <f t="shared" ca="1" si="60"/>
        <v>0</v>
      </c>
      <c r="AN195" s="71">
        <f t="shared" ca="1" si="60"/>
        <v>0</v>
      </c>
      <c r="AO195" s="71">
        <f t="shared" ca="1" si="60"/>
        <v>0</v>
      </c>
      <c r="AP195" s="71">
        <f t="shared" ca="1" si="60"/>
        <v>0</v>
      </c>
      <c r="AQ195" s="71">
        <f t="shared" ca="1" si="60"/>
        <v>0</v>
      </c>
      <c r="AR195" s="71">
        <f t="shared" ca="1" si="60"/>
        <v>0</v>
      </c>
      <c r="AS195" s="71">
        <f t="shared" ca="1" si="60"/>
        <v>0</v>
      </c>
      <c r="AT195" s="71">
        <f t="shared" ca="1" si="60"/>
        <v>0</v>
      </c>
      <c r="AU195" s="71">
        <f t="shared" ca="1" si="60"/>
        <v>0</v>
      </c>
      <c r="AV195" s="71">
        <f t="shared" ca="1" si="60"/>
        <v>0</v>
      </c>
      <c r="AW195" s="71">
        <f t="shared" ca="1" si="60"/>
        <v>0</v>
      </c>
      <c r="AX195" s="71">
        <f t="shared" ca="1" si="60"/>
        <v>0</v>
      </c>
    </row>
    <row r="196" spans="1:50" s="109" customFormat="1" ht="15" customHeight="1" x14ac:dyDescent="0.25">
      <c r="A196" s="106"/>
      <c r="B196" s="168"/>
    </row>
    <row r="197" spans="1:50" s="109" customFormat="1" ht="15" customHeight="1" x14ac:dyDescent="0.25">
      <c r="A197" s="106"/>
      <c r="B197" s="168"/>
      <c r="E197" s="109" t="str">
        <f xml:space="preserve"> Translate!E$601 &amp; ": " &amp; E185</f>
        <v>Total: Cashflow before decommissioning fund</v>
      </c>
      <c r="F197" s="191">
        <f t="shared" ref="F197:F205" ca="1" si="61" xml:space="preserve"> SUM(K185:AX185)</f>
        <v>9993.7794756460353</v>
      </c>
      <c r="G197" s="109" t="str">
        <f t="shared" ref="G197:G205" si="62" xml:space="preserve"> G185</f>
        <v>US$ mn 2021 NPV8</v>
      </c>
    </row>
    <row r="198" spans="1:50" s="109" customFormat="1" ht="15" customHeight="1" x14ac:dyDescent="0.25">
      <c r="A198" s="106"/>
      <c r="B198" s="168"/>
      <c r="E198" s="109" t="str">
        <f xml:space="preserve"> Translate!E$601 &amp; ": " &amp; E186</f>
        <v>Total: Net decommissioning cashflows</v>
      </c>
      <c r="F198" s="191">
        <f t="shared" ca="1" si="61"/>
        <v>-102.22508741458664</v>
      </c>
      <c r="G198" s="109" t="str">
        <f t="shared" si="62"/>
        <v>US$ mn 2021 NPV8</v>
      </c>
    </row>
    <row r="199" spans="1:50" s="109" customFormat="1" ht="15" customHeight="1" x14ac:dyDescent="0.25">
      <c r="A199" s="106"/>
      <c r="B199" s="168"/>
      <c r="E199" s="109" t="str">
        <f xml:space="preserve"> Translate!E$601 &amp; ": " &amp; E187</f>
        <v>Total: Government revenues excluding participation</v>
      </c>
      <c r="F199" s="191">
        <f t="shared" ca="1" si="61"/>
        <v>6243.0321694016075</v>
      </c>
      <c r="G199" s="109" t="str">
        <f t="shared" si="62"/>
        <v>US$ mn 2021 NPV8</v>
      </c>
    </row>
    <row r="200" spans="1:50" s="109" customFormat="1" ht="15" customHeight="1" x14ac:dyDescent="0.25">
      <c r="A200" s="106"/>
      <c r="B200" s="168"/>
      <c r="E200" s="109" t="str">
        <f xml:space="preserve"> Translate!E$601 &amp; ": " &amp; E188</f>
        <v>Total: SOC net cash flow before tax, after carried interest, including share of lender cashflows</v>
      </c>
      <c r="F200" s="191">
        <f t="shared" ca="1" si="61"/>
        <v>1287.7447599378931</v>
      </c>
      <c r="G200" s="109" t="str">
        <f t="shared" si="62"/>
        <v>US$ mn 2021 NPV8</v>
      </c>
    </row>
    <row r="201" spans="1:50" s="109" customFormat="1" ht="15" customHeight="1" x14ac:dyDescent="0.25">
      <c r="A201" s="106"/>
      <c r="B201" s="168"/>
      <c r="E201" s="109" t="str">
        <f xml:space="preserve"> Translate!E$601 &amp; ": " &amp; E189</f>
        <v>Total: Government revenues including participation</v>
      </c>
      <c r="F201" s="191">
        <f t="shared" ca="1" si="61"/>
        <v>7530.7769293395004</v>
      </c>
      <c r="G201" s="109" t="str">
        <f t="shared" si="62"/>
        <v>US$ mn 2021 NPV8</v>
      </c>
    </row>
    <row r="202" spans="1:50" s="109" customFormat="1" ht="15" customHeight="1" x14ac:dyDescent="0.25">
      <c r="A202" s="106"/>
      <c r="B202" s="168"/>
      <c r="E202" s="109" t="str">
        <f xml:space="preserve"> Translate!E$601 &amp; ": " &amp; E190</f>
        <v>Total: Net cashflow after fiscal regime: IOC</v>
      </c>
      <c r="F202" s="191">
        <f t="shared" ca="1" si="61"/>
        <v>2826.9198732996342</v>
      </c>
      <c r="G202" s="109" t="str">
        <f t="shared" si="62"/>
        <v>US$ mn 2021 NPV8</v>
      </c>
    </row>
    <row r="203" spans="1:50" s="109" customFormat="1" ht="15" customHeight="1" x14ac:dyDescent="0.25">
      <c r="A203" s="106"/>
      <c r="B203" s="168"/>
      <c r="E203" s="109" t="str">
        <f xml:space="preserve"> Translate!E$601 &amp; ": " &amp; E191</f>
        <v>Total: Lender cashflows after interest withholding tax: IOC parent</v>
      </c>
      <c r="F203" s="191">
        <f t="shared" ca="1" si="61"/>
        <v>-466.14241440768484</v>
      </c>
      <c r="G203" s="109" t="str">
        <f t="shared" si="62"/>
        <v>US$ mn 2021 NPV8</v>
      </c>
    </row>
    <row r="204" spans="1:50" s="109" customFormat="1" ht="15" customHeight="1" x14ac:dyDescent="0.25">
      <c r="A204" s="106"/>
      <c r="B204" s="168"/>
      <c r="E204" s="109" t="str">
        <f xml:space="preserve"> Translate!E$601 &amp; ": " &amp; E192</f>
        <v>Total: Investors (IOC + Lender)</v>
      </c>
      <c r="F204" s="191">
        <f t="shared" ca="1" si="61"/>
        <v>2360.7774588919497</v>
      </c>
      <c r="G204" s="109" t="str">
        <f t="shared" si="62"/>
        <v>US$ mn 2021 NPV8</v>
      </c>
    </row>
    <row r="205" spans="1:50" s="109" customFormat="1" ht="15" customHeight="1" x14ac:dyDescent="0.25">
      <c r="A205" s="106"/>
      <c r="B205" s="168"/>
      <c r="E205" s="109" t="str">
        <f xml:space="preserve"> Translate!E$601 &amp; ": " &amp; E193</f>
        <v>Total: Project benefits</v>
      </c>
      <c r="F205" s="191">
        <f t="shared" ca="1" si="61"/>
        <v>15937.395740169173</v>
      </c>
      <c r="G205" s="109" t="str">
        <f t="shared" si="62"/>
        <v>US$ mn 2021 NPV8</v>
      </c>
    </row>
    <row r="206" spans="1:50" s="109" customFormat="1" ht="15" customHeight="1" x14ac:dyDescent="0.25">
      <c r="A206" s="106"/>
      <c r="B206" s="168"/>
    </row>
    <row r="207" spans="1:50" s="109" customFormat="1" ht="15" customHeight="1" x14ac:dyDescent="0.25">
      <c r="A207" s="106"/>
      <c r="B207" s="168"/>
      <c r="E207" s="109" t="str">
        <f xml:space="preserve"> Translate!E$755 &amp; Translate!E$601 &amp; " " &amp; B180</f>
        <v>Check: Total Project participants: full-cycle, real, NPV8</v>
      </c>
      <c r="F207" s="71">
        <f ca="1" xml:space="preserve"> IF( ABS(F197 + F198 - SUM(F201:F203)) &gt; CHK_TOL, 1, 0)</f>
        <v>0</v>
      </c>
      <c r="G207" s="109" t="str">
        <f xml:space="preserve"> Translate!E$604</f>
        <v>Check</v>
      </c>
    </row>
    <row r="208" spans="1:50" s="109" customFormat="1" ht="15" customHeight="1" x14ac:dyDescent="0.25">
      <c r="A208" s="106"/>
      <c r="B208" s="168"/>
    </row>
    <row r="209" spans="1:50" s="109" customFormat="1" ht="15" customHeight="1" x14ac:dyDescent="0.25">
      <c r="A209" s="106"/>
      <c r="B209" s="189" t="str">
        <f>Translate!$E$703  &amp; ": " &amp; Inputs!F$89 &amp; ", " &amp; Inputs!F$91 &amp; ", " &amp; Inputs!F$63</f>
        <v>Government share metrics: full-cycle, real, NPV8</v>
      </c>
    </row>
    <row r="210" spans="1:50" s="109" customFormat="1" ht="15" customHeight="1" x14ac:dyDescent="0.25">
      <c r="A210" s="106"/>
      <c r="B210" s="168"/>
      <c r="E210" s="109" t="str">
        <f>Translate!$E$707</f>
        <v>Average effective tax rate (excl. participation)</v>
      </c>
      <c r="F210" s="76">
        <f ca="1" xml:space="preserve"> F199 / F197</f>
        <v>0.62469180800069979</v>
      </c>
      <c r="G210" s="109" t="str">
        <f>"% " &amp; Inputs!F$89 &amp; ", " &amp; Inputs!F$91 &amp; " " &amp; F$183</f>
        <v>% full-cycle, real NPV8</v>
      </c>
    </row>
    <row r="211" spans="1:50" s="109" customFormat="1" ht="15" customHeight="1" x14ac:dyDescent="0.25">
      <c r="A211" s="106"/>
      <c r="B211" s="168"/>
      <c r="E211" s="191" t="str">
        <f>Translate!$E$708</f>
        <v>Average effective tax rate (incl. participation)</v>
      </c>
      <c r="F211" s="334">
        <f ca="1" xml:space="preserve"> F201 / F197</f>
        <v>0.75354643833109825</v>
      </c>
      <c r="G211" s="109" t="str">
        <f>"% " &amp; Inputs!F$89 &amp; ", " &amp; Inputs!F$91 &amp; " " &amp; F$183</f>
        <v>% full-cycle, real NPV8</v>
      </c>
    </row>
    <row r="212" spans="1:50" s="109" customFormat="1" ht="15" customHeight="1" x14ac:dyDescent="0.25">
      <c r="A212" s="106"/>
      <c r="B212" s="168"/>
      <c r="E212" s="109" t="str">
        <f>Translate!$E$119</f>
        <v>Government share of project benefits</v>
      </c>
      <c r="F212" s="334">
        <f ca="1" xml:space="preserve"> F201 / F205</f>
        <v>0.47252242788692667</v>
      </c>
      <c r="G212" s="109" t="str">
        <f>"% " &amp; Inputs!F$89 &amp; ", " &amp; Inputs!F$91 &amp; " " &amp; F$183</f>
        <v>% full-cycle, real NPV8</v>
      </c>
    </row>
    <row r="213" spans="1:50" s="109" customFormat="1" ht="15" customHeight="1" x14ac:dyDescent="0.25">
      <c r="A213" s="106"/>
      <c r="B213" s="168"/>
    </row>
    <row r="214" spans="1:50" s="109" customFormat="1" ht="15" customHeight="1" x14ac:dyDescent="0.25">
      <c r="A214" s="66" t="str">
        <f xml:space="preserve"> Translate!E$698 &amp; ": "  &amp; Inputs!F$90 &amp; ", " &amp; Inputs!F$91</f>
        <v>Analysis: FID forward, real</v>
      </c>
      <c r="B214" s="66"/>
      <c r="C214" s="66"/>
      <c r="D214" s="66"/>
      <c r="E214" s="66"/>
      <c r="F214" s="66"/>
      <c r="G214" s="66"/>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c r="AE214" s="66"/>
      <c r="AF214" s="66"/>
      <c r="AG214" s="66"/>
      <c r="AH214" s="66"/>
      <c r="AI214" s="66"/>
      <c r="AJ214" s="66"/>
      <c r="AK214" s="66"/>
      <c r="AL214" s="66"/>
      <c r="AM214" s="66"/>
      <c r="AN214" s="66"/>
      <c r="AO214" s="66"/>
      <c r="AP214" s="66"/>
      <c r="AQ214" s="66"/>
      <c r="AR214" s="66"/>
      <c r="AS214" s="66"/>
      <c r="AT214" s="66"/>
      <c r="AU214" s="66"/>
      <c r="AV214" s="66"/>
      <c r="AW214" s="66"/>
      <c r="AX214" s="66"/>
    </row>
    <row r="215" spans="1:50" s="109" customFormat="1" ht="15" customHeight="1" x14ac:dyDescent="0.25">
      <c r="A215" s="106"/>
      <c r="B215" s="168"/>
    </row>
    <row r="216" spans="1:50" s="109" customFormat="1" ht="15" customHeight="1" x14ac:dyDescent="0.25">
      <c r="A216" s="106"/>
      <c r="B216" s="282" t="str">
        <f>Translate!$E$701 &amp; ": " &amp; Inputs!F$90 &amp; ", " &amp; Inputs!F$91</f>
        <v>Project cashflows: FID forward, real</v>
      </c>
    </row>
    <row r="217" spans="1:50" s="290" customFormat="1" ht="15" customHeight="1" x14ac:dyDescent="0.25">
      <c r="B217" s="291"/>
      <c r="E217" s="211" t="str">
        <f xml:space="preserve"> E$130</f>
        <v>Cashflow before decommissioning fund</v>
      </c>
      <c r="F217" s="211">
        <f t="shared" ref="F217:AX217" si="63" xml:space="preserve"> F$130</f>
        <v>0</v>
      </c>
      <c r="G217" s="211" t="str">
        <f t="shared" si="63"/>
        <v>US$ mn 2021</v>
      </c>
      <c r="H217" s="211">
        <f t="shared" si="63"/>
        <v>0</v>
      </c>
      <c r="I217" s="211">
        <f t="shared" ca="1" si="63"/>
        <v>29282.023863224542</v>
      </c>
      <c r="J217" s="211">
        <f t="shared" si="63"/>
        <v>0</v>
      </c>
      <c r="K217" s="211">
        <f t="shared" ca="1" si="63"/>
        <v>-420</v>
      </c>
      <c r="L217" s="211">
        <f t="shared" ca="1" si="63"/>
        <v>-50</v>
      </c>
      <c r="M217" s="211">
        <f t="shared" ca="1" si="63"/>
        <v>-300</v>
      </c>
      <c r="N217" s="211">
        <f t="shared" ca="1" si="63"/>
        <v>-1200</v>
      </c>
      <c r="O217" s="211">
        <f t="shared" ca="1" si="63"/>
        <v>-1058.3416418356894</v>
      </c>
      <c r="P217" s="211">
        <f t="shared" ca="1" si="63"/>
        <v>-774.37500000000011</v>
      </c>
      <c r="Q217" s="211">
        <f t="shared" ca="1" si="63"/>
        <v>1651.2500000000002</v>
      </c>
      <c r="R217" s="211">
        <f t="shared" ca="1" si="63"/>
        <v>2301.25</v>
      </c>
      <c r="S217" s="211">
        <f t="shared" ca="1" si="63"/>
        <v>2501.25</v>
      </c>
      <c r="T217" s="211">
        <f t="shared" ca="1" si="63"/>
        <v>2501.2500000000005</v>
      </c>
      <c r="U217" s="211">
        <f t="shared" ca="1" si="63"/>
        <v>2501.2499999999995</v>
      </c>
      <c r="V217" s="211">
        <f t="shared" ca="1" si="63"/>
        <v>2501.25</v>
      </c>
      <c r="W217" s="211">
        <f t="shared" ca="1" si="63"/>
        <v>2501.25</v>
      </c>
      <c r="X217" s="211">
        <f t="shared" ca="1" si="63"/>
        <v>2501.25</v>
      </c>
      <c r="Y217" s="211">
        <f t="shared" ca="1" si="63"/>
        <v>2501.25</v>
      </c>
      <c r="Z217" s="211">
        <f t="shared" ca="1" si="63"/>
        <v>2501.25</v>
      </c>
      <c r="AA217" s="211">
        <f t="shared" ca="1" si="63"/>
        <v>1929.1125000000006</v>
      </c>
      <c r="AB217" s="211">
        <f t="shared" ca="1" si="63"/>
        <v>1715.6811250000007</v>
      </c>
      <c r="AC217" s="211">
        <f t="shared" ca="1" si="63"/>
        <v>1450.3017112500004</v>
      </c>
      <c r="AD217" s="211">
        <f t="shared" ca="1" si="63"/>
        <v>956.24438611250082</v>
      </c>
      <c r="AE217" s="211">
        <f t="shared" ca="1" si="63"/>
        <v>729.9579527511255</v>
      </c>
      <c r="AF217" s="211">
        <f t="shared" ca="1" si="63"/>
        <v>739.46594172841185</v>
      </c>
      <c r="AG217" s="211">
        <f t="shared" ca="1" si="63"/>
        <v>588.87741280001364</v>
      </c>
      <c r="AH217" s="211">
        <f t="shared" ca="1" si="63"/>
        <v>462.99070436801105</v>
      </c>
      <c r="AI217" s="211">
        <f t="shared" ca="1" si="63"/>
        <v>361.972470538089</v>
      </c>
      <c r="AJ217" s="211">
        <f t="shared" ca="1" si="63"/>
        <v>281.09770113585205</v>
      </c>
      <c r="AK217" s="211">
        <f t="shared" ca="1" si="63"/>
        <v>216.53913792004025</v>
      </c>
      <c r="AL217" s="211">
        <f t="shared" ca="1" si="63"/>
        <v>-84.803298284767507</v>
      </c>
      <c r="AM217" s="211">
        <f t="shared" ca="1" si="63"/>
        <v>124.55932838933838</v>
      </c>
      <c r="AN217" s="211">
        <f t="shared" ca="1" si="63"/>
        <v>87.593055995364097</v>
      </c>
      <c r="AO217" s="211">
        <f t="shared" ca="1" si="63"/>
        <v>62.650375356244943</v>
      </c>
      <c r="AP217" s="211">
        <f t="shared" ca="1" si="63"/>
        <v>-250</v>
      </c>
      <c r="AQ217" s="211">
        <f t="shared" ca="1" si="63"/>
        <v>-250</v>
      </c>
      <c r="AR217" s="211">
        <f t="shared" ca="1" si="63"/>
        <v>0</v>
      </c>
      <c r="AS217" s="211">
        <f t="shared" ca="1" si="63"/>
        <v>0</v>
      </c>
      <c r="AT217" s="211">
        <f t="shared" ca="1" si="63"/>
        <v>0</v>
      </c>
      <c r="AU217" s="211">
        <f t="shared" ca="1" si="63"/>
        <v>0</v>
      </c>
      <c r="AV217" s="211">
        <f t="shared" ca="1" si="63"/>
        <v>0</v>
      </c>
      <c r="AW217" s="211">
        <f t="shared" ca="1" si="63"/>
        <v>0</v>
      </c>
      <c r="AX217" s="211">
        <f t="shared" ca="1" si="63"/>
        <v>0</v>
      </c>
    </row>
    <row r="218" spans="1:50" s="290" customFormat="1" ht="15" customHeight="1" x14ac:dyDescent="0.25">
      <c r="B218" s="292"/>
      <c r="E218" s="211" t="str">
        <f xml:space="preserve"> E$131</f>
        <v>Net decommissioning cashflows</v>
      </c>
      <c r="F218" s="211">
        <f t="shared" ref="F218:AX218" si="64" xml:space="preserve"> F$131</f>
        <v>0</v>
      </c>
      <c r="G218" s="211" t="str">
        <f t="shared" si="64"/>
        <v>US$ mn 2021</v>
      </c>
      <c r="H218" s="211">
        <f t="shared" si="64"/>
        <v>0</v>
      </c>
      <c r="I218" s="211">
        <f t="shared" ca="1" si="64"/>
        <v>-15.100000000000165</v>
      </c>
      <c r="J218" s="211">
        <f t="shared" si="64"/>
        <v>0</v>
      </c>
      <c r="K218" s="211">
        <f t="shared" ca="1" si="64"/>
        <v>0</v>
      </c>
      <c r="L218" s="211">
        <f t="shared" ca="1" si="64"/>
        <v>0</v>
      </c>
      <c r="M218" s="211">
        <f t="shared" ca="1" si="64"/>
        <v>0</v>
      </c>
      <c r="N218" s="211">
        <f t="shared" ca="1" si="64"/>
        <v>0</v>
      </c>
      <c r="O218" s="211">
        <f t="shared" ca="1" si="64"/>
        <v>0</v>
      </c>
      <c r="P218" s="211">
        <f t="shared" ca="1" si="64"/>
        <v>0</v>
      </c>
      <c r="Q218" s="211">
        <f t="shared" ca="1" si="64"/>
        <v>0</v>
      </c>
      <c r="R218" s="211">
        <f t="shared" ca="1" si="64"/>
        <v>0</v>
      </c>
      <c r="S218" s="211">
        <f t="shared" ca="1" si="64"/>
        <v>0</v>
      </c>
      <c r="T218" s="211">
        <f t="shared" ca="1" si="64"/>
        <v>0</v>
      </c>
      <c r="U218" s="211">
        <f t="shared" ca="1" si="64"/>
        <v>0</v>
      </c>
      <c r="V218" s="211">
        <f t="shared" ca="1" si="64"/>
        <v>0</v>
      </c>
      <c r="W218" s="211">
        <f t="shared" ca="1" si="64"/>
        <v>-50.26129342108063</v>
      </c>
      <c r="X218" s="211">
        <f t="shared" ca="1" si="64"/>
        <v>-49.275777863804542</v>
      </c>
      <c r="Y218" s="211">
        <f t="shared" ca="1" si="64"/>
        <v>-48.309586140984841</v>
      </c>
      <c r="Z218" s="211">
        <f t="shared" ca="1" si="64"/>
        <v>-47.362339353906705</v>
      </c>
      <c r="AA218" s="211">
        <f t="shared" ca="1" si="64"/>
        <v>-46.43366603324187</v>
      </c>
      <c r="AB218" s="211">
        <f t="shared" ca="1" si="64"/>
        <v>-45.523201993374379</v>
      </c>
      <c r="AC218" s="211">
        <f t="shared" ca="1" si="64"/>
        <v>-44.630590189582719</v>
      </c>
      <c r="AD218" s="211">
        <f t="shared" ca="1" si="64"/>
        <v>-43.755480578022279</v>
      </c>
      <c r="AE218" s="211">
        <f t="shared" ca="1" si="64"/>
        <v>-42.897529978453207</v>
      </c>
      <c r="AF218" s="211">
        <f t="shared" ca="1" si="64"/>
        <v>-42.056401939660006</v>
      </c>
      <c r="AG218" s="211">
        <f t="shared" ca="1" si="64"/>
        <v>-41.231766607509812</v>
      </c>
      <c r="AH218" s="211">
        <f t="shared" ca="1" si="64"/>
        <v>-40.423300595597851</v>
      </c>
      <c r="AI218" s="211">
        <f t="shared" ca="1" si="64"/>
        <v>-39.630686858429264</v>
      </c>
      <c r="AJ218" s="211">
        <f t="shared" ca="1" si="64"/>
        <v>-38.853614567087519</v>
      </c>
      <c r="AK218" s="211">
        <f t="shared" ca="1" si="64"/>
        <v>-38.091778987340703</v>
      </c>
      <c r="AL218" s="211">
        <f t="shared" ca="1" si="64"/>
        <v>212.65511863986208</v>
      </c>
      <c r="AM218" s="211">
        <f t="shared" ca="1" si="64"/>
        <v>-23.463088130463284</v>
      </c>
      <c r="AN218" s="211">
        <f t="shared" ca="1" si="64"/>
        <v>-23.003027578885572</v>
      </c>
      <c r="AO218" s="211">
        <f t="shared" ca="1" si="64"/>
        <v>-22.551987822436832</v>
      </c>
      <c r="AP218" s="211">
        <f t="shared" ca="1" si="64"/>
        <v>250</v>
      </c>
      <c r="AQ218" s="211">
        <f t="shared" ca="1" si="64"/>
        <v>249.99999999999986</v>
      </c>
      <c r="AR218" s="211">
        <f t="shared" ca="1" si="64"/>
        <v>0</v>
      </c>
      <c r="AS218" s="211">
        <f t="shared" ca="1" si="64"/>
        <v>0</v>
      </c>
      <c r="AT218" s="211">
        <f t="shared" ca="1" si="64"/>
        <v>0</v>
      </c>
      <c r="AU218" s="211">
        <f t="shared" ca="1" si="64"/>
        <v>0</v>
      </c>
      <c r="AV218" s="211">
        <f t="shared" ca="1" si="64"/>
        <v>0</v>
      </c>
      <c r="AW218" s="211">
        <f t="shared" ca="1" si="64"/>
        <v>0</v>
      </c>
      <c r="AX218" s="211">
        <f t="shared" ca="1" si="64"/>
        <v>0</v>
      </c>
    </row>
    <row r="219" spans="1:50" s="290" customFormat="1" ht="15" customHeight="1" x14ac:dyDescent="0.25">
      <c r="B219" s="292"/>
      <c r="E219" s="211" t="str">
        <f xml:space="preserve"> E$132</f>
        <v>Government revenues excluding participation</v>
      </c>
      <c r="F219" s="211">
        <f t="shared" ref="F219:AX219" si="65" xml:space="preserve"> F$132</f>
        <v>0</v>
      </c>
      <c r="G219" s="211" t="str">
        <f t="shared" si="65"/>
        <v>US$ mn 2021</v>
      </c>
      <c r="H219" s="211">
        <f t="shared" si="65"/>
        <v>0</v>
      </c>
      <c r="I219" s="211">
        <f t="shared" ca="1" si="65"/>
        <v>16056.404234002974</v>
      </c>
      <c r="J219" s="211">
        <f t="shared" si="65"/>
        <v>0</v>
      </c>
      <c r="K219" s="211">
        <f t="shared" ca="1" si="65"/>
        <v>10</v>
      </c>
      <c r="L219" s="211">
        <f t="shared" ca="1" si="65"/>
        <v>0</v>
      </c>
      <c r="M219" s="211">
        <f t="shared" ca="1" si="65"/>
        <v>0</v>
      </c>
      <c r="N219" s="211">
        <f t="shared" ca="1" si="65"/>
        <v>0</v>
      </c>
      <c r="O219" s="211">
        <f t="shared" ca="1" si="65"/>
        <v>88.582606280643191</v>
      </c>
      <c r="P219" s="211">
        <f t="shared" ca="1" si="65"/>
        <v>368.70789472108811</v>
      </c>
      <c r="Q219" s="211">
        <f t="shared" ca="1" si="65"/>
        <v>726.67019904192694</v>
      </c>
      <c r="R219" s="211">
        <f t="shared" ca="1" si="65"/>
        <v>872.09786683953814</v>
      </c>
      <c r="S219" s="211">
        <f t="shared" ca="1" si="65"/>
        <v>960.31286559465684</v>
      </c>
      <c r="T219" s="211">
        <f t="shared" ca="1" si="65"/>
        <v>1083.8332597760282</v>
      </c>
      <c r="U219" s="211">
        <f t="shared" ca="1" si="65"/>
        <v>1175.0607476730338</v>
      </c>
      <c r="V219" s="211">
        <f t="shared" ca="1" si="65"/>
        <v>1218.7759160069227</v>
      </c>
      <c r="W219" s="211">
        <f t="shared" ca="1" si="65"/>
        <v>1215.2021859068711</v>
      </c>
      <c r="X219" s="211">
        <f t="shared" ca="1" si="65"/>
        <v>1219.1837005000195</v>
      </c>
      <c r="Y219" s="211">
        <f t="shared" ca="1" si="65"/>
        <v>1223.0167429455282</v>
      </c>
      <c r="Z219" s="211">
        <f t="shared" ca="1" si="65"/>
        <v>1226.7056049175478</v>
      </c>
      <c r="AA219" s="211">
        <f t="shared" ca="1" si="65"/>
        <v>980.54322115569312</v>
      </c>
      <c r="AB219" s="211">
        <f t="shared" ca="1" si="65"/>
        <v>792.07065292357083</v>
      </c>
      <c r="AC219" s="211">
        <f t="shared" ca="1" si="65"/>
        <v>662.01527910276297</v>
      </c>
      <c r="AD219" s="211">
        <f t="shared" ca="1" si="65"/>
        <v>506.55521064156488</v>
      </c>
      <c r="AE219" s="211">
        <f t="shared" ca="1" si="65"/>
        <v>397.99498049994634</v>
      </c>
      <c r="AF219" s="211">
        <f t="shared" ca="1" si="65"/>
        <v>333.54915202440236</v>
      </c>
      <c r="AG219" s="211">
        <f t="shared" ca="1" si="65"/>
        <v>238.57407851609642</v>
      </c>
      <c r="AH219" s="211">
        <f t="shared" ca="1" si="65"/>
        <v>183.60843695408701</v>
      </c>
      <c r="AI219" s="211">
        <f t="shared" ca="1" si="65"/>
        <v>149.6302986943962</v>
      </c>
      <c r="AJ219" s="211">
        <f t="shared" ca="1" si="65"/>
        <v>124.22923883542845</v>
      </c>
      <c r="AK219" s="211">
        <f t="shared" ca="1" si="65"/>
        <v>95.591493187539157</v>
      </c>
      <c r="AL219" s="211">
        <f t="shared" ca="1" si="65"/>
        <v>72.709308696397386</v>
      </c>
      <c r="AM219" s="211">
        <f t="shared" ca="1" si="65"/>
        <v>58.167808109061234</v>
      </c>
      <c r="AN219" s="211">
        <f t="shared" ca="1" si="65"/>
        <v>42.243213131999639</v>
      </c>
      <c r="AO219" s="211">
        <f t="shared" ca="1" si="65"/>
        <v>30.772271326220405</v>
      </c>
      <c r="AP219" s="211">
        <f t="shared" ca="1" si="65"/>
        <v>0</v>
      </c>
      <c r="AQ219" s="211">
        <f t="shared" ca="1" si="65"/>
        <v>0</v>
      </c>
      <c r="AR219" s="211">
        <f t="shared" ca="1" si="65"/>
        <v>0</v>
      </c>
      <c r="AS219" s="211">
        <f t="shared" ca="1" si="65"/>
        <v>0</v>
      </c>
      <c r="AT219" s="211">
        <f t="shared" ca="1" si="65"/>
        <v>0</v>
      </c>
      <c r="AU219" s="211">
        <f t="shared" ca="1" si="65"/>
        <v>0</v>
      </c>
      <c r="AV219" s="211">
        <f t="shared" ca="1" si="65"/>
        <v>0</v>
      </c>
      <c r="AW219" s="211">
        <f t="shared" ca="1" si="65"/>
        <v>0</v>
      </c>
      <c r="AX219" s="211">
        <f t="shared" ca="1" si="65"/>
        <v>0</v>
      </c>
    </row>
    <row r="220" spans="1:50" s="290" customFormat="1" ht="15" customHeight="1" x14ac:dyDescent="0.25">
      <c r="B220" s="292"/>
      <c r="E220" s="211" t="str">
        <f xml:space="preserve"> E$133</f>
        <v>SOC net cash flow before tax, after carried interest, including share of lender cashflows</v>
      </c>
      <c r="F220" s="211">
        <f t="shared" ref="F220:AX220" si="66" xml:space="preserve"> F$133</f>
        <v>0</v>
      </c>
      <c r="G220" s="211" t="str">
        <f t="shared" si="66"/>
        <v>US$ mn 2021</v>
      </c>
      <c r="H220" s="211">
        <f t="shared" si="66"/>
        <v>0</v>
      </c>
      <c r="I220" s="211">
        <f t="shared" ca="1" si="66"/>
        <v>3982.9846625612686</v>
      </c>
      <c r="J220" s="211">
        <f t="shared" si="66"/>
        <v>0</v>
      </c>
      <c r="K220" s="211">
        <f t="shared" ca="1" si="66"/>
        <v>0</v>
      </c>
      <c r="L220" s="211">
        <f t="shared" ca="1" si="66"/>
        <v>-7</v>
      </c>
      <c r="M220" s="211">
        <f t="shared" ca="1" si="66"/>
        <v>-42</v>
      </c>
      <c r="N220" s="211">
        <f t="shared" ca="1" si="66"/>
        <v>-168</v>
      </c>
      <c r="O220" s="211">
        <f t="shared" ca="1" si="66"/>
        <v>-168</v>
      </c>
      <c r="P220" s="211">
        <f t="shared" ca="1" si="66"/>
        <v>-294</v>
      </c>
      <c r="Q220" s="211">
        <f t="shared" ca="1" si="66"/>
        <v>107.35265407110511</v>
      </c>
      <c r="R220" s="211">
        <f t="shared" ca="1" si="66"/>
        <v>324.64477343830453</v>
      </c>
      <c r="S220" s="211">
        <f t="shared" ca="1" si="66"/>
        <v>365.28368248645455</v>
      </c>
      <c r="T220" s="211">
        <f t="shared" ca="1" si="66"/>
        <v>365.90336297007161</v>
      </c>
      <c r="U220" s="211">
        <f t="shared" ca="1" si="66"/>
        <v>366.50432331073785</v>
      </c>
      <c r="V220" s="211">
        <f t="shared" ca="1" si="66"/>
        <v>367.08705938469217</v>
      </c>
      <c r="W220" s="211">
        <f t="shared" ca="1" si="66"/>
        <v>357.59979613511689</v>
      </c>
      <c r="X220" s="211">
        <f t="shared" ca="1" si="66"/>
        <v>358.34462571015644</v>
      </c>
      <c r="Y220" s="211">
        <f t="shared" ca="1" si="66"/>
        <v>359.06878153941</v>
      </c>
      <c r="Z220" s="211">
        <f t="shared" ca="1" si="66"/>
        <v>359.7727879952327</v>
      </c>
      <c r="AA220" s="211">
        <f t="shared" ca="1" si="66"/>
        <v>270.82581772687712</v>
      </c>
      <c r="AB220" s="211">
        <f t="shared" ca="1" si="66"/>
        <v>248.53589475441893</v>
      </c>
      <c r="AC220" s="211">
        <f t="shared" ca="1" si="66"/>
        <v>211.98544956012856</v>
      </c>
      <c r="AD220" s="211">
        <f t="shared" ca="1" si="66"/>
        <v>126.56885661966672</v>
      </c>
      <c r="AE220" s="211">
        <f t="shared" ca="1" si="66"/>
        <v>92.174442204675259</v>
      </c>
      <c r="AF220" s="211">
        <f t="shared" ca="1" si="66"/>
        <v>102.89086574523206</v>
      </c>
      <c r="AG220" s="211">
        <f t="shared" ca="1" si="66"/>
        <v>79.931240883226394</v>
      </c>
      <c r="AH220" s="211">
        <f t="shared" ca="1" si="66"/>
        <v>60.57163552775063</v>
      </c>
      <c r="AI220" s="211">
        <f t="shared" ca="1" si="66"/>
        <v>45.101226726046271</v>
      </c>
      <c r="AJ220" s="211">
        <f t="shared" ca="1" si="66"/>
        <v>32.781902148148902</v>
      </c>
      <c r="AK220" s="211">
        <f t="shared" ca="1" si="66"/>
        <v>23.015518262544532</v>
      </c>
      <c r="AL220" s="211">
        <f t="shared" ca="1" si="66"/>
        <v>15.317364349638096</v>
      </c>
      <c r="AM220" s="211">
        <f t="shared" ca="1" si="66"/>
        <v>11.924564486059397</v>
      </c>
      <c r="AN220" s="211">
        <f t="shared" ca="1" si="66"/>
        <v>6.2074486901330133</v>
      </c>
      <c r="AO220" s="211">
        <f t="shared" ca="1" si="66"/>
        <v>2.5905878354412502</v>
      </c>
      <c r="AP220" s="211">
        <f t="shared" ca="1" si="66"/>
        <v>0</v>
      </c>
      <c r="AQ220" s="211">
        <f t="shared" ca="1" si="66"/>
        <v>0</v>
      </c>
      <c r="AR220" s="211">
        <f t="shared" ca="1" si="66"/>
        <v>0</v>
      </c>
      <c r="AS220" s="211">
        <f t="shared" ca="1" si="66"/>
        <v>0</v>
      </c>
      <c r="AT220" s="211">
        <f t="shared" ca="1" si="66"/>
        <v>0</v>
      </c>
      <c r="AU220" s="211">
        <f t="shared" ca="1" si="66"/>
        <v>0</v>
      </c>
      <c r="AV220" s="211">
        <f t="shared" ca="1" si="66"/>
        <v>0</v>
      </c>
      <c r="AW220" s="211">
        <f t="shared" ca="1" si="66"/>
        <v>0</v>
      </c>
      <c r="AX220" s="211">
        <f t="shared" ca="1" si="66"/>
        <v>0</v>
      </c>
    </row>
    <row r="221" spans="1:50" s="211" customFormat="1" ht="15" customHeight="1" x14ac:dyDescent="0.25">
      <c r="B221" s="296"/>
      <c r="E221" s="211" t="str">
        <f xml:space="preserve"> E$134</f>
        <v>Government revenues including participation</v>
      </c>
      <c r="F221" s="211">
        <f t="shared" ref="F221:AX221" si="67" xml:space="preserve"> F$134</f>
        <v>0</v>
      </c>
      <c r="G221" s="211" t="str">
        <f t="shared" si="67"/>
        <v>US$ mn 2021</v>
      </c>
      <c r="H221" s="211">
        <f t="shared" si="67"/>
        <v>0</v>
      </c>
      <c r="I221" s="211">
        <f t="shared" ca="1" si="67"/>
        <v>20039.388896564244</v>
      </c>
      <c r="J221" s="211">
        <f t="shared" si="67"/>
        <v>0</v>
      </c>
      <c r="K221" s="211">
        <f t="shared" ca="1" si="67"/>
        <v>10</v>
      </c>
      <c r="L221" s="211">
        <f t="shared" ca="1" si="67"/>
        <v>-7</v>
      </c>
      <c r="M221" s="211">
        <f t="shared" ca="1" si="67"/>
        <v>-42</v>
      </c>
      <c r="N221" s="211">
        <f t="shared" ca="1" si="67"/>
        <v>-168</v>
      </c>
      <c r="O221" s="211">
        <f t="shared" ca="1" si="67"/>
        <v>-79.417393719356795</v>
      </c>
      <c r="P221" s="211">
        <f t="shared" ca="1" si="67"/>
        <v>74.707894721088095</v>
      </c>
      <c r="Q221" s="211">
        <f t="shared" ca="1" si="67"/>
        <v>834.02285311303206</v>
      </c>
      <c r="R221" s="211">
        <f t="shared" ca="1" si="67"/>
        <v>1196.7426402778426</v>
      </c>
      <c r="S221" s="211">
        <f t="shared" ca="1" si="67"/>
        <v>1325.5965480811115</v>
      </c>
      <c r="T221" s="211">
        <f t="shared" ca="1" si="67"/>
        <v>1449.7366227460996</v>
      </c>
      <c r="U221" s="211">
        <f t="shared" ca="1" si="67"/>
        <v>1541.5650709837716</v>
      </c>
      <c r="V221" s="211">
        <f t="shared" ca="1" si="67"/>
        <v>1585.862975391615</v>
      </c>
      <c r="W221" s="211">
        <f t="shared" ca="1" si="67"/>
        <v>1572.8019820419879</v>
      </c>
      <c r="X221" s="211">
        <f t="shared" ca="1" si="67"/>
        <v>1577.5283262101759</v>
      </c>
      <c r="Y221" s="211">
        <f t="shared" ca="1" si="67"/>
        <v>1582.0855244849383</v>
      </c>
      <c r="Z221" s="211">
        <f t="shared" ca="1" si="67"/>
        <v>1586.4783929127805</v>
      </c>
      <c r="AA221" s="211">
        <f t="shared" ca="1" si="67"/>
        <v>1251.3690388825703</v>
      </c>
      <c r="AB221" s="211">
        <f t="shared" ca="1" si="67"/>
        <v>1040.6065476779897</v>
      </c>
      <c r="AC221" s="211">
        <f t="shared" ca="1" si="67"/>
        <v>874.00072866289156</v>
      </c>
      <c r="AD221" s="211">
        <f t="shared" ca="1" si="67"/>
        <v>633.12406726123163</v>
      </c>
      <c r="AE221" s="211">
        <f t="shared" ca="1" si="67"/>
        <v>490.16942270462164</v>
      </c>
      <c r="AF221" s="211">
        <f t="shared" ca="1" si="67"/>
        <v>436.44001776963444</v>
      </c>
      <c r="AG221" s="211">
        <f t="shared" ca="1" si="67"/>
        <v>318.50531939932284</v>
      </c>
      <c r="AH221" s="211">
        <f t="shared" ca="1" si="67"/>
        <v>244.18007248183764</v>
      </c>
      <c r="AI221" s="211">
        <f t="shared" ca="1" si="67"/>
        <v>194.73152542044249</v>
      </c>
      <c r="AJ221" s="211">
        <f t="shared" ca="1" si="67"/>
        <v>157.01114098357735</v>
      </c>
      <c r="AK221" s="211">
        <f t="shared" ca="1" si="67"/>
        <v>118.60701145008369</v>
      </c>
      <c r="AL221" s="211">
        <f t="shared" ca="1" si="67"/>
        <v>88.026673046035498</v>
      </c>
      <c r="AM221" s="211">
        <f t="shared" ca="1" si="67"/>
        <v>70.092372595120622</v>
      </c>
      <c r="AN221" s="211">
        <f t="shared" ca="1" si="67"/>
        <v>48.450661822132652</v>
      </c>
      <c r="AO221" s="211">
        <f t="shared" ca="1" si="67"/>
        <v>33.362859161661653</v>
      </c>
      <c r="AP221" s="211">
        <f t="shared" ca="1" si="67"/>
        <v>0</v>
      </c>
      <c r="AQ221" s="211">
        <f t="shared" ca="1" si="67"/>
        <v>0</v>
      </c>
      <c r="AR221" s="211">
        <f t="shared" ca="1" si="67"/>
        <v>0</v>
      </c>
      <c r="AS221" s="211">
        <f t="shared" ca="1" si="67"/>
        <v>0</v>
      </c>
      <c r="AT221" s="211">
        <f t="shared" ca="1" si="67"/>
        <v>0</v>
      </c>
      <c r="AU221" s="211">
        <f t="shared" ca="1" si="67"/>
        <v>0</v>
      </c>
      <c r="AV221" s="211">
        <f t="shared" ca="1" si="67"/>
        <v>0</v>
      </c>
      <c r="AW221" s="211">
        <f t="shared" ca="1" si="67"/>
        <v>0</v>
      </c>
      <c r="AX221" s="211">
        <f t="shared" ca="1" si="67"/>
        <v>0</v>
      </c>
    </row>
    <row r="222" spans="1:50" s="290" customFormat="1" ht="15" customHeight="1" x14ac:dyDescent="0.25">
      <c r="B222" s="292"/>
      <c r="E222" s="211" t="str">
        <f xml:space="preserve"> E$135</f>
        <v>Net cashflow after fiscal regime: IOC</v>
      </c>
      <c r="F222" s="211">
        <f t="shared" ref="F222:AX222" si="68" xml:space="preserve"> F$135</f>
        <v>0</v>
      </c>
      <c r="G222" s="211" t="str">
        <f t="shared" si="68"/>
        <v>US$ mn 2021</v>
      </c>
      <c r="H222" s="211">
        <f t="shared" si="68"/>
        <v>0</v>
      </c>
      <c r="I222" s="211">
        <f t="shared" ca="1" si="68"/>
        <v>8704.1330285901367</v>
      </c>
      <c r="J222" s="211">
        <f t="shared" si="68"/>
        <v>0</v>
      </c>
      <c r="K222" s="211">
        <f t="shared" ca="1" si="68"/>
        <v>-430</v>
      </c>
      <c r="L222" s="211">
        <f t="shared" ca="1" si="68"/>
        <v>-15</v>
      </c>
      <c r="M222" s="211">
        <f t="shared" ca="1" si="68"/>
        <v>-90.000000000000028</v>
      </c>
      <c r="N222" s="211">
        <f t="shared" ca="1" si="68"/>
        <v>-359.99999999999994</v>
      </c>
      <c r="O222" s="211">
        <f t="shared" ca="1" si="68"/>
        <v>-306.92424811633282</v>
      </c>
      <c r="P222" s="211">
        <f t="shared" ca="1" si="68"/>
        <v>326.91710527891212</v>
      </c>
      <c r="Q222" s="211">
        <f t="shared" ca="1" si="68"/>
        <v>408.15694636287162</v>
      </c>
      <c r="R222" s="211">
        <f t="shared" ca="1" si="68"/>
        <v>716.00712064570746</v>
      </c>
      <c r="S222" s="211">
        <f t="shared" ca="1" si="68"/>
        <v>807.07378333770725</v>
      </c>
      <c r="T222" s="211">
        <f t="shared" ca="1" si="68"/>
        <v>702.22244604555624</v>
      </c>
      <c r="U222" s="211">
        <f t="shared" ca="1" si="68"/>
        <v>629.06802101561345</v>
      </c>
      <c r="V222" s="211">
        <f t="shared" ca="1" si="68"/>
        <v>602.84611619536145</v>
      </c>
      <c r="W222" s="211">
        <f t="shared" ca="1" si="68"/>
        <v>583.14006444278107</v>
      </c>
      <c r="X222" s="211">
        <f t="shared" ca="1" si="68"/>
        <v>596.32759702267185</v>
      </c>
      <c r="Y222" s="211">
        <f t="shared" ca="1" si="68"/>
        <v>609.11453021540819</v>
      </c>
      <c r="Z222" s="211">
        <f t="shared" ca="1" si="68"/>
        <v>621.51150362303179</v>
      </c>
      <c r="AA222" s="211">
        <f t="shared" ca="1" si="68"/>
        <v>631.30979508418841</v>
      </c>
      <c r="AB222" s="211">
        <f t="shared" ca="1" si="68"/>
        <v>629.55137532863637</v>
      </c>
      <c r="AC222" s="211">
        <f t="shared" ca="1" si="68"/>
        <v>531.67039239752637</v>
      </c>
      <c r="AD222" s="211">
        <f t="shared" ca="1" si="68"/>
        <v>279.36483827324702</v>
      </c>
      <c r="AE222" s="211">
        <f t="shared" ca="1" si="68"/>
        <v>196.89100006805074</v>
      </c>
      <c r="AF222" s="211">
        <f t="shared" ca="1" si="68"/>
        <v>260.96952201911745</v>
      </c>
      <c r="AG222" s="211">
        <f t="shared" ca="1" si="68"/>
        <v>229.14032679318095</v>
      </c>
      <c r="AH222" s="211">
        <f t="shared" ca="1" si="68"/>
        <v>178.38733129057556</v>
      </c>
      <c r="AI222" s="211">
        <f t="shared" ca="1" si="68"/>
        <v>127.61025825921733</v>
      </c>
      <c r="AJ222" s="211">
        <f t="shared" ca="1" si="68"/>
        <v>85.23294558518721</v>
      </c>
      <c r="AK222" s="211">
        <f t="shared" ca="1" si="68"/>
        <v>59.840347482615819</v>
      </c>
      <c r="AL222" s="211">
        <f t="shared" ca="1" si="68"/>
        <v>39.825147309059105</v>
      </c>
      <c r="AM222" s="211">
        <f t="shared" ca="1" si="68"/>
        <v>31.00386766375447</v>
      </c>
      <c r="AN222" s="211">
        <f t="shared" ca="1" si="68"/>
        <v>16.13936659434588</v>
      </c>
      <c r="AO222" s="211">
        <f t="shared" ca="1" si="68"/>
        <v>6.735528372146443</v>
      </c>
      <c r="AP222" s="211">
        <f t="shared" ca="1" si="68"/>
        <v>0</v>
      </c>
      <c r="AQ222" s="211">
        <f t="shared" ca="1" si="68"/>
        <v>0</v>
      </c>
      <c r="AR222" s="211">
        <f t="shared" ca="1" si="68"/>
        <v>0</v>
      </c>
      <c r="AS222" s="211">
        <f t="shared" ca="1" si="68"/>
        <v>0</v>
      </c>
      <c r="AT222" s="211">
        <f t="shared" ca="1" si="68"/>
        <v>0</v>
      </c>
      <c r="AU222" s="211">
        <f t="shared" ca="1" si="68"/>
        <v>0</v>
      </c>
      <c r="AV222" s="211">
        <f t="shared" ca="1" si="68"/>
        <v>0</v>
      </c>
      <c r="AW222" s="211">
        <f t="shared" ca="1" si="68"/>
        <v>0</v>
      </c>
      <c r="AX222" s="211">
        <f t="shared" ca="1" si="68"/>
        <v>0</v>
      </c>
    </row>
    <row r="223" spans="1:50" s="290" customFormat="1" ht="15" customHeight="1" x14ac:dyDescent="0.25">
      <c r="B223" s="292"/>
      <c r="E223" s="211" t="str">
        <f xml:space="preserve"> E$136</f>
        <v>Lender cashflows after interest withholding tax: IOC parent</v>
      </c>
      <c r="F223" s="211">
        <f t="shared" ref="F223:AX223" si="69" xml:space="preserve"> F$136</f>
        <v>0</v>
      </c>
      <c r="G223" s="211" t="str">
        <f t="shared" si="69"/>
        <v>US$ mn 2021</v>
      </c>
      <c r="H223" s="211">
        <f t="shared" si="69"/>
        <v>0</v>
      </c>
      <c r="I223" s="211">
        <f t="shared" ca="1" si="69"/>
        <v>523.4019380701593</v>
      </c>
      <c r="J223" s="211">
        <f t="shared" si="69"/>
        <v>0</v>
      </c>
      <c r="K223" s="211">
        <f t="shared" ca="1" si="69"/>
        <v>0</v>
      </c>
      <c r="L223" s="211">
        <f t="shared" ca="1" si="69"/>
        <v>-27.999999999999996</v>
      </c>
      <c r="M223" s="211">
        <f t="shared" ca="1" si="69"/>
        <v>-168</v>
      </c>
      <c r="N223" s="211">
        <f t="shared" ca="1" si="69"/>
        <v>-672</v>
      </c>
      <c r="O223" s="211">
        <f t="shared" ca="1" si="69"/>
        <v>-672</v>
      </c>
      <c r="P223" s="211">
        <f t="shared" ca="1" si="69"/>
        <v>-1175.9999999999998</v>
      </c>
      <c r="Q223" s="211">
        <f t="shared" ca="1" si="69"/>
        <v>409.07020052409655</v>
      </c>
      <c r="R223" s="211">
        <f t="shared" ca="1" si="69"/>
        <v>388.50023907644999</v>
      </c>
      <c r="S223" s="211">
        <f t="shared" ca="1" si="69"/>
        <v>368.57966858118181</v>
      </c>
      <c r="T223" s="211">
        <f t="shared" ca="1" si="69"/>
        <v>349.29093120834369</v>
      </c>
      <c r="U223" s="211">
        <f t="shared" ca="1" si="69"/>
        <v>330.61690800061461</v>
      </c>
      <c r="V223" s="211">
        <f t="shared" ca="1" si="69"/>
        <v>312.540908413024</v>
      </c>
      <c r="W223" s="211">
        <f t="shared" ca="1" si="69"/>
        <v>295.04666009415058</v>
      </c>
      <c r="X223" s="211">
        <f t="shared" ca="1" si="69"/>
        <v>278.11829890334792</v>
      </c>
      <c r="Y223" s="211">
        <f t="shared" ca="1" si="69"/>
        <v>261.74035915866898</v>
      </c>
      <c r="Z223" s="211">
        <f t="shared" ca="1" si="69"/>
        <v>245.8977641102814</v>
      </c>
      <c r="AA223" s="211">
        <f t="shared" ca="1" si="69"/>
        <v>0</v>
      </c>
      <c r="AB223" s="211">
        <f t="shared" ca="1" si="69"/>
        <v>0</v>
      </c>
      <c r="AC223" s="211">
        <f t="shared" ca="1" si="69"/>
        <v>0</v>
      </c>
      <c r="AD223" s="211">
        <f t="shared" ca="1" si="69"/>
        <v>0</v>
      </c>
      <c r="AE223" s="211">
        <f t="shared" ca="1" si="69"/>
        <v>0</v>
      </c>
      <c r="AF223" s="211">
        <f t="shared" ca="1" si="69"/>
        <v>0</v>
      </c>
      <c r="AG223" s="211">
        <f t="shared" ca="1" si="69"/>
        <v>0</v>
      </c>
      <c r="AH223" s="211">
        <f t="shared" ca="1" si="69"/>
        <v>0</v>
      </c>
      <c r="AI223" s="211">
        <f t="shared" ca="1" si="69"/>
        <v>0</v>
      </c>
      <c r="AJ223" s="211">
        <f t="shared" ca="1" si="69"/>
        <v>0</v>
      </c>
      <c r="AK223" s="211">
        <f t="shared" ca="1" si="69"/>
        <v>0</v>
      </c>
      <c r="AL223" s="211">
        <f t="shared" ca="1" si="69"/>
        <v>0</v>
      </c>
      <c r="AM223" s="211">
        <f t="shared" ca="1" si="69"/>
        <v>0</v>
      </c>
      <c r="AN223" s="211">
        <f t="shared" ca="1" si="69"/>
        <v>0</v>
      </c>
      <c r="AO223" s="211">
        <f t="shared" ca="1" si="69"/>
        <v>0</v>
      </c>
      <c r="AP223" s="211">
        <f t="shared" ca="1" si="69"/>
        <v>0</v>
      </c>
      <c r="AQ223" s="211">
        <f t="shared" ca="1" si="69"/>
        <v>0</v>
      </c>
      <c r="AR223" s="211">
        <f t="shared" ca="1" si="69"/>
        <v>0</v>
      </c>
      <c r="AS223" s="211">
        <f t="shared" ca="1" si="69"/>
        <v>0</v>
      </c>
      <c r="AT223" s="211">
        <f t="shared" ca="1" si="69"/>
        <v>0</v>
      </c>
      <c r="AU223" s="211">
        <f t="shared" ca="1" si="69"/>
        <v>0</v>
      </c>
      <c r="AV223" s="211">
        <f t="shared" ca="1" si="69"/>
        <v>0</v>
      </c>
      <c r="AW223" s="211">
        <f t="shared" ca="1" si="69"/>
        <v>0</v>
      </c>
      <c r="AX223" s="211">
        <f t="shared" ca="1" si="69"/>
        <v>0</v>
      </c>
    </row>
    <row r="224" spans="1:50" s="109" customFormat="1" ht="15" customHeight="1" x14ac:dyDescent="0.25">
      <c r="A224" s="106"/>
      <c r="B224" s="168"/>
      <c r="E224" s="211" t="str">
        <f xml:space="preserve"> E$137</f>
        <v>Investors (IOC + Lender)</v>
      </c>
      <c r="F224" s="211">
        <f t="shared" ref="F224:AX224" si="70" xml:space="preserve"> F$137</f>
        <v>0</v>
      </c>
      <c r="G224" s="211" t="str">
        <f t="shared" si="70"/>
        <v>US$ mn 2021</v>
      </c>
      <c r="H224" s="211">
        <f t="shared" si="70"/>
        <v>0</v>
      </c>
      <c r="I224" s="211">
        <f t="shared" ca="1" si="70"/>
        <v>9227.534966660296</v>
      </c>
      <c r="J224" s="211">
        <f t="shared" si="70"/>
        <v>0</v>
      </c>
      <c r="K224" s="211">
        <f t="shared" ca="1" si="70"/>
        <v>-430</v>
      </c>
      <c r="L224" s="211">
        <f t="shared" ca="1" si="70"/>
        <v>-43</v>
      </c>
      <c r="M224" s="211">
        <f t="shared" ca="1" si="70"/>
        <v>-258</v>
      </c>
      <c r="N224" s="211">
        <f t="shared" ca="1" si="70"/>
        <v>-1032</v>
      </c>
      <c r="O224" s="211">
        <f t="shared" ca="1" si="70"/>
        <v>-978.92424811633282</v>
      </c>
      <c r="P224" s="211">
        <f t="shared" ca="1" si="70"/>
        <v>-849.08289472108777</v>
      </c>
      <c r="Q224" s="211">
        <f t="shared" ca="1" si="70"/>
        <v>817.22714688696817</v>
      </c>
      <c r="R224" s="211">
        <f t="shared" ca="1" si="70"/>
        <v>1104.5073597221574</v>
      </c>
      <c r="S224" s="211">
        <f t="shared" ca="1" si="70"/>
        <v>1175.653451918889</v>
      </c>
      <c r="T224" s="211">
        <f t="shared" ca="1" si="70"/>
        <v>1051.5133772538998</v>
      </c>
      <c r="U224" s="211">
        <f t="shared" ca="1" si="70"/>
        <v>959.68492901622801</v>
      </c>
      <c r="V224" s="211">
        <f t="shared" ca="1" si="70"/>
        <v>915.38702460838545</v>
      </c>
      <c r="W224" s="211">
        <f t="shared" ca="1" si="70"/>
        <v>878.18672453693159</v>
      </c>
      <c r="X224" s="211">
        <f t="shared" ca="1" si="70"/>
        <v>874.44589592601972</v>
      </c>
      <c r="Y224" s="211">
        <f t="shared" ca="1" si="70"/>
        <v>870.85488937407717</v>
      </c>
      <c r="Z224" s="211">
        <f t="shared" ca="1" si="70"/>
        <v>867.40926773331307</v>
      </c>
      <c r="AA224" s="211">
        <f t="shared" ca="1" si="70"/>
        <v>631.30979508418841</v>
      </c>
      <c r="AB224" s="211">
        <f t="shared" ca="1" si="70"/>
        <v>629.55137532863637</v>
      </c>
      <c r="AC224" s="211">
        <f t="shared" ca="1" si="70"/>
        <v>531.67039239752637</v>
      </c>
      <c r="AD224" s="211">
        <f t="shared" ca="1" si="70"/>
        <v>279.36483827324702</v>
      </c>
      <c r="AE224" s="211">
        <f t="shared" ca="1" si="70"/>
        <v>196.89100006805074</v>
      </c>
      <c r="AF224" s="211">
        <f t="shared" ca="1" si="70"/>
        <v>260.96952201911745</v>
      </c>
      <c r="AG224" s="211">
        <f t="shared" ca="1" si="70"/>
        <v>229.14032679318095</v>
      </c>
      <c r="AH224" s="211">
        <f t="shared" ca="1" si="70"/>
        <v>178.38733129057556</v>
      </c>
      <c r="AI224" s="211">
        <f t="shared" ca="1" si="70"/>
        <v>127.61025825921733</v>
      </c>
      <c r="AJ224" s="211">
        <f t="shared" ca="1" si="70"/>
        <v>85.23294558518721</v>
      </c>
      <c r="AK224" s="211">
        <f t="shared" ca="1" si="70"/>
        <v>59.840347482615819</v>
      </c>
      <c r="AL224" s="211">
        <f t="shared" ca="1" si="70"/>
        <v>39.825147309059105</v>
      </c>
      <c r="AM224" s="211">
        <f t="shared" ca="1" si="70"/>
        <v>31.00386766375447</v>
      </c>
      <c r="AN224" s="211">
        <f t="shared" ca="1" si="70"/>
        <v>16.13936659434588</v>
      </c>
      <c r="AO224" s="211">
        <f t="shared" ca="1" si="70"/>
        <v>6.735528372146443</v>
      </c>
      <c r="AP224" s="211">
        <f t="shared" ca="1" si="70"/>
        <v>0</v>
      </c>
      <c r="AQ224" s="211">
        <f t="shared" ca="1" si="70"/>
        <v>0</v>
      </c>
      <c r="AR224" s="211">
        <f t="shared" ca="1" si="70"/>
        <v>0</v>
      </c>
      <c r="AS224" s="211">
        <f t="shared" ca="1" si="70"/>
        <v>0</v>
      </c>
      <c r="AT224" s="211">
        <f t="shared" ca="1" si="70"/>
        <v>0</v>
      </c>
      <c r="AU224" s="211">
        <f t="shared" ca="1" si="70"/>
        <v>0</v>
      </c>
      <c r="AV224" s="211">
        <f t="shared" ca="1" si="70"/>
        <v>0</v>
      </c>
      <c r="AW224" s="211">
        <f t="shared" ca="1" si="70"/>
        <v>0</v>
      </c>
      <c r="AX224" s="211">
        <f t="shared" ca="1" si="70"/>
        <v>0</v>
      </c>
    </row>
    <row r="225" spans="1:50" s="290" customFormat="1" ht="14.15" customHeight="1" x14ac:dyDescent="0.25">
      <c r="B225" s="292"/>
      <c r="E225" s="211" t="str">
        <f xml:space="preserve"> E$138</f>
        <v>Project benefits</v>
      </c>
      <c r="F225" s="211">
        <f t="shared" ref="F225:AX225" si="71" xml:space="preserve"> F$138</f>
        <v>0</v>
      </c>
      <c r="G225" s="211" t="str">
        <f t="shared" si="71"/>
        <v>US$ mn 2021</v>
      </c>
      <c r="H225" s="211">
        <f t="shared" si="71"/>
        <v>0</v>
      </c>
      <c r="I225" s="211">
        <f t="shared" ca="1" si="71"/>
        <v>38752.023863224538</v>
      </c>
      <c r="J225" s="211">
        <f t="shared" si="71"/>
        <v>0</v>
      </c>
      <c r="K225" s="211">
        <f t="shared" ca="1" si="71"/>
        <v>0</v>
      </c>
      <c r="L225" s="211">
        <f t="shared" ca="1" si="71"/>
        <v>0</v>
      </c>
      <c r="M225" s="211">
        <f t="shared" ca="1" si="71"/>
        <v>0</v>
      </c>
      <c r="N225" s="211">
        <f t="shared" ca="1" si="71"/>
        <v>0</v>
      </c>
      <c r="O225" s="211">
        <f t="shared" ca="1" si="71"/>
        <v>141.65835816431044</v>
      </c>
      <c r="P225" s="211">
        <f t="shared" ca="1" si="71"/>
        <v>1325.625</v>
      </c>
      <c r="Q225" s="211">
        <f t="shared" ca="1" si="71"/>
        <v>2751.25</v>
      </c>
      <c r="R225" s="211">
        <f t="shared" ca="1" si="71"/>
        <v>2751.25</v>
      </c>
      <c r="S225" s="211">
        <f t="shared" ca="1" si="71"/>
        <v>2751.25</v>
      </c>
      <c r="T225" s="211">
        <f t="shared" ca="1" si="71"/>
        <v>2751.25</v>
      </c>
      <c r="U225" s="211">
        <f t="shared" ca="1" si="71"/>
        <v>2751.25</v>
      </c>
      <c r="V225" s="211">
        <f t="shared" ca="1" si="71"/>
        <v>2751.2499999999995</v>
      </c>
      <c r="W225" s="211">
        <f t="shared" ca="1" si="71"/>
        <v>2751.2500000000005</v>
      </c>
      <c r="X225" s="211">
        <f t="shared" ca="1" si="71"/>
        <v>2751.25</v>
      </c>
      <c r="Y225" s="211">
        <f t="shared" ca="1" si="71"/>
        <v>2751.25</v>
      </c>
      <c r="Z225" s="211">
        <f t="shared" ca="1" si="71"/>
        <v>2751.25</v>
      </c>
      <c r="AA225" s="211">
        <f t="shared" ca="1" si="71"/>
        <v>2179.1125000000006</v>
      </c>
      <c r="AB225" s="211">
        <f t="shared" ca="1" si="71"/>
        <v>1715.6811250000007</v>
      </c>
      <c r="AC225" s="211">
        <f t="shared" ca="1" si="71"/>
        <v>1450.3017112500004</v>
      </c>
      <c r="AD225" s="211">
        <f t="shared" ca="1" si="71"/>
        <v>1156.2443861125007</v>
      </c>
      <c r="AE225" s="211">
        <f t="shared" ca="1" si="71"/>
        <v>929.9579527511255</v>
      </c>
      <c r="AF225" s="211">
        <f t="shared" ca="1" si="71"/>
        <v>739.46594172841185</v>
      </c>
      <c r="AG225" s="211">
        <f t="shared" ca="1" si="71"/>
        <v>588.87741280001364</v>
      </c>
      <c r="AH225" s="211">
        <f t="shared" ca="1" si="71"/>
        <v>462.99070436801105</v>
      </c>
      <c r="AI225" s="211">
        <f t="shared" ca="1" si="71"/>
        <v>361.972470538089</v>
      </c>
      <c r="AJ225" s="211">
        <f t="shared" ca="1" si="71"/>
        <v>281.09770113585205</v>
      </c>
      <c r="AK225" s="211">
        <f t="shared" ca="1" si="71"/>
        <v>216.53913792004025</v>
      </c>
      <c r="AL225" s="211">
        <f t="shared" ca="1" si="71"/>
        <v>-84.803298284767479</v>
      </c>
      <c r="AM225" s="211">
        <f t="shared" ca="1" si="71"/>
        <v>124.55932838933838</v>
      </c>
      <c r="AN225" s="211">
        <f t="shared" ca="1" si="71"/>
        <v>87.593055995364097</v>
      </c>
      <c r="AO225" s="211">
        <f t="shared" ca="1" si="71"/>
        <v>62.650375356244943</v>
      </c>
      <c r="AP225" s="211">
        <f t="shared" ca="1" si="71"/>
        <v>-250</v>
      </c>
      <c r="AQ225" s="211">
        <f t="shared" ca="1" si="71"/>
        <v>-250</v>
      </c>
      <c r="AR225" s="211">
        <f t="shared" ca="1" si="71"/>
        <v>0</v>
      </c>
      <c r="AS225" s="211">
        <f t="shared" ca="1" si="71"/>
        <v>0</v>
      </c>
      <c r="AT225" s="211">
        <f t="shared" ca="1" si="71"/>
        <v>0</v>
      </c>
      <c r="AU225" s="211">
        <f t="shared" ca="1" si="71"/>
        <v>0</v>
      </c>
      <c r="AV225" s="211">
        <f t="shared" ca="1" si="71"/>
        <v>0</v>
      </c>
      <c r="AW225" s="211">
        <f t="shared" ca="1" si="71"/>
        <v>0</v>
      </c>
      <c r="AX225" s="211">
        <f t="shared" ca="1" si="71"/>
        <v>0</v>
      </c>
    </row>
    <row r="226" spans="1:50" s="109" customFormat="1" ht="15" customHeight="1" x14ac:dyDescent="0.25">
      <c r="A226" s="106"/>
      <c r="B226" s="189"/>
    </row>
    <row r="227" spans="1:50" s="290" customFormat="1" ht="15" customHeight="1" x14ac:dyDescent="0.25">
      <c r="B227" s="291"/>
      <c r="E227" s="290" t="str">
        <f xml:space="preserve"> ProjectCashflows!E$193</f>
        <v>FID forward flag</v>
      </c>
      <c r="F227" s="290">
        <f xml:space="preserve"> ProjectCashflows!F$193</f>
        <v>0</v>
      </c>
      <c r="G227" s="290" t="str">
        <f xml:space="preserve"> ProjectCashflows!G$193</f>
        <v>Flag</v>
      </c>
      <c r="H227" s="290">
        <f xml:space="preserve"> ProjectCashflows!H$193</f>
        <v>0</v>
      </c>
      <c r="I227" s="290">
        <f ca="1" xml:space="preserve"> ProjectCashflows!I$193</f>
        <v>39</v>
      </c>
      <c r="J227" s="290">
        <f xml:space="preserve"> ProjectCashflows!J$193</f>
        <v>0</v>
      </c>
      <c r="K227" s="290">
        <f ca="1" xml:space="preserve"> ProjectCashflows!K$193</f>
        <v>0</v>
      </c>
      <c r="L227" s="290">
        <f ca="1" xml:space="preserve"> ProjectCashflows!L$193</f>
        <v>1</v>
      </c>
      <c r="M227" s="290">
        <f ca="1" xml:space="preserve"> ProjectCashflows!M$193</f>
        <v>1</v>
      </c>
      <c r="N227" s="290">
        <f ca="1" xml:space="preserve"> ProjectCashflows!N$193</f>
        <v>1</v>
      </c>
      <c r="O227" s="290">
        <f ca="1" xml:space="preserve"> ProjectCashflows!O$193</f>
        <v>1</v>
      </c>
      <c r="P227" s="290">
        <f ca="1" xml:space="preserve"> ProjectCashflows!P$193</f>
        <v>1</v>
      </c>
      <c r="Q227" s="290">
        <f ca="1" xml:space="preserve"> ProjectCashflows!Q$193</f>
        <v>1</v>
      </c>
      <c r="R227" s="290">
        <f ca="1" xml:space="preserve"> ProjectCashflows!R$193</f>
        <v>1</v>
      </c>
      <c r="S227" s="290">
        <f ca="1" xml:space="preserve"> ProjectCashflows!S$193</f>
        <v>1</v>
      </c>
      <c r="T227" s="290">
        <f ca="1" xml:space="preserve"> ProjectCashflows!T$193</f>
        <v>1</v>
      </c>
      <c r="U227" s="290">
        <f ca="1" xml:space="preserve"> ProjectCashflows!U$193</f>
        <v>1</v>
      </c>
      <c r="V227" s="290">
        <f ca="1" xml:space="preserve"> ProjectCashflows!V$193</f>
        <v>1</v>
      </c>
      <c r="W227" s="290">
        <f ca="1" xml:space="preserve"> ProjectCashflows!W$193</f>
        <v>1</v>
      </c>
      <c r="X227" s="290">
        <f ca="1" xml:space="preserve"> ProjectCashflows!X$193</f>
        <v>1</v>
      </c>
      <c r="Y227" s="290">
        <f ca="1" xml:space="preserve"> ProjectCashflows!Y$193</f>
        <v>1</v>
      </c>
      <c r="Z227" s="290">
        <f ca="1" xml:space="preserve"> ProjectCashflows!Z$193</f>
        <v>1</v>
      </c>
      <c r="AA227" s="290">
        <f ca="1" xml:space="preserve"> ProjectCashflows!AA$193</f>
        <v>1</v>
      </c>
      <c r="AB227" s="290">
        <f ca="1" xml:space="preserve"> ProjectCashflows!AB$193</f>
        <v>1</v>
      </c>
      <c r="AC227" s="290">
        <f ca="1" xml:space="preserve"> ProjectCashflows!AC$193</f>
        <v>1</v>
      </c>
      <c r="AD227" s="290">
        <f ca="1" xml:space="preserve"> ProjectCashflows!AD$193</f>
        <v>1</v>
      </c>
      <c r="AE227" s="290">
        <f ca="1" xml:space="preserve"> ProjectCashflows!AE$193</f>
        <v>1</v>
      </c>
      <c r="AF227" s="290">
        <f ca="1" xml:space="preserve"> ProjectCashflows!AF$193</f>
        <v>1</v>
      </c>
      <c r="AG227" s="290">
        <f ca="1" xml:space="preserve"> ProjectCashflows!AG$193</f>
        <v>1</v>
      </c>
      <c r="AH227" s="290">
        <f ca="1" xml:space="preserve"> ProjectCashflows!AH$193</f>
        <v>1</v>
      </c>
      <c r="AI227" s="290">
        <f ca="1" xml:space="preserve"> ProjectCashflows!AI$193</f>
        <v>1</v>
      </c>
      <c r="AJ227" s="290">
        <f ca="1" xml:space="preserve"> ProjectCashflows!AJ$193</f>
        <v>1</v>
      </c>
      <c r="AK227" s="290">
        <f ca="1" xml:space="preserve"> ProjectCashflows!AK$193</f>
        <v>1</v>
      </c>
      <c r="AL227" s="290">
        <f ca="1" xml:space="preserve"> ProjectCashflows!AL$193</f>
        <v>1</v>
      </c>
      <c r="AM227" s="290">
        <f ca="1" xml:space="preserve"> ProjectCashflows!AM$193</f>
        <v>1</v>
      </c>
      <c r="AN227" s="290">
        <f ca="1" xml:space="preserve"> ProjectCashflows!AN$193</f>
        <v>1</v>
      </c>
      <c r="AO227" s="290">
        <f ca="1" xml:space="preserve"> ProjectCashflows!AO$193</f>
        <v>1</v>
      </c>
      <c r="AP227" s="290">
        <f ca="1" xml:space="preserve"> ProjectCashflows!AP$193</f>
        <v>1</v>
      </c>
      <c r="AQ227" s="290">
        <f ca="1" xml:space="preserve"> ProjectCashflows!AQ$193</f>
        <v>1</v>
      </c>
      <c r="AR227" s="290">
        <f ca="1" xml:space="preserve"> ProjectCashflows!AR$193</f>
        <v>1</v>
      </c>
      <c r="AS227" s="290">
        <f ca="1" xml:space="preserve"> ProjectCashflows!AS$193</f>
        <v>1</v>
      </c>
      <c r="AT227" s="290">
        <f ca="1" xml:space="preserve"> ProjectCashflows!AT$193</f>
        <v>1</v>
      </c>
      <c r="AU227" s="290">
        <f ca="1" xml:space="preserve"> ProjectCashflows!AU$193</f>
        <v>1</v>
      </c>
      <c r="AV227" s="290">
        <f ca="1" xml:space="preserve"> ProjectCashflows!AV$193</f>
        <v>1</v>
      </c>
      <c r="AW227" s="290">
        <f ca="1" xml:space="preserve"> ProjectCashflows!AW$193</f>
        <v>1</v>
      </c>
      <c r="AX227" s="290">
        <f ca="1" xml:space="preserve"> ProjectCashflows!AX$193</f>
        <v>1</v>
      </c>
    </row>
    <row r="228" spans="1:50" s="109" customFormat="1" ht="15" customHeight="1" x14ac:dyDescent="0.25">
      <c r="A228" s="106"/>
      <c r="B228" s="189"/>
    </row>
    <row r="229" spans="1:50" s="109" customFormat="1" ht="15" customHeight="1" x14ac:dyDescent="0.25">
      <c r="A229" s="106"/>
      <c r="B229" s="189" t="str">
        <f xml:space="preserve"> Translate!E$813 &amp; ": "  &amp; Inputs!F$90 &amp; ", " &amp; Inputs!F$91</f>
        <v>Cashflows: FID forward, real</v>
      </c>
    </row>
    <row r="230" spans="1:50" s="109" customFormat="1" ht="15" customHeight="1" x14ac:dyDescent="0.25">
      <c r="A230" s="106"/>
      <c r="B230" s="189"/>
      <c r="E230" s="109" t="str">
        <f xml:space="preserve"> E217 &amp;  ": "  &amp; Inputs!F$90</f>
        <v>Cashflow before decommissioning fund: FID forward</v>
      </c>
      <c r="G230" s="109" t="str">
        <f t="shared" ref="G230:G238" si="72" xml:space="preserve"> G217</f>
        <v>US$ mn 2021</v>
      </c>
      <c r="H230" s="109">
        <f xml:space="preserve"> ProjectCashflows!H$245</f>
        <v>0</v>
      </c>
      <c r="K230" s="109">
        <f t="shared" ref="K230:AX230" ca="1" si="73" xml:space="preserve"> K217 * K$227</f>
        <v>0</v>
      </c>
      <c r="L230" s="109">
        <f t="shared" ca="1" si="73"/>
        <v>-50</v>
      </c>
      <c r="M230" s="109">
        <f t="shared" ca="1" si="73"/>
        <v>-300</v>
      </c>
      <c r="N230" s="109">
        <f t="shared" ca="1" si="73"/>
        <v>-1200</v>
      </c>
      <c r="O230" s="109">
        <f t="shared" ca="1" si="73"/>
        <v>-1058.3416418356894</v>
      </c>
      <c r="P230" s="109">
        <f t="shared" ca="1" si="73"/>
        <v>-774.37500000000011</v>
      </c>
      <c r="Q230" s="109">
        <f t="shared" ca="1" si="73"/>
        <v>1651.2500000000002</v>
      </c>
      <c r="R230" s="109">
        <f t="shared" ca="1" si="73"/>
        <v>2301.25</v>
      </c>
      <c r="S230" s="109">
        <f t="shared" ca="1" si="73"/>
        <v>2501.25</v>
      </c>
      <c r="T230" s="109">
        <f t="shared" ca="1" si="73"/>
        <v>2501.2500000000005</v>
      </c>
      <c r="U230" s="109">
        <f t="shared" ca="1" si="73"/>
        <v>2501.2499999999995</v>
      </c>
      <c r="V230" s="109">
        <f t="shared" ca="1" si="73"/>
        <v>2501.25</v>
      </c>
      <c r="W230" s="109">
        <f t="shared" ca="1" si="73"/>
        <v>2501.25</v>
      </c>
      <c r="X230" s="109">
        <f t="shared" ca="1" si="73"/>
        <v>2501.25</v>
      </c>
      <c r="Y230" s="109">
        <f t="shared" ca="1" si="73"/>
        <v>2501.25</v>
      </c>
      <c r="Z230" s="109">
        <f t="shared" ca="1" si="73"/>
        <v>2501.25</v>
      </c>
      <c r="AA230" s="109">
        <f t="shared" ca="1" si="73"/>
        <v>1929.1125000000006</v>
      </c>
      <c r="AB230" s="109">
        <f t="shared" ca="1" si="73"/>
        <v>1715.6811250000007</v>
      </c>
      <c r="AC230" s="109">
        <f t="shared" ca="1" si="73"/>
        <v>1450.3017112500004</v>
      </c>
      <c r="AD230" s="109">
        <f t="shared" ca="1" si="73"/>
        <v>956.24438611250082</v>
      </c>
      <c r="AE230" s="109">
        <f t="shared" ca="1" si="73"/>
        <v>729.9579527511255</v>
      </c>
      <c r="AF230" s="109">
        <f t="shared" ca="1" si="73"/>
        <v>739.46594172841185</v>
      </c>
      <c r="AG230" s="109">
        <f t="shared" ca="1" si="73"/>
        <v>588.87741280001364</v>
      </c>
      <c r="AH230" s="109">
        <f t="shared" ca="1" si="73"/>
        <v>462.99070436801105</v>
      </c>
      <c r="AI230" s="109">
        <f t="shared" ca="1" si="73"/>
        <v>361.972470538089</v>
      </c>
      <c r="AJ230" s="109">
        <f t="shared" ca="1" si="73"/>
        <v>281.09770113585205</v>
      </c>
      <c r="AK230" s="109">
        <f t="shared" ca="1" si="73"/>
        <v>216.53913792004025</v>
      </c>
      <c r="AL230" s="109">
        <f t="shared" ca="1" si="73"/>
        <v>-84.803298284767507</v>
      </c>
      <c r="AM230" s="109">
        <f t="shared" ca="1" si="73"/>
        <v>124.55932838933838</v>
      </c>
      <c r="AN230" s="109">
        <f t="shared" ca="1" si="73"/>
        <v>87.593055995364097</v>
      </c>
      <c r="AO230" s="109">
        <f t="shared" ca="1" si="73"/>
        <v>62.650375356244943</v>
      </c>
      <c r="AP230" s="109">
        <f t="shared" ca="1" si="73"/>
        <v>-250</v>
      </c>
      <c r="AQ230" s="109">
        <f t="shared" ca="1" si="73"/>
        <v>-250</v>
      </c>
      <c r="AR230" s="109">
        <f t="shared" ca="1" si="73"/>
        <v>0</v>
      </c>
      <c r="AS230" s="109">
        <f t="shared" ca="1" si="73"/>
        <v>0</v>
      </c>
      <c r="AT230" s="109">
        <f t="shared" ca="1" si="73"/>
        <v>0</v>
      </c>
      <c r="AU230" s="109">
        <f t="shared" ca="1" si="73"/>
        <v>0</v>
      </c>
      <c r="AV230" s="109">
        <f t="shared" ca="1" si="73"/>
        <v>0</v>
      </c>
      <c r="AW230" s="109">
        <f t="shared" ca="1" si="73"/>
        <v>0</v>
      </c>
      <c r="AX230" s="109">
        <f t="shared" ca="1" si="73"/>
        <v>0</v>
      </c>
    </row>
    <row r="231" spans="1:50" s="109" customFormat="1" ht="15" customHeight="1" x14ac:dyDescent="0.25">
      <c r="A231" s="106"/>
      <c r="B231" s="168"/>
      <c r="E231" s="109" t="str">
        <f xml:space="preserve"> E218 &amp;  ": "  &amp; Inputs!F$90</f>
        <v>Net decommissioning cashflows: FID forward</v>
      </c>
      <c r="G231" s="109" t="str">
        <f t="shared" si="72"/>
        <v>US$ mn 2021</v>
      </c>
      <c r="H231" s="109">
        <f xml:space="preserve"> FiscalModel!H$152</f>
        <v>0</v>
      </c>
      <c r="K231" s="109">
        <f t="shared" ref="K231:AX231" ca="1" si="74" xml:space="preserve"> K218 * K$227</f>
        <v>0</v>
      </c>
      <c r="L231" s="109">
        <f t="shared" ca="1" si="74"/>
        <v>0</v>
      </c>
      <c r="M231" s="109">
        <f t="shared" ca="1" si="74"/>
        <v>0</v>
      </c>
      <c r="N231" s="109">
        <f t="shared" ca="1" si="74"/>
        <v>0</v>
      </c>
      <c r="O231" s="109">
        <f t="shared" ca="1" si="74"/>
        <v>0</v>
      </c>
      <c r="P231" s="109">
        <f t="shared" ca="1" si="74"/>
        <v>0</v>
      </c>
      <c r="Q231" s="109">
        <f t="shared" ca="1" si="74"/>
        <v>0</v>
      </c>
      <c r="R231" s="109">
        <f t="shared" ca="1" si="74"/>
        <v>0</v>
      </c>
      <c r="S231" s="109">
        <f t="shared" ca="1" si="74"/>
        <v>0</v>
      </c>
      <c r="T231" s="109">
        <f t="shared" ca="1" si="74"/>
        <v>0</v>
      </c>
      <c r="U231" s="109">
        <f t="shared" ca="1" si="74"/>
        <v>0</v>
      </c>
      <c r="V231" s="109">
        <f t="shared" ca="1" si="74"/>
        <v>0</v>
      </c>
      <c r="W231" s="109">
        <f t="shared" ca="1" si="74"/>
        <v>-50.26129342108063</v>
      </c>
      <c r="X231" s="109">
        <f t="shared" ca="1" si="74"/>
        <v>-49.275777863804542</v>
      </c>
      <c r="Y231" s="109">
        <f t="shared" ca="1" si="74"/>
        <v>-48.309586140984841</v>
      </c>
      <c r="Z231" s="109">
        <f t="shared" ca="1" si="74"/>
        <v>-47.362339353906705</v>
      </c>
      <c r="AA231" s="109">
        <f t="shared" ca="1" si="74"/>
        <v>-46.43366603324187</v>
      </c>
      <c r="AB231" s="109">
        <f t="shared" ca="1" si="74"/>
        <v>-45.523201993374379</v>
      </c>
      <c r="AC231" s="109">
        <f t="shared" ca="1" si="74"/>
        <v>-44.630590189582719</v>
      </c>
      <c r="AD231" s="109">
        <f t="shared" ca="1" si="74"/>
        <v>-43.755480578022279</v>
      </c>
      <c r="AE231" s="109">
        <f t="shared" ca="1" si="74"/>
        <v>-42.897529978453207</v>
      </c>
      <c r="AF231" s="109">
        <f t="shared" ca="1" si="74"/>
        <v>-42.056401939660006</v>
      </c>
      <c r="AG231" s="109">
        <f t="shared" ca="1" si="74"/>
        <v>-41.231766607509812</v>
      </c>
      <c r="AH231" s="109">
        <f t="shared" ca="1" si="74"/>
        <v>-40.423300595597851</v>
      </c>
      <c r="AI231" s="109">
        <f t="shared" ca="1" si="74"/>
        <v>-39.630686858429264</v>
      </c>
      <c r="AJ231" s="109">
        <f t="shared" ca="1" si="74"/>
        <v>-38.853614567087519</v>
      </c>
      <c r="AK231" s="109">
        <f t="shared" ca="1" si="74"/>
        <v>-38.091778987340703</v>
      </c>
      <c r="AL231" s="109">
        <f t="shared" ca="1" si="74"/>
        <v>212.65511863986208</v>
      </c>
      <c r="AM231" s="109">
        <f t="shared" ca="1" si="74"/>
        <v>-23.463088130463284</v>
      </c>
      <c r="AN231" s="109">
        <f t="shared" ca="1" si="74"/>
        <v>-23.003027578885572</v>
      </c>
      <c r="AO231" s="109">
        <f t="shared" ca="1" si="74"/>
        <v>-22.551987822436832</v>
      </c>
      <c r="AP231" s="109">
        <f t="shared" ca="1" si="74"/>
        <v>250</v>
      </c>
      <c r="AQ231" s="109">
        <f t="shared" ca="1" si="74"/>
        <v>249.99999999999986</v>
      </c>
      <c r="AR231" s="109">
        <f t="shared" ca="1" si="74"/>
        <v>0</v>
      </c>
      <c r="AS231" s="109">
        <f t="shared" ca="1" si="74"/>
        <v>0</v>
      </c>
      <c r="AT231" s="109">
        <f t="shared" ca="1" si="74"/>
        <v>0</v>
      </c>
      <c r="AU231" s="109">
        <f t="shared" ca="1" si="74"/>
        <v>0</v>
      </c>
      <c r="AV231" s="109">
        <f t="shared" ca="1" si="74"/>
        <v>0</v>
      </c>
      <c r="AW231" s="109">
        <f t="shared" ca="1" si="74"/>
        <v>0</v>
      </c>
      <c r="AX231" s="109">
        <f t="shared" ca="1" si="74"/>
        <v>0</v>
      </c>
    </row>
    <row r="232" spans="1:50" s="109" customFormat="1" ht="15" customHeight="1" x14ac:dyDescent="0.25">
      <c r="A232" s="106"/>
      <c r="B232" s="168"/>
      <c r="E232" s="109" t="str">
        <f xml:space="preserve"> E219 &amp;  ": "  &amp; Inputs!F$90</f>
        <v>Government revenues excluding participation: FID forward</v>
      </c>
      <c r="G232" s="109" t="str">
        <f t="shared" si="72"/>
        <v>US$ mn 2021</v>
      </c>
      <c r="H232" s="109">
        <f xml:space="preserve"> FiscalModel!H$1112</f>
        <v>0</v>
      </c>
      <c r="K232" s="109">
        <f t="shared" ref="K232:AX232" ca="1" si="75" xml:space="preserve"> K219 * K$227</f>
        <v>0</v>
      </c>
      <c r="L232" s="109">
        <f t="shared" ca="1" si="75"/>
        <v>0</v>
      </c>
      <c r="M232" s="109">
        <f t="shared" ca="1" si="75"/>
        <v>0</v>
      </c>
      <c r="N232" s="109">
        <f t="shared" ca="1" si="75"/>
        <v>0</v>
      </c>
      <c r="O232" s="109">
        <f t="shared" ca="1" si="75"/>
        <v>88.582606280643191</v>
      </c>
      <c r="P232" s="109">
        <f t="shared" ca="1" si="75"/>
        <v>368.70789472108811</v>
      </c>
      <c r="Q232" s="109">
        <f t="shared" ca="1" si="75"/>
        <v>726.67019904192694</v>
      </c>
      <c r="R232" s="109">
        <f t="shared" ca="1" si="75"/>
        <v>872.09786683953814</v>
      </c>
      <c r="S232" s="109">
        <f t="shared" ca="1" si="75"/>
        <v>960.31286559465684</v>
      </c>
      <c r="T232" s="109">
        <f t="shared" ca="1" si="75"/>
        <v>1083.8332597760282</v>
      </c>
      <c r="U232" s="109">
        <f t="shared" ca="1" si="75"/>
        <v>1175.0607476730338</v>
      </c>
      <c r="V232" s="109">
        <f t="shared" ca="1" si="75"/>
        <v>1218.7759160069227</v>
      </c>
      <c r="W232" s="109">
        <f t="shared" ca="1" si="75"/>
        <v>1215.2021859068711</v>
      </c>
      <c r="X232" s="109">
        <f t="shared" ca="1" si="75"/>
        <v>1219.1837005000195</v>
      </c>
      <c r="Y232" s="109">
        <f t="shared" ca="1" si="75"/>
        <v>1223.0167429455282</v>
      </c>
      <c r="Z232" s="109">
        <f t="shared" ca="1" si="75"/>
        <v>1226.7056049175478</v>
      </c>
      <c r="AA232" s="109">
        <f t="shared" ca="1" si="75"/>
        <v>980.54322115569312</v>
      </c>
      <c r="AB232" s="109">
        <f t="shared" ca="1" si="75"/>
        <v>792.07065292357083</v>
      </c>
      <c r="AC232" s="109">
        <f t="shared" ca="1" si="75"/>
        <v>662.01527910276297</v>
      </c>
      <c r="AD232" s="109">
        <f t="shared" ca="1" si="75"/>
        <v>506.55521064156488</v>
      </c>
      <c r="AE232" s="109">
        <f t="shared" ca="1" si="75"/>
        <v>397.99498049994634</v>
      </c>
      <c r="AF232" s="109">
        <f t="shared" ca="1" si="75"/>
        <v>333.54915202440236</v>
      </c>
      <c r="AG232" s="109">
        <f t="shared" ca="1" si="75"/>
        <v>238.57407851609642</v>
      </c>
      <c r="AH232" s="109">
        <f t="shared" ca="1" si="75"/>
        <v>183.60843695408701</v>
      </c>
      <c r="AI232" s="109">
        <f t="shared" ca="1" si="75"/>
        <v>149.6302986943962</v>
      </c>
      <c r="AJ232" s="109">
        <f t="shared" ca="1" si="75"/>
        <v>124.22923883542845</v>
      </c>
      <c r="AK232" s="109">
        <f t="shared" ca="1" si="75"/>
        <v>95.591493187539157</v>
      </c>
      <c r="AL232" s="109">
        <f t="shared" ca="1" si="75"/>
        <v>72.709308696397386</v>
      </c>
      <c r="AM232" s="109">
        <f t="shared" ca="1" si="75"/>
        <v>58.167808109061234</v>
      </c>
      <c r="AN232" s="109">
        <f t="shared" ca="1" si="75"/>
        <v>42.243213131999639</v>
      </c>
      <c r="AO232" s="109">
        <f t="shared" ca="1" si="75"/>
        <v>30.772271326220405</v>
      </c>
      <c r="AP232" s="109">
        <f t="shared" ca="1" si="75"/>
        <v>0</v>
      </c>
      <c r="AQ232" s="109">
        <f t="shared" ca="1" si="75"/>
        <v>0</v>
      </c>
      <c r="AR232" s="109">
        <f t="shared" ca="1" si="75"/>
        <v>0</v>
      </c>
      <c r="AS232" s="109">
        <f t="shared" ca="1" si="75"/>
        <v>0</v>
      </c>
      <c r="AT232" s="109">
        <f t="shared" ca="1" si="75"/>
        <v>0</v>
      </c>
      <c r="AU232" s="109">
        <f t="shared" ca="1" si="75"/>
        <v>0</v>
      </c>
      <c r="AV232" s="109">
        <f t="shared" ca="1" si="75"/>
        <v>0</v>
      </c>
      <c r="AW232" s="109">
        <f t="shared" ca="1" si="75"/>
        <v>0</v>
      </c>
      <c r="AX232" s="109">
        <f t="shared" ca="1" si="75"/>
        <v>0</v>
      </c>
    </row>
    <row r="233" spans="1:50" s="109" customFormat="1" ht="15" customHeight="1" x14ac:dyDescent="0.25">
      <c r="A233" s="106"/>
      <c r="B233" s="168"/>
      <c r="E233" s="109" t="str">
        <f xml:space="preserve"> E220 &amp;  ": "  &amp; Inputs!F$90</f>
        <v>SOC net cash flow before tax, after carried interest, including share of lender cashflows: FID forward</v>
      </c>
      <c r="G233" s="109" t="str">
        <f t="shared" si="72"/>
        <v>US$ mn 2021</v>
      </c>
      <c r="H233" s="109">
        <f xml:space="preserve"> FiscalModel!H$1157</f>
        <v>0</v>
      </c>
      <c r="K233" s="109">
        <f t="shared" ref="K233:AX233" ca="1" si="76" xml:space="preserve"> K220 * K$227</f>
        <v>0</v>
      </c>
      <c r="L233" s="109">
        <f t="shared" ca="1" si="76"/>
        <v>-7</v>
      </c>
      <c r="M233" s="109">
        <f t="shared" ca="1" si="76"/>
        <v>-42</v>
      </c>
      <c r="N233" s="109">
        <f t="shared" ca="1" si="76"/>
        <v>-168</v>
      </c>
      <c r="O233" s="109">
        <f t="shared" ca="1" si="76"/>
        <v>-168</v>
      </c>
      <c r="P233" s="109">
        <f t="shared" ca="1" si="76"/>
        <v>-294</v>
      </c>
      <c r="Q233" s="109">
        <f t="shared" ca="1" si="76"/>
        <v>107.35265407110511</v>
      </c>
      <c r="R233" s="109">
        <f t="shared" ca="1" si="76"/>
        <v>324.64477343830453</v>
      </c>
      <c r="S233" s="109">
        <f t="shared" ca="1" si="76"/>
        <v>365.28368248645455</v>
      </c>
      <c r="T233" s="109">
        <f t="shared" ca="1" si="76"/>
        <v>365.90336297007161</v>
      </c>
      <c r="U233" s="109">
        <f t="shared" ca="1" si="76"/>
        <v>366.50432331073785</v>
      </c>
      <c r="V233" s="109">
        <f t="shared" ca="1" si="76"/>
        <v>367.08705938469217</v>
      </c>
      <c r="W233" s="109">
        <f t="shared" ca="1" si="76"/>
        <v>357.59979613511689</v>
      </c>
      <c r="X233" s="109">
        <f t="shared" ca="1" si="76"/>
        <v>358.34462571015644</v>
      </c>
      <c r="Y233" s="109">
        <f t="shared" ca="1" si="76"/>
        <v>359.06878153941</v>
      </c>
      <c r="Z233" s="109">
        <f t="shared" ca="1" si="76"/>
        <v>359.7727879952327</v>
      </c>
      <c r="AA233" s="109">
        <f t="shared" ca="1" si="76"/>
        <v>270.82581772687712</v>
      </c>
      <c r="AB233" s="109">
        <f t="shared" ca="1" si="76"/>
        <v>248.53589475441893</v>
      </c>
      <c r="AC233" s="109">
        <f t="shared" ca="1" si="76"/>
        <v>211.98544956012856</v>
      </c>
      <c r="AD233" s="109">
        <f t="shared" ca="1" si="76"/>
        <v>126.56885661966672</v>
      </c>
      <c r="AE233" s="109">
        <f t="shared" ca="1" si="76"/>
        <v>92.174442204675259</v>
      </c>
      <c r="AF233" s="109">
        <f t="shared" ca="1" si="76"/>
        <v>102.89086574523206</v>
      </c>
      <c r="AG233" s="109">
        <f t="shared" ca="1" si="76"/>
        <v>79.931240883226394</v>
      </c>
      <c r="AH233" s="109">
        <f t="shared" ca="1" si="76"/>
        <v>60.57163552775063</v>
      </c>
      <c r="AI233" s="109">
        <f t="shared" ca="1" si="76"/>
        <v>45.101226726046271</v>
      </c>
      <c r="AJ233" s="109">
        <f t="shared" ca="1" si="76"/>
        <v>32.781902148148902</v>
      </c>
      <c r="AK233" s="109">
        <f t="shared" ca="1" si="76"/>
        <v>23.015518262544532</v>
      </c>
      <c r="AL233" s="109">
        <f t="shared" ca="1" si="76"/>
        <v>15.317364349638096</v>
      </c>
      <c r="AM233" s="109">
        <f t="shared" ca="1" si="76"/>
        <v>11.924564486059397</v>
      </c>
      <c r="AN233" s="109">
        <f t="shared" ca="1" si="76"/>
        <v>6.2074486901330133</v>
      </c>
      <c r="AO233" s="109">
        <f t="shared" ca="1" si="76"/>
        <v>2.5905878354412502</v>
      </c>
      <c r="AP233" s="109">
        <f t="shared" ca="1" si="76"/>
        <v>0</v>
      </c>
      <c r="AQ233" s="109">
        <f t="shared" ca="1" si="76"/>
        <v>0</v>
      </c>
      <c r="AR233" s="109">
        <f t="shared" ca="1" si="76"/>
        <v>0</v>
      </c>
      <c r="AS233" s="109">
        <f t="shared" ca="1" si="76"/>
        <v>0</v>
      </c>
      <c r="AT233" s="109">
        <f t="shared" ca="1" si="76"/>
        <v>0</v>
      </c>
      <c r="AU233" s="109">
        <f t="shared" ca="1" si="76"/>
        <v>0</v>
      </c>
      <c r="AV233" s="109">
        <f t="shared" ca="1" si="76"/>
        <v>0</v>
      </c>
      <c r="AW233" s="109">
        <f t="shared" ca="1" si="76"/>
        <v>0</v>
      </c>
      <c r="AX233" s="109">
        <f t="shared" ca="1" si="76"/>
        <v>0</v>
      </c>
    </row>
    <row r="234" spans="1:50" s="109" customFormat="1" ht="15" customHeight="1" x14ac:dyDescent="0.25">
      <c r="A234" s="106"/>
      <c r="B234" s="168"/>
      <c r="E234" s="109" t="str">
        <f xml:space="preserve"> E221 &amp;  ": "  &amp; Inputs!F$90</f>
        <v>Government revenues including participation: FID forward</v>
      </c>
      <c r="G234" s="109" t="str">
        <f t="shared" si="72"/>
        <v>US$ mn 2021</v>
      </c>
      <c r="K234" s="109">
        <f t="shared" ref="K234:AX234" ca="1" si="77" xml:space="preserve"> K221 * K$227</f>
        <v>0</v>
      </c>
      <c r="L234" s="109">
        <f t="shared" ca="1" si="77"/>
        <v>-7</v>
      </c>
      <c r="M234" s="109">
        <f t="shared" ca="1" si="77"/>
        <v>-42</v>
      </c>
      <c r="N234" s="109">
        <f t="shared" ca="1" si="77"/>
        <v>-168</v>
      </c>
      <c r="O234" s="109">
        <f t="shared" ca="1" si="77"/>
        <v>-79.417393719356795</v>
      </c>
      <c r="P234" s="109">
        <f t="shared" ca="1" si="77"/>
        <v>74.707894721088095</v>
      </c>
      <c r="Q234" s="109">
        <f t="shared" ca="1" si="77"/>
        <v>834.02285311303206</v>
      </c>
      <c r="R234" s="109">
        <f t="shared" ca="1" si="77"/>
        <v>1196.7426402778426</v>
      </c>
      <c r="S234" s="109">
        <f t="shared" ca="1" si="77"/>
        <v>1325.5965480811115</v>
      </c>
      <c r="T234" s="109">
        <f t="shared" ca="1" si="77"/>
        <v>1449.7366227460996</v>
      </c>
      <c r="U234" s="109">
        <f t="shared" ca="1" si="77"/>
        <v>1541.5650709837716</v>
      </c>
      <c r="V234" s="109">
        <f t="shared" ca="1" si="77"/>
        <v>1585.862975391615</v>
      </c>
      <c r="W234" s="109">
        <f t="shared" ca="1" si="77"/>
        <v>1572.8019820419879</v>
      </c>
      <c r="X234" s="109">
        <f t="shared" ca="1" si="77"/>
        <v>1577.5283262101759</v>
      </c>
      <c r="Y234" s="109">
        <f t="shared" ca="1" si="77"/>
        <v>1582.0855244849383</v>
      </c>
      <c r="Z234" s="109">
        <f t="shared" ca="1" si="77"/>
        <v>1586.4783929127805</v>
      </c>
      <c r="AA234" s="109">
        <f t="shared" ca="1" si="77"/>
        <v>1251.3690388825703</v>
      </c>
      <c r="AB234" s="109">
        <f t="shared" ca="1" si="77"/>
        <v>1040.6065476779897</v>
      </c>
      <c r="AC234" s="109">
        <f t="shared" ca="1" si="77"/>
        <v>874.00072866289156</v>
      </c>
      <c r="AD234" s="109">
        <f t="shared" ca="1" si="77"/>
        <v>633.12406726123163</v>
      </c>
      <c r="AE234" s="109">
        <f t="shared" ca="1" si="77"/>
        <v>490.16942270462164</v>
      </c>
      <c r="AF234" s="109">
        <f t="shared" ca="1" si="77"/>
        <v>436.44001776963444</v>
      </c>
      <c r="AG234" s="109">
        <f t="shared" ca="1" si="77"/>
        <v>318.50531939932284</v>
      </c>
      <c r="AH234" s="109">
        <f t="shared" ca="1" si="77"/>
        <v>244.18007248183764</v>
      </c>
      <c r="AI234" s="109">
        <f t="shared" ca="1" si="77"/>
        <v>194.73152542044249</v>
      </c>
      <c r="AJ234" s="109">
        <f t="shared" ca="1" si="77"/>
        <v>157.01114098357735</v>
      </c>
      <c r="AK234" s="109">
        <f t="shared" ca="1" si="77"/>
        <v>118.60701145008369</v>
      </c>
      <c r="AL234" s="109">
        <f t="shared" ca="1" si="77"/>
        <v>88.026673046035498</v>
      </c>
      <c r="AM234" s="109">
        <f t="shared" ca="1" si="77"/>
        <v>70.092372595120622</v>
      </c>
      <c r="AN234" s="109">
        <f t="shared" ca="1" si="77"/>
        <v>48.450661822132652</v>
      </c>
      <c r="AO234" s="109">
        <f t="shared" ca="1" si="77"/>
        <v>33.362859161661653</v>
      </c>
      <c r="AP234" s="109">
        <f t="shared" ca="1" si="77"/>
        <v>0</v>
      </c>
      <c r="AQ234" s="109">
        <f t="shared" ca="1" si="77"/>
        <v>0</v>
      </c>
      <c r="AR234" s="109">
        <f t="shared" ca="1" si="77"/>
        <v>0</v>
      </c>
      <c r="AS234" s="109">
        <f t="shared" ca="1" si="77"/>
        <v>0</v>
      </c>
      <c r="AT234" s="109">
        <f t="shared" ca="1" si="77"/>
        <v>0</v>
      </c>
      <c r="AU234" s="109">
        <f t="shared" ca="1" si="77"/>
        <v>0</v>
      </c>
      <c r="AV234" s="109">
        <f t="shared" ca="1" si="77"/>
        <v>0</v>
      </c>
      <c r="AW234" s="109">
        <f t="shared" ca="1" si="77"/>
        <v>0</v>
      </c>
      <c r="AX234" s="109">
        <f t="shared" ca="1" si="77"/>
        <v>0</v>
      </c>
    </row>
    <row r="235" spans="1:50" s="109" customFormat="1" ht="15" customHeight="1" x14ac:dyDescent="0.25">
      <c r="A235" s="106"/>
      <c r="B235" s="168"/>
      <c r="E235" s="109" t="str">
        <f xml:space="preserve"> E222 &amp;  ": "  &amp; Inputs!F$90</f>
        <v>Net cashflow after fiscal regime: IOC: FID forward</v>
      </c>
      <c r="G235" s="109" t="str">
        <f t="shared" si="72"/>
        <v>US$ mn 2021</v>
      </c>
      <c r="H235" s="109">
        <f xml:space="preserve"> FiscalModel!H$1156</f>
        <v>0</v>
      </c>
      <c r="K235" s="109">
        <f t="shared" ref="K235:AX235" ca="1" si="78" xml:space="preserve"> K222 * K$227</f>
        <v>0</v>
      </c>
      <c r="L235" s="109">
        <f t="shared" ca="1" si="78"/>
        <v>-15</v>
      </c>
      <c r="M235" s="109">
        <f t="shared" ca="1" si="78"/>
        <v>-90.000000000000028</v>
      </c>
      <c r="N235" s="109">
        <f t="shared" ca="1" si="78"/>
        <v>-359.99999999999994</v>
      </c>
      <c r="O235" s="109">
        <f t="shared" ca="1" si="78"/>
        <v>-306.92424811633282</v>
      </c>
      <c r="P235" s="109">
        <f t="shared" ca="1" si="78"/>
        <v>326.91710527891212</v>
      </c>
      <c r="Q235" s="109">
        <f t="shared" ca="1" si="78"/>
        <v>408.15694636287162</v>
      </c>
      <c r="R235" s="109">
        <f t="shared" ca="1" si="78"/>
        <v>716.00712064570746</v>
      </c>
      <c r="S235" s="109">
        <f t="shared" ca="1" si="78"/>
        <v>807.07378333770725</v>
      </c>
      <c r="T235" s="109">
        <f t="shared" ca="1" si="78"/>
        <v>702.22244604555624</v>
      </c>
      <c r="U235" s="109">
        <f t="shared" ca="1" si="78"/>
        <v>629.06802101561345</v>
      </c>
      <c r="V235" s="109">
        <f t="shared" ca="1" si="78"/>
        <v>602.84611619536145</v>
      </c>
      <c r="W235" s="109">
        <f t="shared" ca="1" si="78"/>
        <v>583.14006444278107</v>
      </c>
      <c r="X235" s="109">
        <f t="shared" ca="1" si="78"/>
        <v>596.32759702267185</v>
      </c>
      <c r="Y235" s="109">
        <f t="shared" ca="1" si="78"/>
        <v>609.11453021540819</v>
      </c>
      <c r="Z235" s="109">
        <f t="shared" ca="1" si="78"/>
        <v>621.51150362303179</v>
      </c>
      <c r="AA235" s="109">
        <f t="shared" ca="1" si="78"/>
        <v>631.30979508418841</v>
      </c>
      <c r="AB235" s="109">
        <f t="shared" ca="1" si="78"/>
        <v>629.55137532863637</v>
      </c>
      <c r="AC235" s="109">
        <f t="shared" ca="1" si="78"/>
        <v>531.67039239752637</v>
      </c>
      <c r="AD235" s="109">
        <f t="shared" ca="1" si="78"/>
        <v>279.36483827324702</v>
      </c>
      <c r="AE235" s="109">
        <f t="shared" ca="1" si="78"/>
        <v>196.89100006805074</v>
      </c>
      <c r="AF235" s="109">
        <f t="shared" ca="1" si="78"/>
        <v>260.96952201911745</v>
      </c>
      <c r="AG235" s="109">
        <f t="shared" ca="1" si="78"/>
        <v>229.14032679318095</v>
      </c>
      <c r="AH235" s="109">
        <f t="shared" ca="1" si="78"/>
        <v>178.38733129057556</v>
      </c>
      <c r="AI235" s="109">
        <f t="shared" ca="1" si="78"/>
        <v>127.61025825921733</v>
      </c>
      <c r="AJ235" s="109">
        <f t="shared" ca="1" si="78"/>
        <v>85.23294558518721</v>
      </c>
      <c r="AK235" s="109">
        <f t="shared" ca="1" si="78"/>
        <v>59.840347482615819</v>
      </c>
      <c r="AL235" s="109">
        <f t="shared" ca="1" si="78"/>
        <v>39.825147309059105</v>
      </c>
      <c r="AM235" s="109">
        <f t="shared" ca="1" si="78"/>
        <v>31.00386766375447</v>
      </c>
      <c r="AN235" s="109">
        <f t="shared" ca="1" si="78"/>
        <v>16.13936659434588</v>
      </c>
      <c r="AO235" s="109">
        <f t="shared" ca="1" si="78"/>
        <v>6.735528372146443</v>
      </c>
      <c r="AP235" s="109">
        <f t="shared" ca="1" si="78"/>
        <v>0</v>
      </c>
      <c r="AQ235" s="109">
        <f t="shared" ca="1" si="78"/>
        <v>0</v>
      </c>
      <c r="AR235" s="109">
        <f t="shared" ca="1" si="78"/>
        <v>0</v>
      </c>
      <c r="AS235" s="109">
        <f t="shared" ca="1" si="78"/>
        <v>0</v>
      </c>
      <c r="AT235" s="109">
        <f t="shared" ca="1" si="78"/>
        <v>0</v>
      </c>
      <c r="AU235" s="109">
        <f t="shared" ca="1" si="78"/>
        <v>0</v>
      </c>
      <c r="AV235" s="109">
        <f t="shared" ca="1" si="78"/>
        <v>0</v>
      </c>
      <c r="AW235" s="109">
        <f t="shared" ca="1" si="78"/>
        <v>0</v>
      </c>
      <c r="AX235" s="109">
        <f t="shared" ca="1" si="78"/>
        <v>0</v>
      </c>
    </row>
    <row r="236" spans="1:50" s="109" customFormat="1" ht="15" customHeight="1" x14ac:dyDescent="0.25">
      <c r="A236" s="106"/>
      <c r="B236" s="168"/>
      <c r="E236" s="109" t="str">
        <f xml:space="preserve"> E223 &amp;  ": "  &amp; Inputs!F$90</f>
        <v>Lender cashflows after interest withholding tax: IOC parent: FID forward</v>
      </c>
      <c r="G236" s="109" t="str">
        <f t="shared" si="72"/>
        <v>US$ mn 2021</v>
      </c>
      <c r="H236" s="109">
        <f xml:space="preserve"> FiscalModel!H$1158</f>
        <v>0</v>
      </c>
      <c r="K236" s="109">
        <f t="shared" ref="K236:AX236" ca="1" si="79" xml:space="preserve"> K223 * K$227</f>
        <v>0</v>
      </c>
      <c r="L236" s="109">
        <f t="shared" ca="1" si="79"/>
        <v>-27.999999999999996</v>
      </c>
      <c r="M236" s="109">
        <f t="shared" ca="1" si="79"/>
        <v>-168</v>
      </c>
      <c r="N236" s="109">
        <f t="shared" ca="1" si="79"/>
        <v>-672</v>
      </c>
      <c r="O236" s="109">
        <f t="shared" ca="1" si="79"/>
        <v>-672</v>
      </c>
      <c r="P236" s="109">
        <f t="shared" ca="1" si="79"/>
        <v>-1175.9999999999998</v>
      </c>
      <c r="Q236" s="109">
        <f t="shared" ca="1" si="79"/>
        <v>409.07020052409655</v>
      </c>
      <c r="R236" s="109">
        <f t="shared" ca="1" si="79"/>
        <v>388.50023907644999</v>
      </c>
      <c r="S236" s="109">
        <f t="shared" ca="1" si="79"/>
        <v>368.57966858118181</v>
      </c>
      <c r="T236" s="109">
        <f t="shared" ca="1" si="79"/>
        <v>349.29093120834369</v>
      </c>
      <c r="U236" s="109">
        <f t="shared" ca="1" si="79"/>
        <v>330.61690800061461</v>
      </c>
      <c r="V236" s="109">
        <f t="shared" ca="1" si="79"/>
        <v>312.540908413024</v>
      </c>
      <c r="W236" s="109">
        <f t="shared" ca="1" si="79"/>
        <v>295.04666009415058</v>
      </c>
      <c r="X236" s="109">
        <f t="shared" ca="1" si="79"/>
        <v>278.11829890334792</v>
      </c>
      <c r="Y236" s="109">
        <f t="shared" ca="1" si="79"/>
        <v>261.74035915866898</v>
      </c>
      <c r="Z236" s="109">
        <f t="shared" ca="1" si="79"/>
        <v>245.8977641102814</v>
      </c>
      <c r="AA236" s="109">
        <f t="shared" ca="1" si="79"/>
        <v>0</v>
      </c>
      <c r="AB236" s="109">
        <f t="shared" ca="1" si="79"/>
        <v>0</v>
      </c>
      <c r="AC236" s="109">
        <f t="shared" ca="1" si="79"/>
        <v>0</v>
      </c>
      <c r="AD236" s="109">
        <f t="shared" ca="1" si="79"/>
        <v>0</v>
      </c>
      <c r="AE236" s="109">
        <f t="shared" ca="1" si="79"/>
        <v>0</v>
      </c>
      <c r="AF236" s="109">
        <f t="shared" ca="1" si="79"/>
        <v>0</v>
      </c>
      <c r="AG236" s="109">
        <f t="shared" ca="1" si="79"/>
        <v>0</v>
      </c>
      <c r="AH236" s="109">
        <f t="shared" ca="1" si="79"/>
        <v>0</v>
      </c>
      <c r="AI236" s="109">
        <f t="shared" ca="1" si="79"/>
        <v>0</v>
      </c>
      <c r="AJ236" s="109">
        <f t="shared" ca="1" si="79"/>
        <v>0</v>
      </c>
      <c r="AK236" s="109">
        <f t="shared" ca="1" si="79"/>
        <v>0</v>
      </c>
      <c r="AL236" s="109">
        <f t="shared" ca="1" si="79"/>
        <v>0</v>
      </c>
      <c r="AM236" s="109">
        <f t="shared" ca="1" si="79"/>
        <v>0</v>
      </c>
      <c r="AN236" s="109">
        <f t="shared" ca="1" si="79"/>
        <v>0</v>
      </c>
      <c r="AO236" s="109">
        <f t="shared" ca="1" si="79"/>
        <v>0</v>
      </c>
      <c r="AP236" s="109">
        <f t="shared" ca="1" si="79"/>
        <v>0</v>
      </c>
      <c r="AQ236" s="109">
        <f t="shared" ca="1" si="79"/>
        <v>0</v>
      </c>
      <c r="AR236" s="109">
        <f t="shared" ca="1" si="79"/>
        <v>0</v>
      </c>
      <c r="AS236" s="109">
        <f t="shared" ca="1" si="79"/>
        <v>0</v>
      </c>
      <c r="AT236" s="109">
        <f t="shared" ca="1" si="79"/>
        <v>0</v>
      </c>
      <c r="AU236" s="109">
        <f t="shared" ca="1" si="79"/>
        <v>0</v>
      </c>
      <c r="AV236" s="109">
        <f t="shared" ca="1" si="79"/>
        <v>0</v>
      </c>
      <c r="AW236" s="109">
        <f t="shared" ca="1" si="79"/>
        <v>0</v>
      </c>
      <c r="AX236" s="109">
        <f t="shared" ca="1" si="79"/>
        <v>0</v>
      </c>
    </row>
    <row r="237" spans="1:50" s="109" customFormat="1" ht="15" customHeight="1" x14ac:dyDescent="0.25">
      <c r="A237" s="106"/>
      <c r="B237" s="168"/>
      <c r="E237" s="109" t="str">
        <f xml:space="preserve"> E224 &amp;  ": "  &amp; Inputs!F$90</f>
        <v>Investors (IOC + Lender): FID forward</v>
      </c>
      <c r="G237" s="109" t="str">
        <f t="shared" si="72"/>
        <v>US$ mn 2021</v>
      </c>
      <c r="H237" s="109">
        <f xml:space="preserve"> FiscalModel!H$1158</f>
        <v>0</v>
      </c>
      <c r="K237" s="109">
        <f t="shared" ref="K237:AX237" ca="1" si="80" xml:space="preserve"> K224 * K$227</f>
        <v>0</v>
      </c>
      <c r="L237" s="109">
        <f t="shared" ca="1" si="80"/>
        <v>-43</v>
      </c>
      <c r="M237" s="109">
        <f t="shared" ca="1" si="80"/>
        <v>-258</v>
      </c>
      <c r="N237" s="109">
        <f t="shared" ca="1" si="80"/>
        <v>-1032</v>
      </c>
      <c r="O237" s="109">
        <f t="shared" ca="1" si="80"/>
        <v>-978.92424811633282</v>
      </c>
      <c r="P237" s="109">
        <f t="shared" ca="1" si="80"/>
        <v>-849.08289472108777</v>
      </c>
      <c r="Q237" s="109">
        <f t="shared" ca="1" si="80"/>
        <v>817.22714688696817</v>
      </c>
      <c r="R237" s="109">
        <f t="shared" ca="1" si="80"/>
        <v>1104.5073597221574</v>
      </c>
      <c r="S237" s="109">
        <f t="shared" ca="1" si="80"/>
        <v>1175.653451918889</v>
      </c>
      <c r="T237" s="109">
        <f t="shared" ca="1" si="80"/>
        <v>1051.5133772538998</v>
      </c>
      <c r="U237" s="109">
        <f t="shared" ca="1" si="80"/>
        <v>959.68492901622801</v>
      </c>
      <c r="V237" s="109">
        <f t="shared" ca="1" si="80"/>
        <v>915.38702460838545</v>
      </c>
      <c r="W237" s="109">
        <f t="shared" ca="1" si="80"/>
        <v>878.18672453693159</v>
      </c>
      <c r="X237" s="109">
        <f t="shared" ca="1" si="80"/>
        <v>874.44589592601972</v>
      </c>
      <c r="Y237" s="109">
        <f t="shared" ca="1" si="80"/>
        <v>870.85488937407717</v>
      </c>
      <c r="Z237" s="109">
        <f t="shared" ca="1" si="80"/>
        <v>867.40926773331307</v>
      </c>
      <c r="AA237" s="109">
        <f t="shared" ca="1" si="80"/>
        <v>631.30979508418841</v>
      </c>
      <c r="AB237" s="109">
        <f t="shared" ca="1" si="80"/>
        <v>629.55137532863637</v>
      </c>
      <c r="AC237" s="109">
        <f t="shared" ca="1" si="80"/>
        <v>531.67039239752637</v>
      </c>
      <c r="AD237" s="109">
        <f t="shared" ca="1" si="80"/>
        <v>279.36483827324702</v>
      </c>
      <c r="AE237" s="109">
        <f t="shared" ca="1" si="80"/>
        <v>196.89100006805074</v>
      </c>
      <c r="AF237" s="109">
        <f t="shared" ca="1" si="80"/>
        <v>260.96952201911745</v>
      </c>
      <c r="AG237" s="109">
        <f t="shared" ca="1" si="80"/>
        <v>229.14032679318095</v>
      </c>
      <c r="AH237" s="109">
        <f t="shared" ca="1" si="80"/>
        <v>178.38733129057556</v>
      </c>
      <c r="AI237" s="109">
        <f t="shared" ca="1" si="80"/>
        <v>127.61025825921733</v>
      </c>
      <c r="AJ237" s="109">
        <f t="shared" ca="1" si="80"/>
        <v>85.23294558518721</v>
      </c>
      <c r="AK237" s="109">
        <f t="shared" ca="1" si="80"/>
        <v>59.840347482615819</v>
      </c>
      <c r="AL237" s="109">
        <f t="shared" ca="1" si="80"/>
        <v>39.825147309059105</v>
      </c>
      <c r="AM237" s="109">
        <f t="shared" ca="1" si="80"/>
        <v>31.00386766375447</v>
      </c>
      <c r="AN237" s="109">
        <f t="shared" ca="1" si="80"/>
        <v>16.13936659434588</v>
      </c>
      <c r="AO237" s="109">
        <f t="shared" ca="1" si="80"/>
        <v>6.735528372146443</v>
      </c>
      <c r="AP237" s="109">
        <f t="shared" ca="1" si="80"/>
        <v>0</v>
      </c>
      <c r="AQ237" s="109">
        <f t="shared" ca="1" si="80"/>
        <v>0</v>
      </c>
      <c r="AR237" s="109">
        <f t="shared" ca="1" si="80"/>
        <v>0</v>
      </c>
      <c r="AS237" s="109">
        <f t="shared" ca="1" si="80"/>
        <v>0</v>
      </c>
      <c r="AT237" s="109">
        <f t="shared" ca="1" si="80"/>
        <v>0</v>
      </c>
      <c r="AU237" s="109">
        <f t="shared" ca="1" si="80"/>
        <v>0</v>
      </c>
      <c r="AV237" s="109">
        <f t="shared" ca="1" si="80"/>
        <v>0</v>
      </c>
      <c r="AW237" s="109">
        <f t="shared" ca="1" si="80"/>
        <v>0</v>
      </c>
      <c r="AX237" s="109">
        <f t="shared" ca="1" si="80"/>
        <v>0</v>
      </c>
    </row>
    <row r="238" spans="1:50" s="109" customFormat="1" ht="15" customHeight="1" x14ac:dyDescent="0.25">
      <c r="A238" s="106"/>
      <c r="B238" s="168"/>
      <c r="E238" s="109" t="str">
        <f xml:space="preserve"> E225 &amp;  ": "  &amp; Inputs!F$90</f>
        <v>Project benefits: FID forward</v>
      </c>
      <c r="G238" s="109" t="str">
        <f t="shared" si="72"/>
        <v>US$ mn 2021</v>
      </c>
      <c r="H238" s="109" t="str">
        <f xml:space="preserve"> ProjectCashflows!H$252</f>
        <v>cashflows excluding exploration &amp; development costs</v>
      </c>
      <c r="K238" s="109">
        <f t="shared" ref="K238:AX238" ca="1" si="81" xml:space="preserve"> K225 * K$227</f>
        <v>0</v>
      </c>
      <c r="L238" s="109">
        <f t="shared" ca="1" si="81"/>
        <v>0</v>
      </c>
      <c r="M238" s="109">
        <f t="shared" ca="1" si="81"/>
        <v>0</v>
      </c>
      <c r="N238" s="109">
        <f t="shared" ca="1" si="81"/>
        <v>0</v>
      </c>
      <c r="O238" s="109">
        <f t="shared" ca="1" si="81"/>
        <v>141.65835816431044</v>
      </c>
      <c r="P238" s="109">
        <f t="shared" ca="1" si="81"/>
        <v>1325.625</v>
      </c>
      <c r="Q238" s="109">
        <f t="shared" ca="1" si="81"/>
        <v>2751.25</v>
      </c>
      <c r="R238" s="109">
        <f t="shared" ca="1" si="81"/>
        <v>2751.25</v>
      </c>
      <c r="S238" s="109">
        <f t="shared" ca="1" si="81"/>
        <v>2751.25</v>
      </c>
      <c r="T238" s="109">
        <f t="shared" ca="1" si="81"/>
        <v>2751.25</v>
      </c>
      <c r="U238" s="109">
        <f t="shared" ca="1" si="81"/>
        <v>2751.25</v>
      </c>
      <c r="V238" s="109">
        <f t="shared" ca="1" si="81"/>
        <v>2751.2499999999995</v>
      </c>
      <c r="W238" s="109">
        <f t="shared" ca="1" si="81"/>
        <v>2751.2500000000005</v>
      </c>
      <c r="X238" s="109">
        <f t="shared" ca="1" si="81"/>
        <v>2751.25</v>
      </c>
      <c r="Y238" s="109">
        <f t="shared" ca="1" si="81"/>
        <v>2751.25</v>
      </c>
      <c r="Z238" s="109">
        <f t="shared" ca="1" si="81"/>
        <v>2751.25</v>
      </c>
      <c r="AA238" s="109">
        <f t="shared" ca="1" si="81"/>
        <v>2179.1125000000006</v>
      </c>
      <c r="AB238" s="109">
        <f t="shared" ca="1" si="81"/>
        <v>1715.6811250000007</v>
      </c>
      <c r="AC238" s="109">
        <f t="shared" ca="1" si="81"/>
        <v>1450.3017112500004</v>
      </c>
      <c r="AD238" s="109">
        <f t="shared" ca="1" si="81"/>
        <v>1156.2443861125007</v>
      </c>
      <c r="AE238" s="109">
        <f t="shared" ca="1" si="81"/>
        <v>929.9579527511255</v>
      </c>
      <c r="AF238" s="109">
        <f t="shared" ca="1" si="81"/>
        <v>739.46594172841185</v>
      </c>
      <c r="AG238" s="109">
        <f t="shared" ca="1" si="81"/>
        <v>588.87741280001364</v>
      </c>
      <c r="AH238" s="109">
        <f t="shared" ca="1" si="81"/>
        <v>462.99070436801105</v>
      </c>
      <c r="AI238" s="109">
        <f t="shared" ca="1" si="81"/>
        <v>361.972470538089</v>
      </c>
      <c r="AJ238" s="109">
        <f t="shared" ca="1" si="81"/>
        <v>281.09770113585205</v>
      </c>
      <c r="AK238" s="109">
        <f t="shared" ca="1" si="81"/>
        <v>216.53913792004025</v>
      </c>
      <c r="AL238" s="109">
        <f t="shared" ca="1" si="81"/>
        <v>-84.803298284767479</v>
      </c>
      <c r="AM238" s="109">
        <f t="shared" ca="1" si="81"/>
        <v>124.55932838933838</v>
      </c>
      <c r="AN238" s="109">
        <f t="shared" ca="1" si="81"/>
        <v>87.593055995364097</v>
      </c>
      <c r="AO238" s="109">
        <f t="shared" ca="1" si="81"/>
        <v>62.650375356244943</v>
      </c>
      <c r="AP238" s="109">
        <f t="shared" ca="1" si="81"/>
        <v>-250</v>
      </c>
      <c r="AQ238" s="109">
        <f t="shared" ca="1" si="81"/>
        <v>-250</v>
      </c>
      <c r="AR238" s="109">
        <f t="shared" ca="1" si="81"/>
        <v>0</v>
      </c>
      <c r="AS238" s="109">
        <f t="shared" ca="1" si="81"/>
        <v>0</v>
      </c>
      <c r="AT238" s="109">
        <f t="shared" ca="1" si="81"/>
        <v>0</v>
      </c>
      <c r="AU238" s="109">
        <f t="shared" ca="1" si="81"/>
        <v>0</v>
      </c>
      <c r="AV238" s="109">
        <f t="shared" ca="1" si="81"/>
        <v>0</v>
      </c>
      <c r="AW238" s="109">
        <f t="shared" ca="1" si="81"/>
        <v>0</v>
      </c>
      <c r="AX238" s="109">
        <f t="shared" ca="1" si="81"/>
        <v>0</v>
      </c>
    </row>
    <row r="239" spans="1:50" s="109" customFormat="1" ht="15" customHeight="1" x14ac:dyDescent="0.25">
      <c r="A239" s="106"/>
      <c r="B239" s="168"/>
    </row>
    <row r="240" spans="1:50" s="109" customFormat="1" ht="15" customHeight="1" x14ac:dyDescent="0.25">
      <c r="A240" s="106"/>
      <c r="B240" s="168"/>
      <c r="E240" s="109" t="str">
        <f>Translate!E$755 &amp; B229</f>
        <v>Check: Cashflows: FID forward, real</v>
      </c>
      <c r="F240" s="71">
        <f ca="1" xml:space="preserve"> MIN( 1, SUM(K240:AX240))</f>
        <v>0</v>
      </c>
      <c r="G240" s="109" t="str">
        <f xml:space="preserve"> Translate!E$604</f>
        <v>Check</v>
      </c>
      <c r="I240" s="109">
        <f ca="1" xml:space="preserve"> SUM(K240:AX240)</f>
        <v>0</v>
      </c>
      <c r="K240" s="71">
        <f t="shared" ref="K240:AX240" ca="1" si="82" xml:space="preserve"> IF( ABS(K230 + K231 - SUM(K234:K236)) &gt; CHK_TOL, 1, 0)</f>
        <v>0</v>
      </c>
      <c r="L240" s="71">
        <f t="shared" ca="1" si="82"/>
        <v>0</v>
      </c>
      <c r="M240" s="71">
        <f t="shared" ca="1" si="82"/>
        <v>0</v>
      </c>
      <c r="N240" s="71">
        <f t="shared" ca="1" si="82"/>
        <v>0</v>
      </c>
      <c r="O240" s="71">
        <f t="shared" ca="1" si="82"/>
        <v>0</v>
      </c>
      <c r="P240" s="71">
        <f t="shared" ca="1" si="82"/>
        <v>0</v>
      </c>
      <c r="Q240" s="71">
        <f t="shared" ca="1" si="82"/>
        <v>0</v>
      </c>
      <c r="R240" s="71">
        <f t="shared" ca="1" si="82"/>
        <v>0</v>
      </c>
      <c r="S240" s="71">
        <f t="shared" ca="1" si="82"/>
        <v>0</v>
      </c>
      <c r="T240" s="71">
        <f t="shared" ca="1" si="82"/>
        <v>0</v>
      </c>
      <c r="U240" s="71">
        <f t="shared" ca="1" si="82"/>
        <v>0</v>
      </c>
      <c r="V240" s="71">
        <f t="shared" ca="1" si="82"/>
        <v>0</v>
      </c>
      <c r="W240" s="71">
        <f t="shared" ca="1" si="82"/>
        <v>0</v>
      </c>
      <c r="X240" s="71">
        <f t="shared" ca="1" si="82"/>
        <v>0</v>
      </c>
      <c r="Y240" s="71">
        <f t="shared" ca="1" si="82"/>
        <v>0</v>
      </c>
      <c r="Z240" s="71">
        <f t="shared" ca="1" si="82"/>
        <v>0</v>
      </c>
      <c r="AA240" s="71">
        <f t="shared" ca="1" si="82"/>
        <v>0</v>
      </c>
      <c r="AB240" s="71">
        <f t="shared" ca="1" si="82"/>
        <v>0</v>
      </c>
      <c r="AC240" s="71">
        <f t="shared" ca="1" si="82"/>
        <v>0</v>
      </c>
      <c r="AD240" s="71">
        <f t="shared" ca="1" si="82"/>
        <v>0</v>
      </c>
      <c r="AE240" s="71">
        <f t="shared" ca="1" si="82"/>
        <v>0</v>
      </c>
      <c r="AF240" s="71">
        <f t="shared" ca="1" si="82"/>
        <v>0</v>
      </c>
      <c r="AG240" s="71">
        <f t="shared" ca="1" si="82"/>
        <v>0</v>
      </c>
      <c r="AH240" s="71">
        <f t="shared" ca="1" si="82"/>
        <v>0</v>
      </c>
      <c r="AI240" s="71">
        <f t="shared" ca="1" si="82"/>
        <v>0</v>
      </c>
      <c r="AJ240" s="71">
        <f t="shared" ca="1" si="82"/>
        <v>0</v>
      </c>
      <c r="AK240" s="71">
        <f t="shared" ca="1" si="82"/>
        <v>0</v>
      </c>
      <c r="AL240" s="71">
        <f t="shared" ca="1" si="82"/>
        <v>0</v>
      </c>
      <c r="AM240" s="71">
        <f t="shared" ca="1" si="82"/>
        <v>0</v>
      </c>
      <c r="AN240" s="71">
        <f t="shared" ca="1" si="82"/>
        <v>0</v>
      </c>
      <c r="AO240" s="71">
        <f t="shared" ca="1" si="82"/>
        <v>0</v>
      </c>
      <c r="AP240" s="71">
        <f t="shared" ca="1" si="82"/>
        <v>0</v>
      </c>
      <c r="AQ240" s="71">
        <f t="shared" ca="1" si="82"/>
        <v>0</v>
      </c>
      <c r="AR240" s="71">
        <f t="shared" ca="1" si="82"/>
        <v>0</v>
      </c>
      <c r="AS240" s="71">
        <f t="shared" ca="1" si="82"/>
        <v>0</v>
      </c>
      <c r="AT240" s="71">
        <f t="shared" ca="1" si="82"/>
        <v>0</v>
      </c>
      <c r="AU240" s="71">
        <f t="shared" ca="1" si="82"/>
        <v>0</v>
      </c>
      <c r="AV240" s="71">
        <f t="shared" ca="1" si="82"/>
        <v>0</v>
      </c>
      <c r="AW240" s="71">
        <f t="shared" ca="1" si="82"/>
        <v>0</v>
      </c>
      <c r="AX240" s="71">
        <f t="shared" ca="1" si="82"/>
        <v>0</v>
      </c>
    </row>
    <row r="241" spans="1:7" s="109" customFormat="1" ht="15" customHeight="1" x14ac:dyDescent="0.25">
      <c r="A241" s="106"/>
      <c r="B241" s="168"/>
    </row>
    <row r="242" spans="1:7" s="109" customFormat="1" ht="15" customHeight="1" x14ac:dyDescent="0.25">
      <c r="A242" s="106"/>
      <c r="B242" s="168"/>
      <c r="E242" s="109" t="str">
        <f xml:space="preserve"> Translate!E$601 &amp; ": " &amp; E230</f>
        <v>Total: Cashflow before decommissioning fund: FID forward</v>
      </c>
      <c r="F242" s="191">
        <f t="shared" ref="F242:F250" ca="1" si="83" xml:space="preserve"> SUM(K230:AX230)</f>
        <v>29702.023863224542</v>
      </c>
      <c r="G242" s="109" t="str">
        <f t="shared" ref="G242:G250" si="84" xml:space="preserve"> G230</f>
        <v>US$ mn 2021</v>
      </c>
    </row>
    <row r="243" spans="1:7" s="109" customFormat="1" ht="15" customHeight="1" x14ac:dyDescent="0.25">
      <c r="A243" s="106"/>
      <c r="B243" s="168"/>
      <c r="E243" s="109" t="str">
        <f xml:space="preserve"> Translate!E$601 &amp; ": " &amp; E231</f>
        <v>Total: Net decommissioning cashflows: FID forward</v>
      </c>
      <c r="F243" s="191">
        <f t="shared" ca="1" si="83"/>
        <v>-15.100000000000165</v>
      </c>
      <c r="G243" s="109" t="str">
        <f t="shared" si="84"/>
        <v>US$ mn 2021</v>
      </c>
    </row>
    <row r="244" spans="1:7" s="109" customFormat="1" ht="15" customHeight="1" x14ac:dyDescent="0.25">
      <c r="A244" s="106"/>
      <c r="B244" s="168"/>
      <c r="E244" s="109" t="str">
        <f xml:space="preserve"> Translate!E$601 &amp; ": " &amp; E232</f>
        <v>Total: Government revenues excluding participation: FID forward</v>
      </c>
      <c r="F244" s="191">
        <f t="shared" ca="1" si="83"/>
        <v>16046.404234002974</v>
      </c>
      <c r="G244" s="109" t="str">
        <f t="shared" si="84"/>
        <v>US$ mn 2021</v>
      </c>
    </row>
    <row r="245" spans="1:7" s="109" customFormat="1" ht="15" customHeight="1" x14ac:dyDescent="0.25">
      <c r="A245" s="106"/>
      <c r="B245" s="168"/>
      <c r="E245" s="109" t="str">
        <f xml:space="preserve"> Translate!E$601 &amp; ": " &amp; E233</f>
        <v>Total: SOC net cash flow before tax, after carried interest, including share of lender cashflows: FID forward</v>
      </c>
      <c r="F245" s="191">
        <f t="shared" ca="1" si="83"/>
        <v>3982.9846625612686</v>
      </c>
      <c r="G245" s="109" t="str">
        <f t="shared" si="84"/>
        <v>US$ mn 2021</v>
      </c>
    </row>
    <row r="246" spans="1:7" s="109" customFormat="1" ht="15" customHeight="1" x14ac:dyDescent="0.25">
      <c r="A246" s="106"/>
      <c r="B246" s="168"/>
      <c r="E246" s="109" t="str">
        <f xml:space="preserve"> Translate!E$601 &amp; ": " &amp; E234</f>
        <v>Total: Government revenues including participation: FID forward</v>
      </c>
      <c r="F246" s="191">
        <f t="shared" ca="1" si="83"/>
        <v>20029.388896564244</v>
      </c>
      <c r="G246" s="109" t="str">
        <f t="shared" si="84"/>
        <v>US$ mn 2021</v>
      </c>
    </row>
    <row r="247" spans="1:7" s="109" customFormat="1" ht="15" customHeight="1" x14ac:dyDescent="0.25">
      <c r="A247" s="106"/>
      <c r="B247" s="168"/>
      <c r="E247" s="109" t="str">
        <f xml:space="preserve"> Translate!E$601 &amp; ": " &amp; E235</f>
        <v>Total: Net cashflow after fiscal regime: IOC: FID forward</v>
      </c>
      <c r="F247" s="191">
        <f t="shared" ca="1" si="83"/>
        <v>9134.1330285901367</v>
      </c>
      <c r="G247" s="109" t="str">
        <f t="shared" si="84"/>
        <v>US$ mn 2021</v>
      </c>
    </row>
    <row r="248" spans="1:7" s="109" customFormat="1" ht="15" customHeight="1" x14ac:dyDescent="0.25">
      <c r="A248" s="106"/>
      <c r="B248" s="168"/>
      <c r="E248" s="109" t="str">
        <f xml:space="preserve"> Translate!E$601 &amp; ": " &amp; E236</f>
        <v>Total: Lender cashflows after interest withholding tax: IOC parent: FID forward</v>
      </c>
      <c r="F248" s="191">
        <f t="shared" ca="1" si="83"/>
        <v>523.4019380701593</v>
      </c>
      <c r="G248" s="109" t="str">
        <f t="shared" si="84"/>
        <v>US$ mn 2021</v>
      </c>
    </row>
    <row r="249" spans="1:7" s="109" customFormat="1" ht="15" customHeight="1" x14ac:dyDescent="0.25">
      <c r="A249" s="106"/>
      <c r="B249" s="168"/>
      <c r="E249" s="109" t="str">
        <f xml:space="preserve"> Translate!E$601 &amp; ": " &amp; E237</f>
        <v>Total: Investors (IOC + Lender): FID forward</v>
      </c>
      <c r="F249" s="191">
        <f t="shared" ca="1" si="83"/>
        <v>9657.534966660296</v>
      </c>
      <c r="G249" s="109" t="str">
        <f t="shared" si="84"/>
        <v>US$ mn 2021</v>
      </c>
    </row>
    <row r="250" spans="1:7" s="109" customFormat="1" ht="15" customHeight="1" x14ac:dyDescent="0.25">
      <c r="A250" s="106"/>
      <c r="B250" s="168"/>
      <c r="E250" s="109" t="str">
        <f xml:space="preserve"> Translate!E$601 &amp; ": " &amp; E238</f>
        <v>Total: Project benefits: FID forward</v>
      </c>
      <c r="F250" s="109">
        <f t="shared" ca="1" si="83"/>
        <v>38752.023863224538</v>
      </c>
      <c r="G250" s="109" t="str">
        <f t="shared" si="84"/>
        <v>US$ mn 2021</v>
      </c>
    </row>
    <row r="251" spans="1:7" s="109" customFormat="1" ht="15" customHeight="1" x14ac:dyDescent="0.25">
      <c r="A251" s="106"/>
      <c r="B251" s="168"/>
    </row>
    <row r="252" spans="1:7" s="109" customFormat="1" ht="15" customHeight="1" x14ac:dyDescent="0.25">
      <c r="A252" s="106"/>
      <c r="B252" s="168"/>
      <c r="E252" s="109" t="str">
        <f>Translate!E$755 &amp; Translate!E$601 &amp; " " &amp; B$229</f>
        <v>Check: Total Cashflows: FID forward, real</v>
      </c>
      <c r="F252" s="71">
        <f ca="1" xml:space="preserve"> IF( ABS(F242 + F243 - SUM(F246:F248) ) &gt; CHK_TOL, 1, 0)</f>
        <v>0</v>
      </c>
      <c r="G252" s="109" t="str">
        <f xml:space="preserve"> Translate!E$604</f>
        <v>Check</v>
      </c>
    </row>
    <row r="253" spans="1:7" s="109" customFormat="1" ht="15" customHeight="1" x14ac:dyDescent="0.25">
      <c r="A253" s="106"/>
      <c r="B253" s="168"/>
    </row>
    <row r="254" spans="1:7" s="109" customFormat="1" ht="15" customHeight="1" x14ac:dyDescent="0.25">
      <c r="A254" s="106"/>
      <c r="B254" s="189" t="str">
        <f>Translate!$E$703  &amp; ": "  &amp; Inputs!F$90 &amp; ", " &amp; Inputs!F$91</f>
        <v>Government share metrics: FID forward, real</v>
      </c>
    </row>
    <row r="255" spans="1:7" s="109" customFormat="1" ht="15" customHeight="1" x14ac:dyDescent="0.25">
      <c r="A255" s="106"/>
      <c r="B255" s="168"/>
      <c r="E255" s="109" t="str">
        <f>Translate!$E$707</f>
        <v>Average effective tax rate (excl. participation)</v>
      </c>
      <c r="F255" s="76">
        <f ca="1" xml:space="preserve"> F244 / F242</f>
        <v>0.54024615655469777</v>
      </c>
      <c r="G255" s="109" t="str">
        <f>"% " &amp; Inputs!F$90 &amp; ", " &amp; Inputs!F$91 &amp; ", " &amp; Inputs!F$93</f>
        <v>% FID forward, real, undiscounted</v>
      </c>
    </row>
    <row r="256" spans="1:7" s="109" customFormat="1" ht="15" customHeight="1" x14ac:dyDescent="0.25">
      <c r="A256" s="106"/>
      <c r="B256" s="168"/>
      <c r="E256" s="191" t="str">
        <f>Translate!$E$708</f>
        <v>Average effective tax rate (incl. participation)</v>
      </c>
      <c r="F256" s="997">
        <f ca="1" xml:space="preserve"> F246 / F242</f>
        <v>0.67434424633142798</v>
      </c>
      <c r="G256" s="109" t="str">
        <f>"% " &amp; Inputs!F$90 &amp; ", " &amp; Inputs!F$91 &amp; ", " &amp; Inputs!F$93</f>
        <v>% FID forward, real, undiscounted</v>
      </c>
    </row>
    <row r="257" spans="1:50" s="109" customFormat="1" ht="15" customHeight="1" x14ac:dyDescent="0.25">
      <c r="A257" s="106"/>
      <c r="B257" s="168"/>
      <c r="E257" s="109" t="str">
        <f>Translate!$E$119</f>
        <v>Government share of project benefits</v>
      </c>
      <c r="F257" s="334">
        <f ca="1" xml:space="preserve"> F246 / F250</f>
        <v>0.51686046043061062</v>
      </c>
      <c r="G257" s="109" t="str">
        <f>"% " &amp; Inputs!F$90 &amp; ", " &amp; Inputs!F$91 &amp; ", " &amp; Inputs!F$93</f>
        <v>% FID forward, real, undiscounted</v>
      </c>
    </row>
    <row r="258" spans="1:50" s="109" customFormat="1" ht="15" customHeight="1" x14ac:dyDescent="0.25">
      <c r="A258" s="106"/>
      <c r="B258" s="168"/>
    </row>
    <row r="259" spans="1:50" s="109" customFormat="1" ht="15" customHeight="1" x14ac:dyDescent="0.25">
      <c r="A259" s="106"/>
      <c r="B259" s="189" t="str">
        <f xml:space="preserve"> Translate!E$624  &amp; ": "  &amp; Inputs!F$90 &amp; ", " &amp; Inputs!F$91</f>
        <v>IRR: FID forward, real</v>
      </c>
    </row>
    <row r="260" spans="1:50" s="109" customFormat="1" ht="15" customHeight="1" x14ac:dyDescent="0.25">
      <c r="A260" s="106"/>
      <c r="B260" s="168"/>
      <c r="E260" s="109" t="str">
        <f xml:space="preserve"> E230</f>
        <v>Cashflow before decommissioning fund: FID forward</v>
      </c>
      <c r="F260" s="334">
        <f ca="1" xml:space="preserve"> IFERROR( IRR( K230:AX230), 0)</f>
        <v>0.39148985987226625</v>
      </c>
      <c r="G260" s="109" t="str">
        <f>" " &amp; Translate!E$408 &amp; " " &amp; G231</f>
        <v xml:space="preserve"> % p.a. US$ mn 2021</v>
      </c>
    </row>
    <row r="261" spans="1:50" s="109" customFormat="1" ht="15" customHeight="1" x14ac:dyDescent="0.25">
      <c r="A261" s="106"/>
      <c r="B261" s="168"/>
      <c r="E261" s="109" t="str">
        <f xml:space="preserve"> E235</f>
        <v>Net cashflow after fiscal regime: IOC: FID forward</v>
      </c>
      <c r="F261" s="334">
        <f ca="1" xml:space="preserve"> IFERROR( IRR( K235:AX235), 0)</f>
        <v>0.4755504698958648</v>
      </c>
      <c r="G261" s="109" t="str">
        <f>" " &amp; Translate!E$408 &amp; " " &amp; G235</f>
        <v xml:space="preserve"> % p.a. US$ mn 2021</v>
      </c>
    </row>
    <row r="262" spans="1:50" s="109" customFormat="1" ht="15" customHeight="1" x14ac:dyDescent="0.25">
      <c r="A262" s="106"/>
      <c r="B262" s="168"/>
      <c r="E262" s="109" t="str">
        <f xml:space="preserve"> E236</f>
        <v>Lender cashflows after interest withholding tax: IOC parent: FID forward</v>
      </c>
      <c r="F262" s="334">
        <f ca="1" xml:space="preserve"> IFERROR( IRR( K236:AX236), 0)</f>
        <v>3.0303570450990636E-2</v>
      </c>
      <c r="G262" s="109" t="str">
        <f>" " &amp; Translate!E$408 &amp; " " &amp; G236</f>
        <v xml:space="preserve"> % p.a. US$ mn 2021</v>
      </c>
    </row>
    <row r="263" spans="1:50" s="109" customFormat="1" ht="15" customHeight="1" x14ac:dyDescent="0.25">
      <c r="A263" s="106"/>
      <c r="B263" s="168"/>
      <c r="E263" s="109" t="str">
        <f xml:space="preserve"> E237</f>
        <v>Investors (IOC + Lender): FID forward</v>
      </c>
      <c r="F263" s="334">
        <f ca="1" xml:space="preserve"> IFERROR( IRR( K237:AX237), 0)</f>
        <v>0.21546251757197021</v>
      </c>
      <c r="G263" s="109" t="str">
        <f>" " &amp; Translate!E$408 &amp; " " &amp; G237</f>
        <v xml:space="preserve"> % p.a. US$ mn 2021</v>
      </c>
    </row>
    <row r="264" spans="1:50" s="109" customFormat="1" ht="15" customHeight="1" x14ac:dyDescent="0.25">
      <c r="A264" s="106"/>
      <c r="B264" s="168"/>
      <c r="E264" s="109" t="str">
        <f xml:space="preserve"> E233</f>
        <v>SOC net cash flow before tax, after carried interest, including share of lender cashflows: FID forward</v>
      </c>
      <c r="F264" s="76">
        <f ca="1" xml:space="preserve"> IFERROR( IRR( K233:AX233), 0)</f>
        <v>0.30921009023404911</v>
      </c>
      <c r="G264" s="109" t="str">
        <f>" " &amp; Translate!E$408 &amp; " " &amp; G233</f>
        <v xml:space="preserve"> % p.a. US$ mn 2021</v>
      </c>
    </row>
    <row r="265" spans="1:50" s="109" customFormat="1" ht="15" customHeight="1" x14ac:dyDescent="0.25">
      <c r="A265" s="106"/>
      <c r="B265" s="168"/>
    </row>
    <row r="266" spans="1:50" s="109" customFormat="1" ht="15" customHeight="1" x14ac:dyDescent="0.25">
      <c r="A266" s="106"/>
      <c r="B266" s="189" t="str">
        <f>Translate!$E$700  &amp; ": "  &amp; Inputs!F$90 &amp; ", " &amp; Inputs!F$91 &amp; ", " &amp; Inputs!F$93</f>
        <v>Payback: FID forward, real, undiscounted</v>
      </c>
    </row>
    <row r="267" spans="1:50" s="109" customFormat="1" ht="15" customHeight="1" x14ac:dyDescent="0.25">
      <c r="A267" s="106"/>
      <c r="B267" s="189"/>
      <c r="E267" s="109" t="str">
        <f t="shared" ref="E267:AX267" si="85" xml:space="preserve"> E230</f>
        <v>Cashflow before decommissioning fund: FID forward</v>
      </c>
      <c r="F267" s="109">
        <f t="shared" si="85"/>
        <v>0</v>
      </c>
      <c r="G267" s="109" t="str">
        <f t="shared" si="85"/>
        <v>US$ mn 2021</v>
      </c>
      <c r="H267" s="109">
        <f t="shared" si="85"/>
        <v>0</v>
      </c>
      <c r="I267" s="109">
        <f t="shared" si="85"/>
        <v>0</v>
      </c>
      <c r="J267" s="109">
        <f t="shared" si="85"/>
        <v>0</v>
      </c>
      <c r="K267" s="109">
        <f t="shared" ca="1" si="85"/>
        <v>0</v>
      </c>
      <c r="L267" s="109">
        <f t="shared" ca="1" si="85"/>
        <v>-50</v>
      </c>
      <c r="M267" s="109">
        <f t="shared" ca="1" si="85"/>
        <v>-300</v>
      </c>
      <c r="N267" s="109">
        <f t="shared" ca="1" si="85"/>
        <v>-1200</v>
      </c>
      <c r="O267" s="109">
        <f t="shared" ca="1" si="85"/>
        <v>-1058.3416418356894</v>
      </c>
      <c r="P267" s="109">
        <f t="shared" ca="1" si="85"/>
        <v>-774.37500000000011</v>
      </c>
      <c r="Q267" s="109">
        <f t="shared" ca="1" si="85"/>
        <v>1651.2500000000002</v>
      </c>
      <c r="R267" s="109">
        <f t="shared" ca="1" si="85"/>
        <v>2301.25</v>
      </c>
      <c r="S267" s="109">
        <f t="shared" ca="1" si="85"/>
        <v>2501.25</v>
      </c>
      <c r="T267" s="109">
        <f t="shared" ca="1" si="85"/>
        <v>2501.2500000000005</v>
      </c>
      <c r="U267" s="109">
        <f t="shared" ca="1" si="85"/>
        <v>2501.2499999999995</v>
      </c>
      <c r="V267" s="109">
        <f t="shared" ca="1" si="85"/>
        <v>2501.25</v>
      </c>
      <c r="W267" s="109">
        <f t="shared" ca="1" si="85"/>
        <v>2501.25</v>
      </c>
      <c r="X267" s="109">
        <f t="shared" ca="1" si="85"/>
        <v>2501.25</v>
      </c>
      <c r="Y267" s="109">
        <f t="shared" ca="1" si="85"/>
        <v>2501.25</v>
      </c>
      <c r="Z267" s="109">
        <f t="shared" ca="1" si="85"/>
        <v>2501.25</v>
      </c>
      <c r="AA267" s="109">
        <f t="shared" ca="1" si="85"/>
        <v>1929.1125000000006</v>
      </c>
      <c r="AB267" s="109">
        <f t="shared" ca="1" si="85"/>
        <v>1715.6811250000007</v>
      </c>
      <c r="AC267" s="109">
        <f t="shared" ca="1" si="85"/>
        <v>1450.3017112500004</v>
      </c>
      <c r="AD267" s="109">
        <f t="shared" ca="1" si="85"/>
        <v>956.24438611250082</v>
      </c>
      <c r="AE267" s="109">
        <f t="shared" ca="1" si="85"/>
        <v>729.9579527511255</v>
      </c>
      <c r="AF267" s="109">
        <f t="shared" ca="1" si="85"/>
        <v>739.46594172841185</v>
      </c>
      <c r="AG267" s="109">
        <f t="shared" ca="1" si="85"/>
        <v>588.87741280001364</v>
      </c>
      <c r="AH267" s="109">
        <f t="shared" ca="1" si="85"/>
        <v>462.99070436801105</v>
      </c>
      <c r="AI267" s="109">
        <f t="shared" ca="1" si="85"/>
        <v>361.972470538089</v>
      </c>
      <c r="AJ267" s="109">
        <f t="shared" ca="1" si="85"/>
        <v>281.09770113585205</v>
      </c>
      <c r="AK267" s="109">
        <f t="shared" ca="1" si="85"/>
        <v>216.53913792004025</v>
      </c>
      <c r="AL267" s="109">
        <f t="shared" ca="1" si="85"/>
        <v>-84.803298284767507</v>
      </c>
      <c r="AM267" s="109">
        <f t="shared" ca="1" si="85"/>
        <v>124.55932838933838</v>
      </c>
      <c r="AN267" s="109">
        <f t="shared" ca="1" si="85"/>
        <v>87.593055995364097</v>
      </c>
      <c r="AO267" s="109">
        <f t="shared" ca="1" si="85"/>
        <v>62.650375356244943</v>
      </c>
      <c r="AP267" s="109">
        <f t="shared" ca="1" si="85"/>
        <v>-250</v>
      </c>
      <c r="AQ267" s="109">
        <f t="shared" ca="1" si="85"/>
        <v>-250</v>
      </c>
      <c r="AR267" s="109">
        <f t="shared" ca="1" si="85"/>
        <v>0</v>
      </c>
      <c r="AS267" s="109">
        <f t="shared" ca="1" si="85"/>
        <v>0</v>
      </c>
      <c r="AT267" s="109">
        <f t="shared" ca="1" si="85"/>
        <v>0</v>
      </c>
      <c r="AU267" s="109">
        <f t="shared" ca="1" si="85"/>
        <v>0</v>
      </c>
      <c r="AV267" s="109">
        <f t="shared" ca="1" si="85"/>
        <v>0</v>
      </c>
      <c r="AW267" s="109">
        <f t="shared" ca="1" si="85"/>
        <v>0</v>
      </c>
      <c r="AX267" s="109">
        <f t="shared" ca="1" si="85"/>
        <v>0</v>
      </c>
    </row>
    <row r="268" spans="1:50" s="109" customFormat="1" ht="15" customHeight="1" x14ac:dyDescent="0.25">
      <c r="A268" s="106"/>
      <c r="B268" s="189"/>
      <c r="E268" s="109" t="str">
        <f t="shared" ref="E268:AX268" si="86" xml:space="preserve"> E237</f>
        <v>Investors (IOC + Lender): FID forward</v>
      </c>
      <c r="F268" s="109">
        <f t="shared" si="86"/>
        <v>0</v>
      </c>
      <c r="G268" s="109" t="str">
        <f t="shared" si="86"/>
        <v>US$ mn 2021</v>
      </c>
      <c r="H268" s="109">
        <f t="shared" si="86"/>
        <v>0</v>
      </c>
      <c r="I268" s="109">
        <f t="shared" si="86"/>
        <v>0</v>
      </c>
      <c r="J268" s="109">
        <f t="shared" si="86"/>
        <v>0</v>
      </c>
      <c r="K268" s="109">
        <f t="shared" ca="1" si="86"/>
        <v>0</v>
      </c>
      <c r="L268" s="109">
        <f t="shared" ca="1" si="86"/>
        <v>-43</v>
      </c>
      <c r="M268" s="109">
        <f t="shared" ca="1" si="86"/>
        <v>-258</v>
      </c>
      <c r="N268" s="109">
        <f t="shared" ca="1" si="86"/>
        <v>-1032</v>
      </c>
      <c r="O268" s="109">
        <f t="shared" ca="1" si="86"/>
        <v>-978.92424811633282</v>
      </c>
      <c r="P268" s="109">
        <f t="shared" ca="1" si="86"/>
        <v>-849.08289472108777</v>
      </c>
      <c r="Q268" s="109">
        <f t="shared" ca="1" si="86"/>
        <v>817.22714688696817</v>
      </c>
      <c r="R268" s="109">
        <f t="shared" ca="1" si="86"/>
        <v>1104.5073597221574</v>
      </c>
      <c r="S268" s="109">
        <f t="shared" ca="1" si="86"/>
        <v>1175.653451918889</v>
      </c>
      <c r="T268" s="109">
        <f t="shared" ca="1" si="86"/>
        <v>1051.5133772538998</v>
      </c>
      <c r="U268" s="109">
        <f t="shared" ca="1" si="86"/>
        <v>959.68492901622801</v>
      </c>
      <c r="V268" s="109">
        <f t="shared" ca="1" si="86"/>
        <v>915.38702460838545</v>
      </c>
      <c r="W268" s="109">
        <f t="shared" ca="1" si="86"/>
        <v>878.18672453693159</v>
      </c>
      <c r="X268" s="109">
        <f t="shared" ca="1" si="86"/>
        <v>874.44589592601972</v>
      </c>
      <c r="Y268" s="109">
        <f t="shared" ca="1" si="86"/>
        <v>870.85488937407717</v>
      </c>
      <c r="Z268" s="109">
        <f t="shared" ca="1" si="86"/>
        <v>867.40926773331307</v>
      </c>
      <c r="AA268" s="109">
        <f t="shared" ca="1" si="86"/>
        <v>631.30979508418841</v>
      </c>
      <c r="AB268" s="109">
        <f t="shared" ca="1" si="86"/>
        <v>629.55137532863637</v>
      </c>
      <c r="AC268" s="109">
        <f t="shared" ca="1" si="86"/>
        <v>531.67039239752637</v>
      </c>
      <c r="AD268" s="109">
        <f t="shared" ca="1" si="86"/>
        <v>279.36483827324702</v>
      </c>
      <c r="AE268" s="109">
        <f t="shared" ca="1" si="86"/>
        <v>196.89100006805074</v>
      </c>
      <c r="AF268" s="109">
        <f t="shared" ca="1" si="86"/>
        <v>260.96952201911745</v>
      </c>
      <c r="AG268" s="109">
        <f t="shared" ca="1" si="86"/>
        <v>229.14032679318095</v>
      </c>
      <c r="AH268" s="109">
        <f t="shared" ca="1" si="86"/>
        <v>178.38733129057556</v>
      </c>
      <c r="AI268" s="109">
        <f t="shared" ca="1" si="86"/>
        <v>127.61025825921733</v>
      </c>
      <c r="AJ268" s="109">
        <f t="shared" ca="1" si="86"/>
        <v>85.23294558518721</v>
      </c>
      <c r="AK268" s="109">
        <f t="shared" ca="1" si="86"/>
        <v>59.840347482615819</v>
      </c>
      <c r="AL268" s="109">
        <f t="shared" ca="1" si="86"/>
        <v>39.825147309059105</v>
      </c>
      <c r="AM268" s="109">
        <f t="shared" ca="1" si="86"/>
        <v>31.00386766375447</v>
      </c>
      <c r="AN268" s="109">
        <f t="shared" ca="1" si="86"/>
        <v>16.13936659434588</v>
      </c>
      <c r="AO268" s="109">
        <f t="shared" ca="1" si="86"/>
        <v>6.735528372146443</v>
      </c>
      <c r="AP268" s="109">
        <f t="shared" ca="1" si="86"/>
        <v>0</v>
      </c>
      <c r="AQ268" s="109">
        <f t="shared" ca="1" si="86"/>
        <v>0</v>
      </c>
      <c r="AR268" s="109">
        <f t="shared" ca="1" si="86"/>
        <v>0</v>
      </c>
      <c r="AS268" s="109">
        <f t="shared" ca="1" si="86"/>
        <v>0</v>
      </c>
      <c r="AT268" s="109">
        <f t="shared" ca="1" si="86"/>
        <v>0</v>
      </c>
      <c r="AU268" s="109">
        <f t="shared" ca="1" si="86"/>
        <v>0</v>
      </c>
      <c r="AV268" s="109">
        <f t="shared" ca="1" si="86"/>
        <v>0</v>
      </c>
      <c r="AW268" s="109">
        <f t="shared" ca="1" si="86"/>
        <v>0</v>
      </c>
      <c r="AX268" s="109">
        <f t="shared" ca="1" si="86"/>
        <v>0</v>
      </c>
    </row>
    <row r="269" spans="1:50" s="109" customFormat="1" ht="15" customHeight="1" x14ac:dyDescent="0.25">
      <c r="A269" s="106"/>
      <c r="B269" s="168"/>
      <c r="E269" s="109" t="str">
        <f xml:space="preserve"> E267 &amp; ": " &amp; Translate!E$811</f>
        <v>Cashflow before decommissioning fund: FID forward: cumulative</v>
      </c>
      <c r="G269" s="109" t="str">
        <f xml:space="preserve"> G231</f>
        <v>US$ mn 2021</v>
      </c>
      <c r="J269" s="293"/>
      <c r="K269" s="109">
        <f t="shared" ref="K269:AC269" ca="1" si="87" xml:space="preserve"> J269 + K267</f>
        <v>0</v>
      </c>
      <c r="L269" s="109">
        <f t="shared" ca="1" si="87"/>
        <v>-50</v>
      </c>
      <c r="M269" s="109">
        <f t="shared" ca="1" si="87"/>
        <v>-350</v>
      </c>
      <c r="N269" s="109">
        <f t="shared" ca="1" si="87"/>
        <v>-1550</v>
      </c>
      <c r="O269" s="109">
        <f t="shared" ca="1" si="87"/>
        <v>-2608.3416418356892</v>
      </c>
      <c r="P269" s="109">
        <f t="shared" ca="1" si="87"/>
        <v>-3382.7166418356892</v>
      </c>
      <c r="Q269" s="109">
        <f t="shared" ca="1" si="87"/>
        <v>-1731.466641835689</v>
      </c>
      <c r="R269" s="109">
        <f t="shared" ca="1" si="87"/>
        <v>569.78335816431104</v>
      </c>
      <c r="S269" s="109">
        <f t="shared" ca="1" si="87"/>
        <v>3071.0333581643108</v>
      </c>
      <c r="T269" s="109">
        <f t="shared" ca="1" si="87"/>
        <v>5572.2833581643117</v>
      </c>
      <c r="U269" s="109">
        <f t="shared" ca="1" si="87"/>
        <v>8073.5333581643117</v>
      </c>
      <c r="V269" s="109">
        <f t="shared" ca="1" si="87"/>
        <v>10574.783358164312</v>
      </c>
      <c r="W269" s="109">
        <f t="shared" ca="1" si="87"/>
        <v>13076.033358164312</v>
      </c>
      <c r="X269" s="109">
        <f t="shared" ca="1" si="87"/>
        <v>15577.283358164312</v>
      </c>
      <c r="Y269" s="109">
        <f t="shared" ca="1" si="87"/>
        <v>18078.533358164314</v>
      </c>
      <c r="Z269" s="109">
        <f t="shared" ca="1" si="87"/>
        <v>20579.783358164314</v>
      </c>
      <c r="AA269" s="109">
        <f t="shared" ca="1" si="87"/>
        <v>22508.895858164313</v>
      </c>
      <c r="AB269" s="109">
        <f t="shared" ca="1" si="87"/>
        <v>24224.576983164312</v>
      </c>
      <c r="AC269" s="109">
        <f t="shared" ca="1" si="87"/>
        <v>25674.878694414314</v>
      </c>
      <c r="AD269" s="109">
        <f t="shared" ref="AD269:AX269" ca="1" si="88" xml:space="preserve"> AC269 + AD267</f>
        <v>26631.123080526813</v>
      </c>
      <c r="AE269" s="109">
        <f t="shared" ca="1" si="88"/>
        <v>27361.08103327794</v>
      </c>
      <c r="AF269" s="109">
        <f t="shared" ca="1" si="88"/>
        <v>28100.546975006353</v>
      </c>
      <c r="AG269" s="109">
        <f t="shared" ca="1" si="88"/>
        <v>28689.424387806368</v>
      </c>
      <c r="AH269" s="109">
        <f t="shared" ca="1" si="88"/>
        <v>29152.415092174379</v>
      </c>
      <c r="AI269" s="109">
        <f t="shared" ca="1" si="88"/>
        <v>29514.387562712469</v>
      </c>
      <c r="AJ269" s="109">
        <f t="shared" ca="1" si="88"/>
        <v>29795.485263848321</v>
      </c>
      <c r="AK269" s="109">
        <f t="shared" ca="1" si="88"/>
        <v>30012.024401768362</v>
      </c>
      <c r="AL269" s="109">
        <f t="shared" ca="1" si="88"/>
        <v>29927.221103483593</v>
      </c>
      <c r="AM269" s="109">
        <f t="shared" ca="1" si="88"/>
        <v>30051.780431872932</v>
      </c>
      <c r="AN269" s="109">
        <f t="shared" ca="1" si="88"/>
        <v>30139.373487868295</v>
      </c>
      <c r="AO269" s="109">
        <f t="shared" ca="1" si="88"/>
        <v>30202.023863224542</v>
      </c>
      <c r="AP269" s="109">
        <f t="shared" ca="1" si="88"/>
        <v>29952.023863224542</v>
      </c>
      <c r="AQ269" s="109">
        <f t="shared" ca="1" si="88"/>
        <v>29702.023863224542</v>
      </c>
      <c r="AR269" s="109">
        <f t="shared" ca="1" si="88"/>
        <v>29702.023863224542</v>
      </c>
      <c r="AS269" s="109">
        <f t="shared" ca="1" si="88"/>
        <v>29702.023863224542</v>
      </c>
      <c r="AT269" s="109">
        <f t="shared" ca="1" si="88"/>
        <v>29702.023863224542</v>
      </c>
      <c r="AU269" s="109">
        <f t="shared" ca="1" si="88"/>
        <v>29702.023863224542</v>
      </c>
      <c r="AV269" s="109">
        <f t="shared" ca="1" si="88"/>
        <v>29702.023863224542</v>
      </c>
      <c r="AW269" s="109">
        <f t="shared" ca="1" si="88"/>
        <v>29702.023863224542</v>
      </c>
      <c r="AX269" s="109">
        <f t="shared" ca="1" si="88"/>
        <v>29702.023863224542</v>
      </c>
    </row>
    <row r="270" spans="1:50" s="109" customFormat="1" ht="15" customHeight="1" x14ac:dyDescent="0.25">
      <c r="A270" s="106"/>
      <c r="B270" s="168"/>
      <c r="E270" s="109" t="str">
        <f xml:space="preserve"> E268 &amp; ": " &amp; Translate!E$811</f>
        <v>Investors (IOC + Lender): FID forward: cumulative</v>
      </c>
      <c r="G270" s="109" t="str">
        <f xml:space="preserve"> G235</f>
        <v>US$ mn 2021</v>
      </c>
      <c r="J270" s="293"/>
      <c r="K270" s="109">
        <f t="shared" ref="K270:AC270" ca="1" si="89" xml:space="preserve"> J270 + K268</f>
        <v>0</v>
      </c>
      <c r="L270" s="109">
        <f t="shared" ca="1" si="89"/>
        <v>-43</v>
      </c>
      <c r="M270" s="109">
        <f t="shared" ca="1" si="89"/>
        <v>-301</v>
      </c>
      <c r="N270" s="109">
        <f t="shared" ca="1" si="89"/>
        <v>-1333</v>
      </c>
      <c r="O270" s="109">
        <f t="shared" ca="1" si="89"/>
        <v>-2311.9242481163328</v>
      </c>
      <c r="P270" s="109">
        <f t="shared" ca="1" si="89"/>
        <v>-3161.0071428374204</v>
      </c>
      <c r="Q270" s="109">
        <f t="shared" ca="1" si="89"/>
        <v>-2343.7799959504523</v>
      </c>
      <c r="R270" s="109">
        <f t="shared" ca="1" si="89"/>
        <v>-1239.2726362282949</v>
      </c>
      <c r="S270" s="109">
        <f t="shared" ca="1" si="89"/>
        <v>-63.61918430940591</v>
      </c>
      <c r="T270" s="109">
        <f t="shared" ca="1" si="89"/>
        <v>987.89419294449385</v>
      </c>
      <c r="U270" s="109">
        <f t="shared" ca="1" si="89"/>
        <v>1947.5791219607217</v>
      </c>
      <c r="V270" s="109">
        <f t="shared" ca="1" si="89"/>
        <v>2862.966146569107</v>
      </c>
      <c r="W270" s="109">
        <f t="shared" ca="1" si="89"/>
        <v>3741.1528711060387</v>
      </c>
      <c r="X270" s="109">
        <f t="shared" ca="1" si="89"/>
        <v>4615.5987670320583</v>
      </c>
      <c r="Y270" s="109">
        <f t="shared" ca="1" si="89"/>
        <v>5486.4536564061355</v>
      </c>
      <c r="Z270" s="109">
        <f t="shared" ca="1" si="89"/>
        <v>6353.8629241394483</v>
      </c>
      <c r="AA270" s="109">
        <f t="shared" ca="1" si="89"/>
        <v>6985.1727192236367</v>
      </c>
      <c r="AB270" s="109">
        <f t="shared" ca="1" si="89"/>
        <v>7614.7240945522735</v>
      </c>
      <c r="AC270" s="109">
        <f t="shared" ca="1" si="89"/>
        <v>8146.3944869498</v>
      </c>
      <c r="AD270" s="109">
        <f t="shared" ref="AD270:AX270" ca="1" si="90" xml:space="preserve"> AC270 + AD268</f>
        <v>8425.7593252230472</v>
      </c>
      <c r="AE270" s="109">
        <f t="shared" ca="1" si="90"/>
        <v>8622.6503252910989</v>
      </c>
      <c r="AF270" s="109">
        <f t="shared" ca="1" si="90"/>
        <v>8883.6198473102158</v>
      </c>
      <c r="AG270" s="109">
        <f t="shared" ca="1" si="90"/>
        <v>9112.7601741033959</v>
      </c>
      <c r="AH270" s="109">
        <f t="shared" ca="1" si="90"/>
        <v>9291.1475053939721</v>
      </c>
      <c r="AI270" s="109">
        <f t="shared" ca="1" si="90"/>
        <v>9418.7577636531896</v>
      </c>
      <c r="AJ270" s="109">
        <f t="shared" ca="1" si="90"/>
        <v>9503.9907092383764</v>
      </c>
      <c r="AK270" s="109">
        <f t="shared" ca="1" si="90"/>
        <v>9563.8310567209919</v>
      </c>
      <c r="AL270" s="109">
        <f t="shared" ca="1" si="90"/>
        <v>9603.6562040300505</v>
      </c>
      <c r="AM270" s="109">
        <f t="shared" ca="1" si="90"/>
        <v>9634.6600716938046</v>
      </c>
      <c r="AN270" s="109">
        <f t="shared" ca="1" si="90"/>
        <v>9650.7994382881498</v>
      </c>
      <c r="AO270" s="109">
        <f t="shared" ca="1" si="90"/>
        <v>9657.534966660296</v>
      </c>
      <c r="AP270" s="109">
        <f t="shared" ca="1" si="90"/>
        <v>9657.534966660296</v>
      </c>
      <c r="AQ270" s="109">
        <f t="shared" ca="1" si="90"/>
        <v>9657.534966660296</v>
      </c>
      <c r="AR270" s="109">
        <f t="shared" ca="1" si="90"/>
        <v>9657.534966660296</v>
      </c>
      <c r="AS270" s="109">
        <f t="shared" ca="1" si="90"/>
        <v>9657.534966660296</v>
      </c>
      <c r="AT270" s="109">
        <f t="shared" ca="1" si="90"/>
        <v>9657.534966660296</v>
      </c>
      <c r="AU270" s="109">
        <f t="shared" ca="1" si="90"/>
        <v>9657.534966660296</v>
      </c>
      <c r="AV270" s="109">
        <f t="shared" ca="1" si="90"/>
        <v>9657.534966660296</v>
      </c>
      <c r="AW270" s="109">
        <f t="shared" ca="1" si="90"/>
        <v>9657.534966660296</v>
      </c>
      <c r="AX270" s="109">
        <f t="shared" ca="1" si="90"/>
        <v>9657.534966660296</v>
      </c>
    </row>
    <row r="271" spans="1:50" s="109" customFormat="1" ht="15" customHeight="1" x14ac:dyDescent="0.25">
      <c r="A271" s="106"/>
      <c r="B271" s="189"/>
    </row>
    <row r="272" spans="1:50" s="290" customFormat="1" ht="15" customHeight="1" x14ac:dyDescent="0.25">
      <c r="B272" s="291"/>
      <c r="E272" s="290" t="str">
        <f xml:space="preserve"> ProjectCashflows!E$192</f>
        <v>Cumulative years from start of development</v>
      </c>
      <c r="F272" s="290">
        <f xml:space="preserve"> ProjectCashflows!F$192</f>
        <v>0</v>
      </c>
      <c r="G272" s="290" t="str">
        <f xml:space="preserve"> ProjectCashflows!G$192</f>
        <v>Year</v>
      </c>
      <c r="H272" s="290">
        <f xml:space="preserve"> ProjectCashflows!H$192</f>
        <v>0</v>
      </c>
      <c r="I272" s="290">
        <f xml:space="preserve"> ProjectCashflows!I$192</f>
        <v>0</v>
      </c>
      <c r="J272" s="290">
        <f xml:space="preserve"> ProjectCashflows!J$192</f>
        <v>0</v>
      </c>
      <c r="K272" s="290">
        <f ca="1" xml:space="preserve"> ProjectCashflows!K$192</f>
        <v>0</v>
      </c>
      <c r="L272" s="290">
        <f ca="1" xml:space="preserve"> ProjectCashflows!L$192</f>
        <v>1</v>
      </c>
      <c r="M272" s="290">
        <f ca="1" xml:space="preserve"> ProjectCashflows!M$192</f>
        <v>2</v>
      </c>
      <c r="N272" s="290">
        <f ca="1" xml:space="preserve"> ProjectCashflows!N$192</f>
        <v>3</v>
      </c>
      <c r="O272" s="290">
        <f ca="1" xml:space="preserve"> ProjectCashflows!O$192</f>
        <v>4</v>
      </c>
      <c r="P272" s="290">
        <f ca="1" xml:space="preserve"> ProjectCashflows!P$192</f>
        <v>5</v>
      </c>
      <c r="Q272" s="290">
        <f ca="1" xml:space="preserve"> ProjectCashflows!Q$192</f>
        <v>6</v>
      </c>
      <c r="R272" s="290">
        <f ca="1" xml:space="preserve"> ProjectCashflows!R$192</f>
        <v>7</v>
      </c>
      <c r="S272" s="290">
        <f ca="1" xml:space="preserve"> ProjectCashflows!S$192</f>
        <v>8</v>
      </c>
      <c r="T272" s="290">
        <f ca="1" xml:space="preserve"> ProjectCashflows!T$192</f>
        <v>9</v>
      </c>
      <c r="U272" s="290">
        <f ca="1" xml:space="preserve"> ProjectCashflows!U$192</f>
        <v>10</v>
      </c>
      <c r="V272" s="290">
        <f ca="1" xml:space="preserve"> ProjectCashflows!V$192</f>
        <v>11</v>
      </c>
      <c r="W272" s="290">
        <f ca="1" xml:space="preserve"> ProjectCashflows!W$192</f>
        <v>12</v>
      </c>
      <c r="X272" s="290">
        <f ca="1" xml:space="preserve"> ProjectCashflows!X$192</f>
        <v>13</v>
      </c>
      <c r="Y272" s="290">
        <f ca="1" xml:space="preserve"> ProjectCashflows!Y$192</f>
        <v>14</v>
      </c>
      <c r="Z272" s="290">
        <f ca="1" xml:space="preserve"> ProjectCashflows!Z$192</f>
        <v>15</v>
      </c>
      <c r="AA272" s="290">
        <f ca="1" xml:space="preserve"> ProjectCashflows!AA$192</f>
        <v>16</v>
      </c>
      <c r="AB272" s="290">
        <f ca="1" xml:space="preserve"> ProjectCashflows!AB$192</f>
        <v>17</v>
      </c>
      <c r="AC272" s="290">
        <f ca="1" xml:space="preserve"> ProjectCashflows!AC$192</f>
        <v>18</v>
      </c>
      <c r="AD272" s="290">
        <f ca="1" xml:space="preserve"> ProjectCashflows!AD$192</f>
        <v>19</v>
      </c>
      <c r="AE272" s="290">
        <f ca="1" xml:space="preserve"> ProjectCashflows!AE$192</f>
        <v>20</v>
      </c>
      <c r="AF272" s="290">
        <f ca="1" xml:space="preserve"> ProjectCashflows!AF$192</f>
        <v>21</v>
      </c>
      <c r="AG272" s="290">
        <f ca="1" xml:space="preserve"> ProjectCashflows!AG$192</f>
        <v>22</v>
      </c>
      <c r="AH272" s="290">
        <f ca="1" xml:space="preserve"> ProjectCashflows!AH$192</f>
        <v>23</v>
      </c>
      <c r="AI272" s="290">
        <f ca="1" xml:space="preserve"> ProjectCashflows!AI$192</f>
        <v>24</v>
      </c>
      <c r="AJ272" s="290">
        <f ca="1" xml:space="preserve"> ProjectCashflows!AJ$192</f>
        <v>25</v>
      </c>
      <c r="AK272" s="290">
        <f ca="1" xml:space="preserve"> ProjectCashflows!AK$192</f>
        <v>26</v>
      </c>
      <c r="AL272" s="290">
        <f ca="1" xml:space="preserve"> ProjectCashflows!AL$192</f>
        <v>27</v>
      </c>
      <c r="AM272" s="290">
        <f ca="1" xml:space="preserve"> ProjectCashflows!AM$192</f>
        <v>28</v>
      </c>
      <c r="AN272" s="290">
        <f ca="1" xml:space="preserve"> ProjectCashflows!AN$192</f>
        <v>29</v>
      </c>
      <c r="AO272" s="290">
        <f ca="1" xml:space="preserve"> ProjectCashflows!AO$192</f>
        <v>30</v>
      </c>
      <c r="AP272" s="290">
        <f ca="1" xml:space="preserve"> ProjectCashflows!AP$192</f>
        <v>31</v>
      </c>
      <c r="AQ272" s="290">
        <f ca="1" xml:space="preserve"> ProjectCashflows!AQ$192</f>
        <v>32</v>
      </c>
      <c r="AR272" s="290">
        <f ca="1" xml:space="preserve"> ProjectCashflows!AR$192</f>
        <v>0</v>
      </c>
      <c r="AS272" s="290">
        <f ca="1" xml:space="preserve"> ProjectCashflows!AS$192</f>
        <v>0</v>
      </c>
      <c r="AT272" s="290">
        <f ca="1" xml:space="preserve"> ProjectCashflows!AT$192</f>
        <v>0</v>
      </c>
      <c r="AU272" s="290">
        <f ca="1" xml:space="preserve"> ProjectCashflows!AU$192</f>
        <v>0</v>
      </c>
      <c r="AV272" s="290">
        <f ca="1" xml:space="preserve"> ProjectCashflows!AV$192</f>
        <v>0</v>
      </c>
      <c r="AW272" s="290">
        <f ca="1" xml:space="preserve"> ProjectCashflows!AW$192</f>
        <v>0</v>
      </c>
      <c r="AX272" s="290">
        <f ca="1" xml:space="preserve"> ProjectCashflows!AX$192</f>
        <v>0</v>
      </c>
    </row>
    <row r="273" spans="1:50" s="290" customFormat="1" ht="15" customHeight="1" x14ac:dyDescent="0.25">
      <c r="B273" s="291"/>
      <c r="E273" s="290" t="str">
        <f xml:space="preserve"> ProjectCashflows!E$181</f>
        <v>Cumulative production years</v>
      </c>
      <c r="F273" s="290">
        <f xml:space="preserve"> ProjectCashflows!F$181</f>
        <v>0</v>
      </c>
      <c r="G273" s="290" t="str">
        <f xml:space="preserve"> ProjectCashflows!G$181</f>
        <v>Year</v>
      </c>
      <c r="H273" s="290">
        <f xml:space="preserve"> ProjectCashflows!H$181</f>
        <v>0</v>
      </c>
      <c r="I273" s="290">
        <f xml:space="preserve"> ProjectCashflows!I$181</f>
        <v>0</v>
      </c>
      <c r="J273" s="290">
        <f xml:space="preserve"> ProjectCashflows!J$181</f>
        <v>0</v>
      </c>
      <c r="K273" s="290">
        <f ca="1" xml:space="preserve"> ProjectCashflows!K$181</f>
        <v>0</v>
      </c>
      <c r="L273" s="290">
        <f ca="1" xml:space="preserve"> ProjectCashflows!L$181</f>
        <v>0</v>
      </c>
      <c r="M273" s="290">
        <f ca="1" xml:space="preserve"> ProjectCashflows!M$181</f>
        <v>0</v>
      </c>
      <c r="N273" s="290">
        <f ca="1" xml:space="preserve"> ProjectCashflows!N$181</f>
        <v>0</v>
      </c>
      <c r="O273" s="290">
        <f ca="1" xml:space="preserve"> ProjectCashflows!O$181</f>
        <v>1</v>
      </c>
      <c r="P273" s="290">
        <f ca="1" xml:space="preserve"> ProjectCashflows!P$181</f>
        <v>2</v>
      </c>
      <c r="Q273" s="290">
        <f ca="1" xml:space="preserve"> ProjectCashflows!Q$181</f>
        <v>3</v>
      </c>
      <c r="R273" s="290">
        <f ca="1" xml:space="preserve"> ProjectCashflows!R$181</f>
        <v>4</v>
      </c>
      <c r="S273" s="290">
        <f ca="1" xml:space="preserve"> ProjectCashflows!S$181</f>
        <v>5</v>
      </c>
      <c r="T273" s="290">
        <f ca="1" xml:space="preserve"> ProjectCashflows!T$181</f>
        <v>6</v>
      </c>
      <c r="U273" s="290">
        <f ca="1" xml:space="preserve"> ProjectCashflows!U$181</f>
        <v>7</v>
      </c>
      <c r="V273" s="290">
        <f ca="1" xml:space="preserve"> ProjectCashflows!V$181</f>
        <v>8</v>
      </c>
      <c r="W273" s="290">
        <f ca="1" xml:space="preserve"> ProjectCashflows!W$181</f>
        <v>9</v>
      </c>
      <c r="X273" s="290">
        <f ca="1" xml:space="preserve"> ProjectCashflows!X$181</f>
        <v>10</v>
      </c>
      <c r="Y273" s="290">
        <f ca="1" xml:space="preserve"> ProjectCashflows!Y$181</f>
        <v>11</v>
      </c>
      <c r="Z273" s="290">
        <f ca="1" xml:space="preserve"> ProjectCashflows!Z$181</f>
        <v>12</v>
      </c>
      <c r="AA273" s="290">
        <f ca="1" xml:space="preserve"> ProjectCashflows!AA$181</f>
        <v>13</v>
      </c>
      <c r="AB273" s="290">
        <f ca="1" xml:space="preserve"> ProjectCashflows!AB$181</f>
        <v>14</v>
      </c>
      <c r="AC273" s="290">
        <f ca="1" xml:space="preserve"> ProjectCashflows!AC$181</f>
        <v>15</v>
      </c>
      <c r="AD273" s="290">
        <f ca="1" xml:space="preserve"> ProjectCashflows!AD$181</f>
        <v>16</v>
      </c>
      <c r="AE273" s="290">
        <f ca="1" xml:space="preserve"> ProjectCashflows!AE$181</f>
        <v>17</v>
      </c>
      <c r="AF273" s="290">
        <f ca="1" xml:space="preserve"> ProjectCashflows!AF$181</f>
        <v>18</v>
      </c>
      <c r="AG273" s="290">
        <f ca="1" xml:space="preserve"> ProjectCashflows!AG$181</f>
        <v>19</v>
      </c>
      <c r="AH273" s="290">
        <f ca="1" xml:space="preserve"> ProjectCashflows!AH$181</f>
        <v>20</v>
      </c>
      <c r="AI273" s="290">
        <f ca="1" xml:space="preserve"> ProjectCashflows!AI$181</f>
        <v>21</v>
      </c>
      <c r="AJ273" s="290">
        <f ca="1" xml:space="preserve"> ProjectCashflows!AJ$181</f>
        <v>22</v>
      </c>
      <c r="AK273" s="290">
        <f ca="1" xml:space="preserve"> ProjectCashflows!AK$181</f>
        <v>23</v>
      </c>
      <c r="AL273" s="290">
        <f ca="1" xml:space="preserve"> ProjectCashflows!AL$181</f>
        <v>24</v>
      </c>
      <c r="AM273" s="290">
        <f ca="1" xml:space="preserve"> ProjectCashflows!AM$181</f>
        <v>25</v>
      </c>
      <c r="AN273" s="290">
        <f ca="1" xml:space="preserve"> ProjectCashflows!AN$181</f>
        <v>26</v>
      </c>
      <c r="AO273" s="290">
        <f ca="1" xml:space="preserve"> ProjectCashflows!AO$181</f>
        <v>27</v>
      </c>
      <c r="AP273" s="290">
        <f ca="1" xml:space="preserve"> ProjectCashflows!AP$181</f>
        <v>0</v>
      </c>
      <c r="AQ273" s="290">
        <f ca="1" xml:space="preserve"> ProjectCashflows!AQ$181</f>
        <v>0</v>
      </c>
      <c r="AR273" s="290">
        <f ca="1" xml:space="preserve"> ProjectCashflows!AR$181</f>
        <v>0</v>
      </c>
      <c r="AS273" s="290">
        <f ca="1" xml:space="preserve"> ProjectCashflows!AS$181</f>
        <v>0</v>
      </c>
      <c r="AT273" s="290">
        <f ca="1" xml:space="preserve"> ProjectCashflows!AT$181</f>
        <v>0</v>
      </c>
      <c r="AU273" s="290">
        <f ca="1" xml:space="preserve"> ProjectCashflows!AU$181</f>
        <v>0</v>
      </c>
      <c r="AV273" s="290">
        <f ca="1" xml:space="preserve"> ProjectCashflows!AV$181</f>
        <v>0</v>
      </c>
      <c r="AW273" s="290">
        <f ca="1" xml:space="preserve"> ProjectCashflows!AW$181</f>
        <v>0</v>
      </c>
      <c r="AX273" s="290">
        <f ca="1" xml:space="preserve"> ProjectCashflows!AX$181</f>
        <v>0</v>
      </c>
    </row>
    <row r="274" spans="1:50" s="109" customFormat="1" ht="15" customHeight="1" x14ac:dyDescent="0.25">
      <c r="A274" s="106"/>
      <c r="B274" s="168"/>
      <c r="E274" s="109" t="str">
        <f xml:space="preserve"> E267 &amp;  " "  &amp; Translate!E$700</f>
        <v>Cashflow before decommissioning fund: FID forward Payback</v>
      </c>
      <c r="G274" s="413" t="str">
        <f xml:space="preserve"> Translate!E$403</f>
        <v>Production year</v>
      </c>
      <c r="I274" s="294"/>
      <c r="K274" s="294">
        <f ca="1" xml:space="preserve"> IFERROR( AND( K269 &gt; 0, J269 &lt; 0 ) * (ABS(J269 / K267) + J273), 0)</f>
        <v>0</v>
      </c>
      <c r="L274" s="294">
        <f t="shared" ref="L274:AX274" ca="1" si="91" xml:space="preserve"> IFERROR( AND( L269 &gt; 0, K269 &lt; 0 ) * (ABS(K269 / L267) + K273), 0)</f>
        <v>0</v>
      </c>
      <c r="M274" s="294">
        <f t="shared" ca="1" si="91"/>
        <v>0</v>
      </c>
      <c r="N274" s="294">
        <f t="shared" ca="1" si="91"/>
        <v>0</v>
      </c>
      <c r="O274" s="294">
        <f t="shared" ca="1" si="91"/>
        <v>0</v>
      </c>
      <c r="P274" s="294">
        <f t="shared" ca="1" si="91"/>
        <v>0</v>
      </c>
      <c r="Q274" s="294">
        <f t="shared" ca="1" si="91"/>
        <v>0</v>
      </c>
      <c r="R274" s="294">
        <f t="shared" ca="1" si="91"/>
        <v>3.7524026689128469</v>
      </c>
      <c r="S274" s="294">
        <f t="shared" ca="1" si="91"/>
        <v>0</v>
      </c>
      <c r="T274" s="294">
        <f t="shared" ca="1" si="91"/>
        <v>0</v>
      </c>
      <c r="U274" s="294">
        <f t="shared" ca="1" si="91"/>
        <v>0</v>
      </c>
      <c r="V274" s="294">
        <f t="shared" ca="1" si="91"/>
        <v>0</v>
      </c>
      <c r="W274" s="294">
        <f t="shared" ca="1" si="91"/>
        <v>0</v>
      </c>
      <c r="X274" s="294">
        <f t="shared" ca="1" si="91"/>
        <v>0</v>
      </c>
      <c r="Y274" s="294">
        <f t="shared" ca="1" si="91"/>
        <v>0</v>
      </c>
      <c r="Z274" s="294">
        <f t="shared" ca="1" si="91"/>
        <v>0</v>
      </c>
      <c r="AA274" s="294">
        <f t="shared" ca="1" si="91"/>
        <v>0</v>
      </c>
      <c r="AB274" s="294">
        <f t="shared" ca="1" si="91"/>
        <v>0</v>
      </c>
      <c r="AC274" s="294">
        <f t="shared" ca="1" si="91"/>
        <v>0</v>
      </c>
      <c r="AD274" s="294">
        <f t="shared" ca="1" si="91"/>
        <v>0</v>
      </c>
      <c r="AE274" s="294">
        <f t="shared" ca="1" si="91"/>
        <v>0</v>
      </c>
      <c r="AF274" s="294">
        <f t="shared" ca="1" si="91"/>
        <v>0</v>
      </c>
      <c r="AG274" s="294">
        <f t="shared" ca="1" si="91"/>
        <v>0</v>
      </c>
      <c r="AH274" s="294">
        <f t="shared" ca="1" si="91"/>
        <v>0</v>
      </c>
      <c r="AI274" s="294">
        <f t="shared" ca="1" si="91"/>
        <v>0</v>
      </c>
      <c r="AJ274" s="294">
        <f t="shared" ca="1" si="91"/>
        <v>0</v>
      </c>
      <c r="AK274" s="294">
        <f t="shared" ca="1" si="91"/>
        <v>0</v>
      </c>
      <c r="AL274" s="294">
        <f t="shared" ca="1" si="91"/>
        <v>0</v>
      </c>
      <c r="AM274" s="294">
        <f t="shared" ca="1" si="91"/>
        <v>0</v>
      </c>
      <c r="AN274" s="294">
        <f t="shared" ca="1" si="91"/>
        <v>0</v>
      </c>
      <c r="AO274" s="294">
        <f t="shared" ca="1" si="91"/>
        <v>0</v>
      </c>
      <c r="AP274" s="294">
        <f t="shared" ca="1" si="91"/>
        <v>0</v>
      </c>
      <c r="AQ274" s="294">
        <f t="shared" ca="1" si="91"/>
        <v>0</v>
      </c>
      <c r="AR274" s="294">
        <f t="shared" ca="1" si="91"/>
        <v>0</v>
      </c>
      <c r="AS274" s="294">
        <f t="shared" ca="1" si="91"/>
        <v>0</v>
      </c>
      <c r="AT274" s="294">
        <f t="shared" ca="1" si="91"/>
        <v>0</v>
      </c>
      <c r="AU274" s="294">
        <f t="shared" ca="1" si="91"/>
        <v>0</v>
      </c>
      <c r="AV274" s="294">
        <f t="shared" ca="1" si="91"/>
        <v>0</v>
      </c>
      <c r="AW274" s="294">
        <f t="shared" ca="1" si="91"/>
        <v>0</v>
      </c>
      <c r="AX274" s="294">
        <f t="shared" ca="1" si="91"/>
        <v>0</v>
      </c>
    </row>
    <row r="275" spans="1:50" s="109" customFormat="1" ht="15" customHeight="1" x14ac:dyDescent="0.25">
      <c r="A275" s="106"/>
      <c r="B275" s="168"/>
      <c r="E275" s="109" t="str">
        <f xml:space="preserve"> E268 &amp;  " "  &amp; Translate!E$700</f>
        <v>Investors (IOC + Lender): FID forward Payback</v>
      </c>
      <c r="G275" s="413" t="str">
        <f xml:space="preserve"> Translate!E$403</f>
        <v>Production year</v>
      </c>
      <c r="I275" s="294"/>
      <c r="K275" s="294">
        <f ca="1" xml:space="preserve"> IFERROR( AND( K270 &gt; 0, J270 &lt; 0 ) * (ABS(J270 / K268) + J273), 0)</f>
        <v>0</v>
      </c>
      <c r="L275" s="294">
        <f t="shared" ref="L275:AX275" ca="1" si="92" xml:space="preserve"> IFERROR( AND( L270 &gt; 0, K270 &lt; 0 ) * (ABS(K270 / L268) + K273), 0)</f>
        <v>0</v>
      </c>
      <c r="M275" s="294">
        <f t="shared" ca="1" si="92"/>
        <v>0</v>
      </c>
      <c r="N275" s="294">
        <f t="shared" ca="1" si="92"/>
        <v>0</v>
      </c>
      <c r="O275" s="294">
        <f t="shared" ca="1" si="92"/>
        <v>0</v>
      </c>
      <c r="P275" s="294">
        <f t="shared" ca="1" si="92"/>
        <v>0</v>
      </c>
      <c r="Q275" s="294">
        <f t="shared" ca="1" si="92"/>
        <v>0</v>
      </c>
      <c r="R275" s="294">
        <f t="shared" ca="1" si="92"/>
        <v>0</v>
      </c>
      <c r="S275" s="294">
        <f t="shared" ca="1" si="92"/>
        <v>0</v>
      </c>
      <c r="T275" s="294">
        <f t="shared" ca="1" si="92"/>
        <v>5.0605024963881595</v>
      </c>
      <c r="U275" s="294">
        <f t="shared" ca="1" si="92"/>
        <v>0</v>
      </c>
      <c r="V275" s="294">
        <f t="shared" ca="1" si="92"/>
        <v>0</v>
      </c>
      <c r="W275" s="294">
        <f t="shared" ca="1" si="92"/>
        <v>0</v>
      </c>
      <c r="X275" s="294">
        <f t="shared" ca="1" si="92"/>
        <v>0</v>
      </c>
      <c r="Y275" s="294">
        <f t="shared" ca="1" si="92"/>
        <v>0</v>
      </c>
      <c r="Z275" s="294">
        <f t="shared" ca="1" si="92"/>
        <v>0</v>
      </c>
      <c r="AA275" s="294">
        <f t="shared" ca="1" si="92"/>
        <v>0</v>
      </c>
      <c r="AB275" s="294">
        <f t="shared" ca="1" si="92"/>
        <v>0</v>
      </c>
      <c r="AC275" s="294">
        <f t="shared" ca="1" si="92"/>
        <v>0</v>
      </c>
      <c r="AD275" s="294">
        <f t="shared" ca="1" si="92"/>
        <v>0</v>
      </c>
      <c r="AE275" s="294">
        <f t="shared" ca="1" si="92"/>
        <v>0</v>
      </c>
      <c r="AF275" s="294">
        <f t="shared" ca="1" si="92"/>
        <v>0</v>
      </c>
      <c r="AG275" s="294">
        <f t="shared" ca="1" si="92"/>
        <v>0</v>
      </c>
      <c r="AH275" s="294">
        <f t="shared" ca="1" si="92"/>
        <v>0</v>
      </c>
      <c r="AI275" s="294">
        <f t="shared" ca="1" si="92"/>
        <v>0</v>
      </c>
      <c r="AJ275" s="294">
        <f t="shared" ca="1" si="92"/>
        <v>0</v>
      </c>
      <c r="AK275" s="294">
        <f t="shared" ca="1" si="92"/>
        <v>0</v>
      </c>
      <c r="AL275" s="294">
        <f t="shared" ca="1" si="92"/>
        <v>0</v>
      </c>
      <c r="AM275" s="294">
        <f t="shared" ca="1" si="92"/>
        <v>0</v>
      </c>
      <c r="AN275" s="294">
        <f t="shared" ca="1" si="92"/>
        <v>0</v>
      </c>
      <c r="AO275" s="294">
        <f t="shared" ca="1" si="92"/>
        <v>0</v>
      </c>
      <c r="AP275" s="294">
        <f t="shared" ca="1" si="92"/>
        <v>0</v>
      </c>
      <c r="AQ275" s="294">
        <f t="shared" ca="1" si="92"/>
        <v>0</v>
      </c>
      <c r="AR275" s="294">
        <f t="shared" ca="1" si="92"/>
        <v>0</v>
      </c>
      <c r="AS275" s="294">
        <f t="shared" ca="1" si="92"/>
        <v>0</v>
      </c>
      <c r="AT275" s="294">
        <f t="shared" ca="1" si="92"/>
        <v>0</v>
      </c>
      <c r="AU275" s="294">
        <f t="shared" ca="1" si="92"/>
        <v>0</v>
      </c>
      <c r="AV275" s="294">
        <f t="shared" ca="1" si="92"/>
        <v>0</v>
      </c>
      <c r="AW275" s="294">
        <f t="shared" ca="1" si="92"/>
        <v>0</v>
      </c>
      <c r="AX275" s="294">
        <f t="shared" ca="1" si="92"/>
        <v>0</v>
      </c>
    </row>
    <row r="276" spans="1:50" s="109" customFormat="1" ht="15" customHeight="1" x14ac:dyDescent="0.25">
      <c r="A276" s="106"/>
      <c r="B276" s="168"/>
    </row>
    <row r="277" spans="1:50" s="109" customFormat="1" ht="15" customHeight="1" x14ac:dyDescent="0.25">
      <c r="A277" s="106"/>
      <c r="B277" s="168"/>
      <c r="E277" s="109" t="str">
        <f xml:space="preserve"> E274</f>
        <v>Cashflow before decommissioning fund: FID forward Payback</v>
      </c>
      <c r="F277" s="294">
        <f ca="1" xml:space="preserve"> SUM(K274:AX274)</f>
        <v>3.7524026689128469</v>
      </c>
      <c r="G277" s="109" t="str">
        <f>G274</f>
        <v>Production year</v>
      </c>
    </row>
    <row r="278" spans="1:50" s="109" customFormat="1" ht="15" customHeight="1" x14ac:dyDescent="0.25">
      <c r="A278" s="106"/>
      <c r="B278" s="168"/>
      <c r="E278" s="109" t="str">
        <f xml:space="preserve"> E275</f>
        <v>Investors (IOC + Lender): FID forward Payback</v>
      </c>
      <c r="F278" s="294">
        <f ca="1" xml:space="preserve"> SUM(K275:AX275)</f>
        <v>5.0605024963881595</v>
      </c>
      <c r="G278" s="109" t="str">
        <f>G275</f>
        <v>Production year</v>
      </c>
    </row>
    <row r="279" spans="1:50" s="48" customFormat="1" ht="15" customHeight="1" x14ac:dyDescent="0.25">
      <c r="D279" s="190"/>
      <c r="E279" s="55"/>
      <c r="G279" s="55"/>
      <c r="H279" s="3"/>
      <c r="O279" s="190"/>
      <c r="P279" s="190"/>
      <c r="Q279" s="190"/>
      <c r="R279" s="190"/>
      <c r="S279" s="190"/>
      <c r="T279" s="190"/>
      <c r="U279" s="190"/>
      <c r="V279" s="190"/>
      <c r="W279" s="190"/>
      <c r="X279" s="190"/>
      <c r="Y279" s="190"/>
    </row>
    <row r="280" spans="1:50" s="109" customFormat="1" ht="15" customHeight="1" x14ac:dyDescent="0.25">
      <c r="A280" s="106"/>
      <c r="B280" s="107" t="str">
        <f>Translate!$E$702 &amp; ": " &amp; Inputs!F$90 &amp; ", " &amp; Inputs!F$91 &amp; ", " &amp; Inputs!F$63</f>
        <v>Project participants: FID forward, real, NPV8</v>
      </c>
    </row>
    <row r="281" spans="1:50" s="109" customFormat="1" ht="15" customHeight="1" x14ac:dyDescent="0.25">
      <c r="A281" s="106"/>
      <c r="B281" s="168"/>
      <c r="C281" s="107"/>
    </row>
    <row r="282" spans="1:50" s="800" customFormat="1" ht="15" customHeight="1" x14ac:dyDescent="0.25">
      <c r="E282" s="800" t="str">
        <f xml:space="preserve"> ProjectCashflows!E$212</f>
        <v>Discount factor: FID forward, NPV8</v>
      </c>
      <c r="F282" s="800">
        <f xml:space="preserve"> ProjectCashflows!F$212</f>
        <v>0</v>
      </c>
      <c r="G282" s="800" t="str">
        <f xml:space="preserve"> ProjectCashflows!G$212</f>
        <v>factor</v>
      </c>
      <c r="H282" s="800">
        <f xml:space="preserve"> ProjectCashflows!H$212</f>
        <v>0</v>
      </c>
      <c r="I282" s="800">
        <f xml:space="preserve"> ProjectCashflows!I$212</f>
        <v>0</v>
      </c>
      <c r="J282" s="800">
        <f xml:space="preserve"> ProjectCashflows!J$212</f>
        <v>0</v>
      </c>
      <c r="K282" s="800">
        <f ca="1" xml:space="preserve"> ProjectCashflows!K$212</f>
        <v>0</v>
      </c>
      <c r="L282" s="800">
        <f ca="1" xml:space="preserve"> ProjectCashflows!L$212</f>
        <v>1</v>
      </c>
      <c r="M282" s="800">
        <f ca="1" xml:space="preserve"> ProjectCashflows!M$212</f>
        <v>0.92592592592592582</v>
      </c>
      <c r="N282" s="800">
        <f ca="1" xml:space="preserve"> ProjectCashflows!N$212</f>
        <v>0.85733882030178321</v>
      </c>
      <c r="O282" s="800">
        <f ca="1" xml:space="preserve"> ProjectCashflows!O$212</f>
        <v>0.79383224102016958</v>
      </c>
      <c r="P282" s="800">
        <f ca="1" xml:space="preserve"> ProjectCashflows!P$212</f>
        <v>0.73502985279645328</v>
      </c>
      <c r="Q282" s="800">
        <f ca="1" xml:space="preserve"> ProjectCashflows!Q$212</f>
        <v>0.68058319703375303</v>
      </c>
      <c r="R282" s="800">
        <f ca="1" xml:space="preserve"> ProjectCashflows!R$212</f>
        <v>0.63016962688310452</v>
      </c>
      <c r="S282" s="800">
        <f ca="1" xml:space="preserve"> ProjectCashflows!S$212</f>
        <v>0.58349039526213387</v>
      </c>
      <c r="T282" s="800">
        <f ca="1" xml:space="preserve"> ProjectCashflows!T$212</f>
        <v>0.54026888450197574</v>
      </c>
      <c r="U282" s="800">
        <f ca="1" xml:space="preserve"> ProjectCashflows!U$212</f>
        <v>0.50024896713145905</v>
      </c>
      <c r="V282" s="800">
        <f ca="1" xml:space="preserve"> ProjectCashflows!V$212</f>
        <v>0.46319348808468425</v>
      </c>
      <c r="W282" s="800">
        <f ca="1" xml:space="preserve"> ProjectCashflows!W$212</f>
        <v>0.42888285933767062</v>
      </c>
      <c r="X282" s="800">
        <f ca="1" xml:space="preserve"> ProjectCashflows!X$212</f>
        <v>0.39711375864599124</v>
      </c>
      <c r="Y282" s="800">
        <f ca="1" xml:space="preserve"> ProjectCashflows!Y$212</f>
        <v>0.36769792467221413</v>
      </c>
      <c r="Z282" s="800">
        <f ca="1" xml:space="preserve"> ProjectCashflows!Z$212</f>
        <v>0.34046104136316119</v>
      </c>
      <c r="AA282" s="800">
        <f ca="1" xml:space="preserve"> ProjectCashflows!AA$212</f>
        <v>0.31524170496588994</v>
      </c>
      <c r="AB282" s="800">
        <f ca="1" xml:space="preserve"> ProjectCashflows!AB$212</f>
        <v>0.29189046756100923</v>
      </c>
      <c r="AC282" s="800">
        <f ca="1" xml:space="preserve"> ProjectCashflows!AC$212</f>
        <v>0.27026895144537894</v>
      </c>
      <c r="AD282" s="800">
        <f ca="1" xml:space="preserve"> ProjectCashflows!AD$212</f>
        <v>0.25024902911609154</v>
      </c>
      <c r="AE282" s="800">
        <f ca="1" xml:space="preserve"> ProjectCashflows!AE$212</f>
        <v>0.23171206399638106</v>
      </c>
      <c r="AF282" s="800">
        <f ca="1" xml:space="preserve"> ProjectCashflows!AF$212</f>
        <v>0.21454820740405653</v>
      </c>
      <c r="AG282" s="800">
        <f ca="1" xml:space="preserve"> ProjectCashflows!AG$212</f>
        <v>0.19865574759634863</v>
      </c>
      <c r="AH282" s="800">
        <f ca="1" xml:space="preserve"> ProjectCashflows!AH$212</f>
        <v>0.18394050703365611</v>
      </c>
      <c r="AI282" s="800">
        <f ca="1" xml:space="preserve"> ProjectCashflows!AI$212</f>
        <v>0.17031528429042234</v>
      </c>
      <c r="AJ282" s="800">
        <f ca="1" xml:space="preserve"> ProjectCashflows!AJ$212</f>
        <v>0.1576993373059466</v>
      </c>
      <c r="AK282" s="800">
        <f ca="1" xml:space="preserve"> ProjectCashflows!AK$212</f>
        <v>0.1460179049129135</v>
      </c>
      <c r="AL282" s="800">
        <f ca="1" xml:space="preserve"> ProjectCashflows!AL$212</f>
        <v>0.13520176380825324</v>
      </c>
      <c r="AM282" s="800">
        <f ca="1" xml:space="preserve"> ProjectCashflows!AM$212</f>
        <v>0.12518681834097523</v>
      </c>
      <c r="AN282" s="800">
        <f ca="1" xml:space="preserve"> ProjectCashflows!AN$212</f>
        <v>0.11591372068608817</v>
      </c>
      <c r="AO282" s="800">
        <f ca="1" xml:space="preserve"> ProjectCashflows!AO$212</f>
        <v>0.10732751915378534</v>
      </c>
      <c r="AP282" s="800">
        <f ca="1" xml:space="preserve"> ProjectCashflows!AP$212</f>
        <v>9.9377332549801231E-2</v>
      </c>
      <c r="AQ282" s="800">
        <f ca="1" xml:space="preserve"> ProjectCashflows!AQ$212</f>
        <v>9.2016048657223348E-2</v>
      </c>
      <c r="AR282" s="800">
        <f ca="1" xml:space="preserve"> ProjectCashflows!AR$212</f>
        <v>0</v>
      </c>
      <c r="AS282" s="800">
        <f ca="1" xml:space="preserve"> ProjectCashflows!AS$212</f>
        <v>0</v>
      </c>
      <c r="AT282" s="800">
        <f ca="1" xml:space="preserve"> ProjectCashflows!AT$212</f>
        <v>0</v>
      </c>
      <c r="AU282" s="800">
        <f ca="1" xml:space="preserve"> ProjectCashflows!AU$212</f>
        <v>0</v>
      </c>
      <c r="AV282" s="800">
        <f ca="1" xml:space="preserve"> ProjectCashflows!AV$212</f>
        <v>0</v>
      </c>
      <c r="AW282" s="800">
        <f ca="1" xml:space="preserve"> ProjectCashflows!AW$212</f>
        <v>0</v>
      </c>
      <c r="AX282" s="800">
        <f ca="1" xml:space="preserve"> ProjectCashflows!AX$212</f>
        <v>0</v>
      </c>
    </row>
    <row r="283" spans="1:50" s="290" customFormat="1" ht="15" customHeight="1" x14ac:dyDescent="0.25">
      <c r="B283" s="292"/>
      <c r="E283" s="40" t="str">
        <f xml:space="preserve"> Inputs!E$63</f>
        <v>Short NPV label</v>
      </c>
      <c r="F283" s="283" t="str">
        <f xml:space="preserve"> Inputs!F$63</f>
        <v>NPV8</v>
      </c>
      <c r="G283" s="40" t="str">
        <f xml:space="preserve"> Inputs!G$63</f>
        <v>Label</v>
      </c>
      <c r="H283" s="40"/>
      <c r="I283" s="40"/>
      <c r="J283" s="40"/>
      <c r="K283" s="40"/>
      <c r="L283" s="40"/>
      <c r="M283" s="40"/>
      <c r="N283" s="40"/>
      <c r="O283" s="40"/>
      <c r="P283" s="40"/>
      <c r="Q283" s="40"/>
      <c r="R283" s="40"/>
      <c r="S283" s="40"/>
      <c r="T283" s="40"/>
      <c r="U283" s="40"/>
      <c r="V283" s="40"/>
      <c r="W283" s="40"/>
      <c r="X283" s="40"/>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c r="AV283" s="40"/>
      <c r="AW283" s="40"/>
      <c r="AX283" s="40"/>
    </row>
    <row r="284" spans="1:50" s="109" customFormat="1" ht="15" customHeight="1" x14ac:dyDescent="0.25">
      <c r="A284" s="106"/>
      <c r="B284" s="168"/>
    </row>
    <row r="285" spans="1:50" s="109" customFormat="1" ht="15" customHeight="1" x14ac:dyDescent="0.25">
      <c r="A285" s="106"/>
      <c r="B285" s="168"/>
      <c r="E285" s="109" t="str">
        <f t="shared" ref="E285:E293" si="93" xml:space="preserve"> E230</f>
        <v>Cashflow before decommissioning fund: FID forward</v>
      </c>
      <c r="G285" s="109" t="str">
        <f t="shared" ref="G285:G293" si="94" xml:space="preserve"> G230 &amp; " " &amp; F$183</f>
        <v>US$ mn 2021 NPV8</v>
      </c>
      <c r="K285" s="109">
        <f t="shared" ref="K285:AX285" ca="1" si="95" xml:space="preserve"> IFERROR( K230 * K$282, 0)</f>
        <v>0</v>
      </c>
      <c r="L285" s="109">
        <f t="shared" ca="1" si="95"/>
        <v>-50</v>
      </c>
      <c r="M285" s="109">
        <f t="shared" ca="1" si="95"/>
        <v>-277.77777777777777</v>
      </c>
      <c r="N285" s="109">
        <f t="shared" ca="1" si="95"/>
        <v>-1028.8065843621398</v>
      </c>
      <c r="O285" s="109">
        <f t="shared" ca="1" si="95"/>
        <v>-840.14571730339094</v>
      </c>
      <c r="P285" s="109">
        <f t="shared" ca="1" si="95"/>
        <v>-569.18874225925356</v>
      </c>
      <c r="Q285" s="109">
        <f t="shared" ca="1" si="95"/>
        <v>1123.8130041019849</v>
      </c>
      <c r="R285" s="109">
        <f t="shared" ca="1" si="95"/>
        <v>1450.1778538647443</v>
      </c>
      <c r="S285" s="109">
        <f t="shared" ca="1" si="95"/>
        <v>1459.4553511494123</v>
      </c>
      <c r="T285" s="109">
        <f t="shared" ca="1" si="95"/>
        <v>1351.347547360567</v>
      </c>
      <c r="U285" s="109">
        <f t="shared" ca="1" si="95"/>
        <v>1251.2477290375618</v>
      </c>
      <c r="V285" s="109">
        <f t="shared" ca="1" si="95"/>
        <v>1158.5627120718166</v>
      </c>
      <c r="W285" s="109">
        <f t="shared" ca="1" si="95"/>
        <v>1072.7432519183487</v>
      </c>
      <c r="X285" s="109">
        <f t="shared" ca="1" si="95"/>
        <v>993.28078881328565</v>
      </c>
      <c r="Y285" s="109">
        <f t="shared" ca="1" si="95"/>
        <v>919.70443408637561</v>
      </c>
      <c r="Z285" s="109">
        <f t="shared" ca="1" si="95"/>
        <v>851.57817970960696</v>
      </c>
      <c r="AA285" s="109">
        <f t="shared" ca="1" si="95"/>
        <v>608.13671357101055</v>
      </c>
      <c r="AB285" s="109">
        <f t="shared" ca="1" si="95"/>
        <v>500.79096576184855</v>
      </c>
      <c r="AC285" s="109">
        <f t="shared" ca="1" si="95"/>
        <v>391.97152277897635</v>
      </c>
      <c r="AD285" s="109">
        <f t="shared" ca="1" si="95"/>
        <v>239.29922922236631</v>
      </c>
      <c r="AE285" s="109">
        <f t="shared" ca="1" si="95"/>
        <v>169.1400638625361</v>
      </c>
      <c r="AF285" s="109">
        <f t="shared" ca="1" si="95"/>
        <v>158.6510922341833</v>
      </c>
      <c r="AG285" s="109">
        <f t="shared" ca="1" si="95"/>
        <v>116.98388268239032</v>
      </c>
      <c r="AH285" s="109">
        <f t="shared" ca="1" si="95"/>
        <v>85.162744913321532</v>
      </c>
      <c r="AI285" s="109">
        <f t="shared" ca="1" si="95"/>
        <v>61.649444225001155</v>
      </c>
      <c r="AJ285" s="109">
        <f t="shared" ca="1" si="95"/>
        <v>44.328921187348897</v>
      </c>
      <c r="AK285" s="109">
        <f t="shared" ca="1" si="95"/>
        <v>31.618591250732699</v>
      </c>
      <c r="AL285" s="109">
        <f t="shared" ca="1" si="95"/>
        <v>-11.465555504857983</v>
      </c>
      <c r="AM285" s="109">
        <f t="shared" ca="1" si="95"/>
        <v>15.593186015749982</v>
      </c>
      <c r="AN285" s="109">
        <f t="shared" ca="1" si="95"/>
        <v>10.153237026687515</v>
      </c>
      <c r="AO285" s="109">
        <f t="shared" ca="1" si="95"/>
        <v>6.7241093610392202</v>
      </c>
      <c r="AP285" s="109">
        <f t="shared" ca="1" si="95"/>
        <v>-24.844333137450306</v>
      </c>
      <c r="AQ285" s="109">
        <f t="shared" ca="1" si="95"/>
        <v>-23.004012164305838</v>
      </c>
      <c r="AR285" s="109">
        <f t="shared" ca="1" si="95"/>
        <v>0</v>
      </c>
      <c r="AS285" s="109">
        <f t="shared" ca="1" si="95"/>
        <v>0</v>
      </c>
      <c r="AT285" s="109">
        <f t="shared" ca="1" si="95"/>
        <v>0</v>
      </c>
      <c r="AU285" s="109">
        <f t="shared" ca="1" si="95"/>
        <v>0</v>
      </c>
      <c r="AV285" s="109">
        <f t="shared" ca="1" si="95"/>
        <v>0</v>
      </c>
      <c r="AW285" s="109">
        <f t="shared" ca="1" si="95"/>
        <v>0</v>
      </c>
      <c r="AX285" s="109">
        <f t="shared" ca="1" si="95"/>
        <v>0</v>
      </c>
    </row>
    <row r="286" spans="1:50" s="109" customFormat="1" ht="15" customHeight="1" x14ac:dyDescent="0.25">
      <c r="A286" s="106"/>
      <c r="B286" s="168"/>
      <c r="E286" s="109" t="str">
        <f t="shared" si="93"/>
        <v>Net decommissioning cashflows: FID forward</v>
      </c>
      <c r="G286" s="109" t="str">
        <f t="shared" si="94"/>
        <v>US$ mn 2021 NPV8</v>
      </c>
      <c r="K286" s="109">
        <f t="shared" ref="K286:AX286" ca="1" si="96" xml:space="preserve"> IFERROR( K231 * K$282, 0)</f>
        <v>0</v>
      </c>
      <c r="L286" s="109">
        <f t="shared" ca="1" si="96"/>
        <v>0</v>
      </c>
      <c r="M286" s="109">
        <f t="shared" ca="1" si="96"/>
        <v>0</v>
      </c>
      <c r="N286" s="109">
        <f t="shared" ca="1" si="96"/>
        <v>0</v>
      </c>
      <c r="O286" s="109">
        <f t="shared" ca="1" si="96"/>
        <v>0</v>
      </c>
      <c r="P286" s="109">
        <f t="shared" ca="1" si="96"/>
        <v>0</v>
      </c>
      <c r="Q286" s="109">
        <f t="shared" ca="1" si="96"/>
        <v>0</v>
      </c>
      <c r="R286" s="109">
        <f t="shared" ca="1" si="96"/>
        <v>0</v>
      </c>
      <c r="S286" s="109">
        <f t="shared" ca="1" si="96"/>
        <v>0</v>
      </c>
      <c r="T286" s="109">
        <f t="shared" ca="1" si="96"/>
        <v>0</v>
      </c>
      <c r="U286" s="109">
        <f t="shared" ca="1" si="96"/>
        <v>0</v>
      </c>
      <c r="V286" s="109">
        <f t="shared" ca="1" si="96"/>
        <v>0</v>
      </c>
      <c r="W286" s="109">
        <f t="shared" ca="1" si="96"/>
        <v>-21.556207236442713</v>
      </c>
      <c r="X286" s="109">
        <f t="shared" ca="1" si="96"/>
        <v>-19.568089357700355</v>
      </c>
      <c r="Y286" s="109">
        <f t="shared" ca="1" si="96"/>
        <v>-17.763334565813683</v>
      </c>
      <c r="Z286" s="109">
        <f t="shared" ca="1" si="96"/>
        <v>-16.125031377826506</v>
      </c>
      <c r="AA286" s="109">
        <f t="shared" ca="1" si="96"/>
        <v>-14.637828048135898</v>
      </c>
      <c r="AB286" s="109">
        <f t="shared" ca="1" si="96"/>
        <v>-13.287788714720314</v>
      </c>
      <c r="AC286" s="109">
        <f t="shared" ca="1" si="96"/>
        <v>-12.062262812926937</v>
      </c>
      <c r="AD286" s="109">
        <f t="shared" ca="1" si="96"/>
        <v>-10.949766533158074</v>
      </c>
      <c r="AE286" s="109">
        <f t="shared" ca="1" si="96"/>
        <v>-9.9398752116540248</v>
      </c>
      <c r="AF286" s="109">
        <f t="shared" ca="1" si="96"/>
        <v>-9.0231256460185403</v>
      </c>
      <c r="AG286" s="109">
        <f t="shared" ca="1" si="96"/>
        <v>-8.1909274201330255</v>
      </c>
      <c r="AH286" s="109">
        <f t="shared" ca="1" si="96"/>
        <v>-7.4354824075281618</v>
      </c>
      <c r="AI286" s="109">
        <f t="shared" ca="1" si="96"/>
        <v>-6.7497116989180848</v>
      </c>
      <c r="AJ286" s="109">
        <f t="shared" ca="1" si="96"/>
        <v>-6.1271892691703744</v>
      </c>
      <c r="AK286" s="109">
        <f t="shared" ca="1" si="96"/>
        <v>-5.5620817621372316</v>
      </c>
      <c r="AL286" s="109">
        <f t="shared" ca="1" si="96"/>
        <v>28.751347122962706</v>
      </c>
      <c r="AM286" s="109">
        <f t="shared" ca="1" si="96"/>
        <v>-2.9372693515065991</v>
      </c>
      <c r="AN286" s="109">
        <f t="shared" ca="1" si="96"/>
        <v>-2.6663665137133252</v>
      </c>
      <c r="AO286" s="109">
        <f t="shared" ca="1" si="96"/>
        <v>-2.4204489049685227</v>
      </c>
      <c r="AP286" s="109">
        <f t="shared" ca="1" si="96"/>
        <v>24.844333137450306</v>
      </c>
      <c r="AQ286" s="109">
        <f t="shared" ca="1" si="96"/>
        <v>23.004012164305824</v>
      </c>
      <c r="AR286" s="109">
        <f t="shared" ca="1" si="96"/>
        <v>0</v>
      </c>
      <c r="AS286" s="109">
        <f t="shared" ca="1" si="96"/>
        <v>0</v>
      </c>
      <c r="AT286" s="109">
        <f t="shared" ca="1" si="96"/>
        <v>0</v>
      </c>
      <c r="AU286" s="109">
        <f t="shared" ca="1" si="96"/>
        <v>0</v>
      </c>
      <c r="AV286" s="109">
        <f t="shared" ca="1" si="96"/>
        <v>0</v>
      </c>
      <c r="AW286" s="109">
        <f t="shared" ca="1" si="96"/>
        <v>0</v>
      </c>
      <c r="AX286" s="109">
        <f t="shared" ca="1" si="96"/>
        <v>0</v>
      </c>
    </row>
    <row r="287" spans="1:50" s="109" customFormat="1" ht="15" customHeight="1" x14ac:dyDescent="0.25">
      <c r="A287" s="106"/>
      <c r="B287" s="168"/>
      <c r="E287" s="109" t="str">
        <f t="shared" si="93"/>
        <v>Government revenues excluding participation: FID forward</v>
      </c>
      <c r="G287" s="109" t="str">
        <f t="shared" si="94"/>
        <v>US$ mn 2021 NPV8</v>
      </c>
      <c r="K287" s="109">
        <f t="shared" ref="K287:AX287" ca="1" si="97" xml:space="preserve"> IFERROR( K232 * K$282, 0)</f>
        <v>0</v>
      </c>
      <c r="L287" s="109">
        <f t="shared" ca="1" si="97"/>
        <v>0</v>
      </c>
      <c r="M287" s="109">
        <f t="shared" ca="1" si="97"/>
        <v>0</v>
      </c>
      <c r="N287" s="109">
        <f t="shared" ca="1" si="97"/>
        <v>0</v>
      </c>
      <c r="O287" s="109">
        <f t="shared" ca="1" si="97"/>
        <v>70.31972885917034</v>
      </c>
      <c r="P287" s="109">
        <f t="shared" ca="1" si="97"/>
        <v>271.01130958173161</v>
      </c>
      <c r="Q287" s="109">
        <f t="shared" ca="1" si="97"/>
        <v>494.55952725310829</v>
      </c>
      <c r="R287" s="109">
        <f t="shared" ca="1" si="97"/>
        <v>549.56958735182309</v>
      </c>
      <c r="S287" s="109">
        <f t="shared" ca="1" si="97"/>
        <v>560.3333335211388</v>
      </c>
      <c r="T287" s="109">
        <f t="shared" ca="1" si="97"/>
        <v>585.5613862453348</v>
      </c>
      <c r="U287" s="109">
        <f t="shared" ca="1" si="97"/>
        <v>587.82292534015517</v>
      </c>
      <c r="V287" s="109">
        <f t="shared" ca="1" si="97"/>
        <v>564.52906772885262</v>
      </c>
      <c r="W287" s="109">
        <f t="shared" ca="1" si="97"/>
        <v>521.17938816512651</v>
      </c>
      <c r="X287" s="109">
        <f t="shared" ca="1" si="97"/>
        <v>484.15462178549126</v>
      </c>
      <c r="Y287" s="109">
        <f t="shared" ca="1" si="97"/>
        <v>449.7007182204415</v>
      </c>
      <c r="Z287" s="109">
        <f t="shared" ca="1" si="97"/>
        <v>417.64546769625491</v>
      </c>
      <c r="AA287" s="109">
        <f t="shared" ca="1" si="97"/>
        <v>309.10811682986639</v>
      </c>
      <c r="AB287" s="109">
        <f t="shared" ca="1" si="97"/>
        <v>231.19787322321494</v>
      </c>
      <c r="AC287" s="109">
        <f t="shared" ca="1" si="97"/>
        <v>178.92217532392363</v>
      </c>
      <c r="AD287" s="109">
        <f t="shared" ca="1" si="97"/>
        <v>126.76494965674885</v>
      </c>
      <c r="AE287" s="109">
        <f t="shared" ca="1" si="97"/>
        <v>92.220238391842003</v>
      </c>
      <c r="AF287" s="109">
        <f t="shared" ca="1" si="97"/>
        <v>71.562372647978663</v>
      </c>
      <c r="AG287" s="109">
        <f t="shared" ca="1" si="97"/>
        <v>47.394111924725109</v>
      </c>
      <c r="AH287" s="109">
        <f t="shared" ca="1" si="97"/>
        <v>33.773028988991847</v>
      </c>
      <c r="AI287" s="109">
        <f t="shared" ca="1" si="97"/>
        <v>25.484326860596898</v>
      </c>
      <c r="AJ287" s="109">
        <f t="shared" ca="1" si="97"/>
        <v>19.59086863836923</v>
      </c>
      <c r="AK287" s="109">
        <f t="shared" ca="1" si="97"/>
        <v>13.95806956274151</v>
      </c>
      <c r="AL287" s="109">
        <f t="shared" ca="1" si="97"/>
        <v>9.8304267810316937</v>
      </c>
      <c r="AM287" s="109">
        <f t="shared" ca="1" si="97"/>
        <v>7.2818428270417543</v>
      </c>
      <c r="AN287" s="109">
        <f t="shared" ca="1" si="97"/>
        <v>4.8965680078654978</v>
      </c>
      <c r="AO287" s="109">
        <f t="shared" ca="1" si="97"/>
        <v>3.3027115401703999</v>
      </c>
      <c r="AP287" s="109">
        <f t="shared" ca="1" si="97"/>
        <v>0</v>
      </c>
      <c r="AQ287" s="109">
        <f t="shared" ca="1" si="97"/>
        <v>0</v>
      </c>
      <c r="AR287" s="109">
        <f t="shared" ca="1" si="97"/>
        <v>0</v>
      </c>
      <c r="AS287" s="109">
        <f t="shared" ca="1" si="97"/>
        <v>0</v>
      </c>
      <c r="AT287" s="109">
        <f t="shared" ca="1" si="97"/>
        <v>0</v>
      </c>
      <c r="AU287" s="109">
        <f t="shared" ca="1" si="97"/>
        <v>0</v>
      </c>
      <c r="AV287" s="109">
        <f t="shared" ca="1" si="97"/>
        <v>0</v>
      </c>
      <c r="AW287" s="109">
        <f t="shared" ca="1" si="97"/>
        <v>0</v>
      </c>
      <c r="AX287" s="109">
        <f t="shared" ca="1" si="97"/>
        <v>0</v>
      </c>
    </row>
    <row r="288" spans="1:50" s="109" customFormat="1" ht="15" customHeight="1" x14ac:dyDescent="0.25">
      <c r="A288" s="106"/>
      <c r="B288" s="168"/>
      <c r="E288" s="109" t="str">
        <f t="shared" si="93"/>
        <v>SOC net cash flow before tax, after carried interest, including share of lender cashflows: FID forward</v>
      </c>
      <c r="G288" s="109" t="str">
        <f t="shared" si="94"/>
        <v>US$ mn 2021 NPV8</v>
      </c>
      <c r="K288" s="109">
        <f t="shared" ref="K288:AX288" ca="1" si="98" xml:space="preserve"> IFERROR( K233 * K$282, 0)</f>
        <v>0</v>
      </c>
      <c r="L288" s="109">
        <f t="shared" ca="1" si="98"/>
        <v>-7</v>
      </c>
      <c r="M288" s="109">
        <f t="shared" ca="1" si="98"/>
        <v>-38.888888888888886</v>
      </c>
      <c r="N288" s="109">
        <f t="shared" ca="1" si="98"/>
        <v>-144.03292181069958</v>
      </c>
      <c r="O288" s="109">
        <f t="shared" ca="1" si="98"/>
        <v>-133.36381649138849</v>
      </c>
      <c r="P288" s="109">
        <f t="shared" ca="1" si="98"/>
        <v>-216.09877672215725</v>
      </c>
      <c r="Q288" s="109">
        <f t="shared" ca="1" si="98"/>
        <v>73.06241251777125</v>
      </c>
      <c r="R288" s="109">
        <f t="shared" ca="1" si="98"/>
        <v>204.58127574716636</v>
      </c>
      <c r="S288" s="109">
        <f t="shared" ca="1" si="98"/>
        <v>213.13952027682916</v>
      </c>
      <c r="T288" s="109">
        <f t="shared" ca="1" si="98"/>
        <v>197.68620174736213</v>
      </c>
      <c r="U288" s="109">
        <f t="shared" ca="1" si="98"/>
        <v>183.34340918541093</v>
      </c>
      <c r="V288" s="109">
        <f t="shared" ca="1" si="98"/>
        <v>170.0323354671452</v>
      </c>
      <c r="W288" s="109">
        <f t="shared" ca="1" si="98"/>
        <v>153.36842306499702</v>
      </c>
      <c r="X288" s="109">
        <f t="shared" ca="1" si="98"/>
        <v>142.30358120635114</v>
      </c>
      <c r="Y288" s="109">
        <f t="shared" ca="1" si="98"/>
        <v>132.0288457866217</v>
      </c>
      <c r="Z288" s="109">
        <f t="shared" ca="1" si="98"/>
        <v>122.48861805498474</v>
      </c>
      <c r="AA288" s="109">
        <f t="shared" ca="1" si="98"/>
        <v>85.375592529002077</v>
      </c>
      <c r="AB288" s="109">
        <f t="shared" ca="1" si="98"/>
        <v>72.545258525561124</v>
      </c>
      <c r="AC288" s="109">
        <f t="shared" ca="1" si="98"/>
        <v>57.293085174293211</v>
      </c>
      <c r="AD288" s="109">
        <f t="shared" ca="1" si="98"/>
        <v>31.673733485405393</v>
      </c>
      <c r="AE288" s="109">
        <f t="shared" ca="1" si="98"/>
        <v>21.35793025096044</v>
      </c>
      <c r="AF288" s="109">
        <f t="shared" ca="1" si="98"/>
        <v>22.075050803890985</v>
      </c>
      <c r="AG288" s="109">
        <f t="shared" ca="1" si="98"/>
        <v>15.878800413961166</v>
      </c>
      <c r="AH288" s="109">
        <f t="shared" ca="1" si="98"/>
        <v>11.14157735083227</v>
      </c>
      <c r="AI288" s="109">
        <f t="shared" ca="1" si="98"/>
        <v>7.6814282516933643</v>
      </c>
      <c r="AJ288" s="109">
        <f t="shared" ca="1" si="98"/>
        <v>5.169684244391469</v>
      </c>
      <c r="AK288" s="109">
        <f t="shared" ca="1" si="98"/>
        <v>3.3606777571816515</v>
      </c>
      <c r="AL288" s="109">
        <f t="shared" ca="1" si="98"/>
        <v>2.0709346769647285</v>
      </c>
      <c r="AM288" s="109">
        <f t="shared" ca="1" si="98"/>
        <v>1.4927982881115625</v>
      </c>
      <c r="AN288" s="109">
        <f t="shared" ca="1" si="98"/>
        <v>0.71952847364130201</v>
      </c>
      <c r="AO288" s="109">
        <f t="shared" ca="1" si="98"/>
        <v>0.27804136552788411</v>
      </c>
      <c r="AP288" s="109">
        <f t="shared" ca="1" si="98"/>
        <v>0</v>
      </c>
      <c r="AQ288" s="109">
        <f t="shared" ca="1" si="98"/>
        <v>0</v>
      </c>
      <c r="AR288" s="109">
        <f t="shared" ca="1" si="98"/>
        <v>0</v>
      </c>
      <c r="AS288" s="109">
        <f t="shared" ca="1" si="98"/>
        <v>0</v>
      </c>
      <c r="AT288" s="109">
        <f t="shared" ca="1" si="98"/>
        <v>0</v>
      </c>
      <c r="AU288" s="109">
        <f t="shared" ca="1" si="98"/>
        <v>0</v>
      </c>
      <c r="AV288" s="109">
        <f t="shared" ca="1" si="98"/>
        <v>0</v>
      </c>
      <c r="AW288" s="109">
        <f t="shared" ca="1" si="98"/>
        <v>0</v>
      </c>
      <c r="AX288" s="109">
        <f t="shared" ca="1" si="98"/>
        <v>0</v>
      </c>
    </row>
    <row r="289" spans="1:50" s="109" customFormat="1" ht="15" customHeight="1" x14ac:dyDescent="0.25">
      <c r="A289" s="106"/>
      <c r="B289" s="168"/>
      <c r="E289" s="109" t="str">
        <f t="shared" si="93"/>
        <v>Government revenues including participation: FID forward</v>
      </c>
      <c r="G289" s="109" t="str">
        <f t="shared" si="94"/>
        <v>US$ mn 2021 NPV8</v>
      </c>
      <c r="K289" s="109">
        <f t="shared" ref="K289:AX289" ca="1" si="99" xml:space="preserve"> IFERROR( K234 * K$282, 0)</f>
        <v>0</v>
      </c>
      <c r="L289" s="109">
        <f t="shared" ca="1" si="99"/>
        <v>-7</v>
      </c>
      <c r="M289" s="109">
        <f t="shared" ca="1" si="99"/>
        <v>-38.888888888888886</v>
      </c>
      <c r="N289" s="109">
        <f t="shared" ca="1" si="99"/>
        <v>-144.03292181069958</v>
      </c>
      <c r="O289" s="109">
        <f t="shared" ca="1" si="99"/>
        <v>-63.044087632218144</v>
      </c>
      <c r="P289" s="109">
        <f t="shared" ca="1" si="99"/>
        <v>54.912532859574313</v>
      </c>
      <c r="Q289" s="109">
        <f t="shared" ca="1" si="99"/>
        <v>567.62193977087952</v>
      </c>
      <c r="R289" s="109">
        <f t="shared" ca="1" si="99"/>
        <v>754.15086309898948</v>
      </c>
      <c r="S289" s="109">
        <f t="shared" ca="1" si="99"/>
        <v>773.47285379796801</v>
      </c>
      <c r="T289" s="109">
        <f t="shared" ca="1" si="99"/>
        <v>783.24758799269682</v>
      </c>
      <c r="U289" s="109">
        <f t="shared" ca="1" si="99"/>
        <v>771.16633452556607</v>
      </c>
      <c r="V289" s="109">
        <f t="shared" ca="1" si="99"/>
        <v>734.56140319599797</v>
      </c>
      <c r="W289" s="109">
        <f t="shared" ca="1" si="99"/>
        <v>674.54781123012344</v>
      </c>
      <c r="X289" s="109">
        <f t="shared" ca="1" si="99"/>
        <v>626.45820299184231</v>
      </c>
      <c r="Y289" s="109">
        <f t="shared" ca="1" si="99"/>
        <v>581.72956400706323</v>
      </c>
      <c r="Z289" s="109">
        <f t="shared" ca="1" si="99"/>
        <v>540.13408575123958</v>
      </c>
      <c r="AA289" s="109">
        <f t="shared" ca="1" si="99"/>
        <v>394.48370935886845</v>
      </c>
      <c r="AB289" s="109">
        <f t="shared" ca="1" si="99"/>
        <v>303.74313174877608</v>
      </c>
      <c r="AC289" s="109">
        <f t="shared" ca="1" si="99"/>
        <v>236.21526049821685</v>
      </c>
      <c r="AD289" s="109">
        <f t="shared" ca="1" si="99"/>
        <v>158.43868314215425</v>
      </c>
      <c r="AE289" s="109">
        <f t="shared" ca="1" si="99"/>
        <v>113.57816864280245</v>
      </c>
      <c r="AF289" s="109">
        <f t="shared" ca="1" si="99"/>
        <v>93.637423451869651</v>
      </c>
      <c r="AG289" s="109">
        <f t="shared" ca="1" si="99"/>
        <v>63.272912338686282</v>
      </c>
      <c r="AH289" s="109">
        <f t="shared" ca="1" si="99"/>
        <v>44.914606339824118</v>
      </c>
      <c r="AI289" s="109">
        <f t="shared" ca="1" si="99"/>
        <v>33.16575511229027</v>
      </c>
      <c r="AJ289" s="109">
        <f t="shared" ca="1" si="99"/>
        <v>24.760552882760699</v>
      </c>
      <c r="AK289" s="109">
        <f t="shared" ca="1" si="99"/>
        <v>17.318747319923162</v>
      </c>
      <c r="AL289" s="109">
        <f t="shared" ca="1" si="99"/>
        <v>11.901361457996424</v>
      </c>
      <c r="AM289" s="109">
        <f t="shared" ca="1" si="99"/>
        <v>8.7746411151533152</v>
      </c>
      <c r="AN289" s="109">
        <f t="shared" ca="1" si="99"/>
        <v>5.6160964815067995</v>
      </c>
      <c r="AO289" s="109">
        <f t="shared" ca="1" si="99"/>
        <v>3.5807529056982839</v>
      </c>
      <c r="AP289" s="109">
        <f t="shared" ca="1" si="99"/>
        <v>0</v>
      </c>
      <c r="AQ289" s="109">
        <f t="shared" ca="1" si="99"/>
        <v>0</v>
      </c>
      <c r="AR289" s="109">
        <f t="shared" ca="1" si="99"/>
        <v>0</v>
      </c>
      <c r="AS289" s="109">
        <f t="shared" ca="1" si="99"/>
        <v>0</v>
      </c>
      <c r="AT289" s="109">
        <f t="shared" ca="1" si="99"/>
        <v>0</v>
      </c>
      <c r="AU289" s="109">
        <f t="shared" ca="1" si="99"/>
        <v>0</v>
      </c>
      <c r="AV289" s="109">
        <f t="shared" ca="1" si="99"/>
        <v>0</v>
      </c>
      <c r="AW289" s="109">
        <f t="shared" ca="1" si="99"/>
        <v>0</v>
      </c>
      <c r="AX289" s="109">
        <f t="shared" ca="1" si="99"/>
        <v>0</v>
      </c>
    </row>
    <row r="290" spans="1:50" s="109" customFormat="1" ht="15" customHeight="1" x14ac:dyDescent="0.25">
      <c r="A290" s="106"/>
      <c r="B290" s="168"/>
      <c r="E290" s="109" t="str">
        <f t="shared" si="93"/>
        <v>Net cashflow after fiscal regime: IOC: FID forward</v>
      </c>
      <c r="G290" s="109" t="str">
        <f t="shared" si="94"/>
        <v>US$ mn 2021 NPV8</v>
      </c>
      <c r="K290" s="109">
        <f t="shared" ref="K290:AX290" ca="1" si="100" xml:space="preserve"> IFERROR( K235 * K$282, 0)</f>
        <v>0</v>
      </c>
      <c r="L290" s="109">
        <f t="shared" ca="1" si="100"/>
        <v>-15</v>
      </c>
      <c r="M290" s="109">
        <f t="shared" ca="1" si="100"/>
        <v>-83.333333333333357</v>
      </c>
      <c r="N290" s="109">
        <f t="shared" ca="1" si="100"/>
        <v>-308.64197530864192</v>
      </c>
      <c r="O290" s="109">
        <f t="shared" ca="1" si="100"/>
        <v>-243.64636370561905</v>
      </c>
      <c r="P290" s="109">
        <f t="shared" ca="1" si="100"/>
        <v>240.29383176980139</v>
      </c>
      <c r="Q290" s="109">
        <f t="shared" ca="1" si="100"/>
        <v>277.78475944717724</v>
      </c>
      <c r="R290" s="109">
        <f t="shared" ca="1" si="100"/>
        <v>451.20594006295147</v>
      </c>
      <c r="S290" s="109">
        <f t="shared" ca="1" si="100"/>
        <v>470.91980084542462</v>
      </c>
      <c r="T290" s="109">
        <f t="shared" ca="1" si="100"/>
        <v>379.38893759728154</v>
      </c>
      <c r="U290" s="109">
        <f t="shared" ca="1" si="100"/>
        <v>314.69062776849159</v>
      </c>
      <c r="V290" s="109">
        <f t="shared" ca="1" si="100"/>
        <v>279.2343953388343</v>
      </c>
      <c r="W290" s="109">
        <f t="shared" ca="1" si="100"/>
        <v>250.09877823257347</v>
      </c>
      <c r="X290" s="109">
        <f t="shared" ca="1" si="100"/>
        <v>236.80989343800525</v>
      </c>
      <c r="Y290" s="109">
        <f t="shared" ca="1" si="100"/>
        <v>223.97014864789625</v>
      </c>
      <c r="Z290" s="109">
        <f t="shared" ca="1" si="100"/>
        <v>211.60045374268154</v>
      </c>
      <c r="AA290" s="109">
        <f t="shared" ca="1" si="100"/>
        <v>199.01517616400616</v>
      </c>
      <c r="AB290" s="109">
        <f t="shared" ca="1" si="100"/>
        <v>183.76004529835208</v>
      </c>
      <c r="AC290" s="109">
        <f t="shared" ca="1" si="100"/>
        <v>143.69399946783261</v>
      </c>
      <c r="AD290" s="109">
        <f t="shared" ca="1" si="100"/>
        <v>69.910779547053991</v>
      </c>
      <c r="AE290" s="109">
        <f t="shared" ca="1" si="100"/>
        <v>45.622020008079637</v>
      </c>
      <c r="AF290" s="109">
        <f t="shared" ca="1" si="100"/>
        <v>55.990543136295109</v>
      </c>
      <c r="AG290" s="109">
        <f t="shared" ca="1" si="100"/>
        <v>45.520042923570998</v>
      </c>
      <c r="AH290" s="109">
        <f t="shared" ca="1" si="100"/>
        <v>32.812656165969258</v>
      </c>
      <c r="AI290" s="109">
        <f t="shared" ca="1" si="100"/>
        <v>21.733977413792815</v>
      </c>
      <c r="AJ290" s="109">
        <f t="shared" ca="1" si="100"/>
        <v>13.44117903541783</v>
      </c>
      <c r="AK290" s="109">
        <f t="shared" ca="1" si="100"/>
        <v>8.7377621686722993</v>
      </c>
      <c r="AL290" s="109">
        <f t="shared" ca="1" si="100"/>
        <v>5.3844301601083018</v>
      </c>
      <c r="AM290" s="109">
        <f t="shared" ca="1" si="100"/>
        <v>3.8812755490900668</v>
      </c>
      <c r="AN290" s="109">
        <f t="shared" ca="1" si="100"/>
        <v>1.8707740314673904</v>
      </c>
      <c r="AO290" s="109">
        <f t="shared" ca="1" si="100"/>
        <v>0.72290755037241194</v>
      </c>
      <c r="AP290" s="109">
        <f t="shared" ca="1" si="100"/>
        <v>0</v>
      </c>
      <c r="AQ290" s="109">
        <f t="shared" ca="1" si="100"/>
        <v>0</v>
      </c>
      <c r="AR290" s="109">
        <f t="shared" ca="1" si="100"/>
        <v>0</v>
      </c>
      <c r="AS290" s="109">
        <f t="shared" ca="1" si="100"/>
        <v>0</v>
      </c>
      <c r="AT290" s="109">
        <f t="shared" ca="1" si="100"/>
        <v>0</v>
      </c>
      <c r="AU290" s="109">
        <f t="shared" ca="1" si="100"/>
        <v>0</v>
      </c>
      <c r="AV290" s="109">
        <f t="shared" ca="1" si="100"/>
        <v>0</v>
      </c>
      <c r="AW290" s="109">
        <f t="shared" ca="1" si="100"/>
        <v>0</v>
      </c>
      <c r="AX290" s="109">
        <f t="shared" ca="1" si="100"/>
        <v>0</v>
      </c>
    </row>
    <row r="291" spans="1:50" s="109" customFormat="1" ht="15" customHeight="1" x14ac:dyDescent="0.25">
      <c r="A291" s="106"/>
      <c r="B291" s="168"/>
      <c r="E291" s="109" t="str">
        <f t="shared" si="93"/>
        <v>Lender cashflows after interest withholding tax: IOC parent: FID forward</v>
      </c>
      <c r="G291" s="109" t="str">
        <f t="shared" si="94"/>
        <v>US$ mn 2021 NPV8</v>
      </c>
      <c r="K291" s="109">
        <f t="shared" ref="K291:AX291" ca="1" si="101" xml:space="preserve"> IFERROR( K236 * K$282, 0)</f>
        <v>0</v>
      </c>
      <c r="L291" s="109">
        <f t="shared" ca="1" si="101"/>
        <v>-27.999999999999996</v>
      </c>
      <c r="M291" s="109">
        <f t="shared" ca="1" si="101"/>
        <v>-155.55555555555554</v>
      </c>
      <c r="N291" s="109">
        <f t="shared" ca="1" si="101"/>
        <v>-576.13168724279831</v>
      </c>
      <c r="O291" s="109">
        <f t="shared" ca="1" si="101"/>
        <v>-533.45526596555396</v>
      </c>
      <c r="P291" s="109">
        <f t="shared" ca="1" si="101"/>
        <v>-864.3951068886289</v>
      </c>
      <c r="Q291" s="109">
        <f t="shared" ca="1" si="101"/>
        <v>278.40630488392804</v>
      </c>
      <c r="R291" s="109">
        <f t="shared" ca="1" si="101"/>
        <v>244.82105070280338</v>
      </c>
      <c r="S291" s="109">
        <f t="shared" ca="1" si="101"/>
        <v>215.06269650602007</v>
      </c>
      <c r="T291" s="109">
        <f t="shared" ca="1" si="101"/>
        <v>188.71102177058819</v>
      </c>
      <c r="U291" s="109">
        <f t="shared" ca="1" si="101"/>
        <v>165.39076674350409</v>
      </c>
      <c r="V291" s="109">
        <f t="shared" ca="1" si="101"/>
        <v>144.76691353698442</v>
      </c>
      <c r="W291" s="109">
        <f t="shared" ca="1" si="101"/>
        <v>126.54045521920909</v>
      </c>
      <c r="X291" s="109">
        <f t="shared" ca="1" si="101"/>
        <v>110.44460302573776</v>
      </c>
      <c r="Y291" s="109">
        <f t="shared" ca="1" si="101"/>
        <v>96.241386865602536</v>
      </c>
      <c r="Z291" s="109">
        <f t="shared" ca="1" si="101"/>
        <v>83.718608837859364</v>
      </c>
      <c r="AA291" s="109">
        <f t="shared" ca="1" si="101"/>
        <v>0</v>
      </c>
      <c r="AB291" s="109">
        <f t="shared" ca="1" si="101"/>
        <v>0</v>
      </c>
      <c r="AC291" s="109">
        <f t="shared" ca="1" si="101"/>
        <v>0</v>
      </c>
      <c r="AD291" s="109">
        <f t="shared" ca="1" si="101"/>
        <v>0</v>
      </c>
      <c r="AE291" s="109">
        <f t="shared" ca="1" si="101"/>
        <v>0</v>
      </c>
      <c r="AF291" s="109">
        <f t="shared" ca="1" si="101"/>
        <v>0</v>
      </c>
      <c r="AG291" s="109">
        <f t="shared" ca="1" si="101"/>
        <v>0</v>
      </c>
      <c r="AH291" s="109">
        <f t="shared" ca="1" si="101"/>
        <v>0</v>
      </c>
      <c r="AI291" s="109">
        <f t="shared" ca="1" si="101"/>
        <v>0</v>
      </c>
      <c r="AJ291" s="109">
        <f t="shared" ca="1" si="101"/>
        <v>0</v>
      </c>
      <c r="AK291" s="109">
        <f t="shared" ca="1" si="101"/>
        <v>0</v>
      </c>
      <c r="AL291" s="109">
        <f t="shared" ca="1" si="101"/>
        <v>0</v>
      </c>
      <c r="AM291" s="109">
        <f t="shared" ca="1" si="101"/>
        <v>0</v>
      </c>
      <c r="AN291" s="109">
        <f t="shared" ca="1" si="101"/>
        <v>0</v>
      </c>
      <c r="AO291" s="109">
        <f t="shared" ca="1" si="101"/>
        <v>0</v>
      </c>
      <c r="AP291" s="109">
        <f t="shared" ca="1" si="101"/>
        <v>0</v>
      </c>
      <c r="AQ291" s="109">
        <f t="shared" ca="1" si="101"/>
        <v>0</v>
      </c>
      <c r="AR291" s="109">
        <f t="shared" ca="1" si="101"/>
        <v>0</v>
      </c>
      <c r="AS291" s="109">
        <f t="shared" ca="1" si="101"/>
        <v>0</v>
      </c>
      <c r="AT291" s="109">
        <f t="shared" ca="1" si="101"/>
        <v>0</v>
      </c>
      <c r="AU291" s="109">
        <f t="shared" ca="1" si="101"/>
        <v>0</v>
      </c>
      <c r="AV291" s="109">
        <f t="shared" ca="1" si="101"/>
        <v>0</v>
      </c>
      <c r="AW291" s="109">
        <f t="shared" ca="1" si="101"/>
        <v>0</v>
      </c>
      <c r="AX291" s="109">
        <f t="shared" ca="1" si="101"/>
        <v>0</v>
      </c>
    </row>
    <row r="292" spans="1:50" s="109" customFormat="1" ht="15" customHeight="1" x14ac:dyDescent="0.25">
      <c r="A292" s="106"/>
      <c r="B292" s="168"/>
      <c r="E292" s="109" t="str">
        <f t="shared" si="93"/>
        <v>Investors (IOC + Lender): FID forward</v>
      </c>
      <c r="G292" s="109" t="str">
        <f t="shared" si="94"/>
        <v>US$ mn 2021 NPV8</v>
      </c>
      <c r="K292" s="109">
        <f t="shared" ref="K292:AX292" ca="1" si="102" xml:space="preserve"> IFERROR( K237 * K$282, 0)</f>
        <v>0</v>
      </c>
      <c r="L292" s="109">
        <f t="shared" ca="1" si="102"/>
        <v>-43</v>
      </c>
      <c r="M292" s="109">
        <f t="shared" ca="1" si="102"/>
        <v>-238.88888888888886</v>
      </c>
      <c r="N292" s="109">
        <f t="shared" ca="1" si="102"/>
        <v>-884.77366255144022</v>
      </c>
      <c r="O292" s="109">
        <f t="shared" ca="1" si="102"/>
        <v>-777.10162967117299</v>
      </c>
      <c r="P292" s="109">
        <f t="shared" ca="1" si="102"/>
        <v>-624.10127511882763</v>
      </c>
      <c r="Q292" s="109">
        <f t="shared" ca="1" si="102"/>
        <v>556.19106433110528</v>
      </c>
      <c r="R292" s="109">
        <f t="shared" ca="1" si="102"/>
        <v>696.02699076575482</v>
      </c>
      <c r="S292" s="109">
        <f t="shared" ca="1" si="102"/>
        <v>685.98249735144464</v>
      </c>
      <c r="T292" s="109">
        <f t="shared" ca="1" si="102"/>
        <v>568.09995936786959</v>
      </c>
      <c r="U292" s="109">
        <f t="shared" ca="1" si="102"/>
        <v>480.08139451199565</v>
      </c>
      <c r="V292" s="109">
        <f t="shared" ca="1" si="102"/>
        <v>424.00130887581872</v>
      </c>
      <c r="W292" s="109">
        <f t="shared" ca="1" si="102"/>
        <v>376.6392334517825</v>
      </c>
      <c r="X292" s="109">
        <f t="shared" ca="1" si="102"/>
        <v>347.25449646374295</v>
      </c>
      <c r="Y292" s="109">
        <f t="shared" ca="1" si="102"/>
        <v>320.2115355134988</v>
      </c>
      <c r="Z292" s="109">
        <f t="shared" ca="1" si="102"/>
        <v>295.31906258054084</v>
      </c>
      <c r="AA292" s="109">
        <f t="shared" ca="1" si="102"/>
        <v>199.01517616400616</v>
      </c>
      <c r="AB292" s="109">
        <f t="shared" ca="1" si="102"/>
        <v>183.76004529835208</v>
      </c>
      <c r="AC292" s="109">
        <f t="shared" ca="1" si="102"/>
        <v>143.69399946783261</v>
      </c>
      <c r="AD292" s="109">
        <f t="shared" ca="1" si="102"/>
        <v>69.910779547053991</v>
      </c>
      <c r="AE292" s="109">
        <f t="shared" ca="1" si="102"/>
        <v>45.622020008079637</v>
      </c>
      <c r="AF292" s="109">
        <f t="shared" ca="1" si="102"/>
        <v>55.990543136295109</v>
      </c>
      <c r="AG292" s="109">
        <f t="shared" ca="1" si="102"/>
        <v>45.520042923570998</v>
      </c>
      <c r="AH292" s="109">
        <f t="shared" ca="1" si="102"/>
        <v>32.812656165969258</v>
      </c>
      <c r="AI292" s="109">
        <f t="shared" ca="1" si="102"/>
        <v>21.733977413792815</v>
      </c>
      <c r="AJ292" s="109">
        <f t="shared" ca="1" si="102"/>
        <v>13.44117903541783</v>
      </c>
      <c r="AK292" s="109">
        <f t="shared" ca="1" si="102"/>
        <v>8.7377621686722993</v>
      </c>
      <c r="AL292" s="109">
        <f t="shared" ca="1" si="102"/>
        <v>5.3844301601083018</v>
      </c>
      <c r="AM292" s="109">
        <f t="shared" ca="1" si="102"/>
        <v>3.8812755490900668</v>
      </c>
      <c r="AN292" s="109">
        <f t="shared" ca="1" si="102"/>
        <v>1.8707740314673904</v>
      </c>
      <c r="AO292" s="109">
        <f t="shared" ca="1" si="102"/>
        <v>0.72290755037241194</v>
      </c>
      <c r="AP292" s="109">
        <f t="shared" ca="1" si="102"/>
        <v>0</v>
      </c>
      <c r="AQ292" s="109">
        <f t="shared" ca="1" si="102"/>
        <v>0</v>
      </c>
      <c r="AR292" s="109">
        <f t="shared" ca="1" si="102"/>
        <v>0</v>
      </c>
      <c r="AS292" s="109">
        <f t="shared" ca="1" si="102"/>
        <v>0</v>
      </c>
      <c r="AT292" s="109">
        <f t="shared" ca="1" si="102"/>
        <v>0</v>
      </c>
      <c r="AU292" s="109">
        <f t="shared" ca="1" si="102"/>
        <v>0</v>
      </c>
      <c r="AV292" s="109">
        <f t="shared" ca="1" si="102"/>
        <v>0</v>
      </c>
      <c r="AW292" s="109">
        <f t="shared" ca="1" si="102"/>
        <v>0</v>
      </c>
      <c r="AX292" s="109">
        <f t="shared" ca="1" si="102"/>
        <v>0</v>
      </c>
    </row>
    <row r="293" spans="1:50" s="109" customFormat="1" ht="15" customHeight="1" x14ac:dyDescent="0.25">
      <c r="A293" s="106"/>
      <c r="B293" s="168"/>
      <c r="E293" s="109" t="str">
        <f t="shared" si="93"/>
        <v>Project benefits: FID forward</v>
      </c>
      <c r="G293" s="109" t="str">
        <f t="shared" si="94"/>
        <v>US$ mn 2021 NPV8</v>
      </c>
      <c r="K293" s="109">
        <f t="shared" ref="K293:AX293" ca="1" si="103" xml:space="preserve"> IFERROR( K238 * K$282, 0)</f>
        <v>0</v>
      </c>
      <c r="L293" s="109">
        <f t="shared" ca="1" si="103"/>
        <v>0</v>
      </c>
      <c r="M293" s="109">
        <f t="shared" ca="1" si="103"/>
        <v>0</v>
      </c>
      <c r="N293" s="109">
        <f t="shared" ca="1" si="103"/>
        <v>0</v>
      </c>
      <c r="O293" s="109">
        <f t="shared" ca="1" si="103"/>
        <v>112.45297192081239</v>
      </c>
      <c r="P293" s="109">
        <f t="shared" ca="1" si="103"/>
        <v>974.37394861329835</v>
      </c>
      <c r="Q293" s="109">
        <f t="shared" ca="1" si="103"/>
        <v>1872.454520839113</v>
      </c>
      <c r="R293" s="109">
        <f t="shared" ca="1" si="103"/>
        <v>1733.7541859621413</v>
      </c>
      <c r="S293" s="109">
        <f t="shared" ca="1" si="103"/>
        <v>1605.3279499649459</v>
      </c>
      <c r="T293" s="109">
        <f t="shared" ca="1" si="103"/>
        <v>1486.4147684860607</v>
      </c>
      <c r="U293" s="109">
        <f t="shared" ca="1" si="103"/>
        <v>1376.3099708204268</v>
      </c>
      <c r="V293" s="109">
        <f t="shared" ca="1" si="103"/>
        <v>1274.3610840929873</v>
      </c>
      <c r="W293" s="109">
        <f t="shared" ca="1" si="103"/>
        <v>1179.9639667527665</v>
      </c>
      <c r="X293" s="109">
        <f t="shared" ca="1" si="103"/>
        <v>1092.5592284747834</v>
      </c>
      <c r="Y293" s="109">
        <f t="shared" ca="1" si="103"/>
        <v>1011.6289152544291</v>
      </c>
      <c r="Z293" s="109">
        <f t="shared" ca="1" si="103"/>
        <v>936.69344005039727</v>
      </c>
      <c r="AA293" s="109">
        <f t="shared" ca="1" si="103"/>
        <v>686.94713981248299</v>
      </c>
      <c r="AB293" s="109">
        <f t="shared" ca="1" si="103"/>
        <v>500.79096576184855</v>
      </c>
      <c r="AC293" s="109">
        <f t="shared" ca="1" si="103"/>
        <v>391.97152277897635</v>
      </c>
      <c r="AD293" s="109">
        <f t="shared" ca="1" si="103"/>
        <v>289.34903504558457</v>
      </c>
      <c r="AE293" s="109">
        <f t="shared" ca="1" si="103"/>
        <v>215.48247666181231</v>
      </c>
      <c r="AF293" s="109">
        <f t="shared" ca="1" si="103"/>
        <v>158.6510922341833</v>
      </c>
      <c r="AG293" s="109">
        <f t="shared" ca="1" si="103"/>
        <v>116.98388268239032</v>
      </c>
      <c r="AH293" s="109">
        <f t="shared" ca="1" si="103"/>
        <v>85.162744913321532</v>
      </c>
      <c r="AI293" s="109">
        <f t="shared" ca="1" si="103"/>
        <v>61.649444225001155</v>
      </c>
      <c r="AJ293" s="109">
        <f t="shared" ca="1" si="103"/>
        <v>44.328921187348897</v>
      </c>
      <c r="AK293" s="109">
        <f t="shared" ca="1" si="103"/>
        <v>31.618591250732699</v>
      </c>
      <c r="AL293" s="109">
        <f t="shared" ca="1" si="103"/>
        <v>-11.46555550485798</v>
      </c>
      <c r="AM293" s="109">
        <f t="shared" ca="1" si="103"/>
        <v>15.593186015749982</v>
      </c>
      <c r="AN293" s="109">
        <f t="shared" ca="1" si="103"/>
        <v>10.153237026687515</v>
      </c>
      <c r="AO293" s="109">
        <f t="shared" ca="1" si="103"/>
        <v>6.7241093610392202</v>
      </c>
      <c r="AP293" s="109">
        <f t="shared" ca="1" si="103"/>
        <v>-24.844333137450306</v>
      </c>
      <c r="AQ293" s="109">
        <f t="shared" ca="1" si="103"/>
        <v>-23.004012164305838</v>
      </c>
      <c r="AR293" s="109">
        <f t="shared" ca="1" si="103"/>
        <v>0</v>
      </c>
      <c r="AS293" s="109">
        <f t="shared" ca="1" si="103"/>
        <v>0</v>
      </c>
      <c r="AT293" s="109">
        <f t="shared" ca="1" si="103"/>
        <v>0</v>
      </c>
      <c r="AU293" s="109">
        <f t="shared" ca="1" si="103"/>
        <v>0</v>
      </c>
      <c r="AV293" s="109">
        <f t="shared" ca="1" si="103"/>
        <v>0</v>
      </c>
      <c r="AW293" s="109">
        <f t="shared" ca="1" si="103"/>
        <v>0</v>
      </c>
      <c r="AX293" s="109">
        <f t="shared" ca="1" si="103"/>
        <v>0</v>
      </c>
    </row>
    <row r="294" spans="1:50" s="109" customFormat="1" ht="15" customHeight="1" x14ac:dyDescent="0.25">
      <c r="A294" s="106"/>
      <c r="B294" s="168"/>
    </row>
    <row r="295" spans="1:50" s="109" customFormat="1" ht="15" customHeight="1" x14ac:dyDescent="0.25">
      <c r="A295" s="106"/>
      <c r="B295" s="168"/>
      <c r="E295" s="109" t="str">
        <f>Translate!E$755 &amp; B280</f>
        <v>Check: Project participants: FID forward, real, NPV8</v>
      </c>
      <c r="F295" s="71">
        <f ca="1" xml:space="preserve"> MIN( 1, SUM(K295:AX295))</f>
        <v>0</v>
      </c>
      <c r="G295" s="109" t="str">
        <f xml:space="preserve"> Translate!E$604</f>
        <v>Check</v>
      </c>
      <c r="I295" s="109">
        <f ca="1" xml:space="preserve"> SUM(K295:AX295)</f>
        <v>0</v>
      </c>
      <c r="K295" s="71">
        <f t="shared" ref="K295:AX295" ca="1" si="104" xml:space="preserve"> IF( ABS(K285 + K286 - SUM(K289:K291)) &gt; CHK_TOL, 1, 0)</f>
        <v>0</v>
      </c>
      <c r="L295" s="71">
        <f t="shared" ca="1" si="104"/>
        <v>0</v>
      </c>
      <c r="M295" s="71">
        <f t="shared" ca="1" si="104"/>
        <v>0</v>
      </c>
      <c r="N295" s="71">
        <f t="shared" ca="1" si="104"/>
        <v>0</v>
      </c>
      <c r="O295" s="71">
        <f t="shared" ca="1" si="104"/>
        <v>0</v>
      </c>
      <c r="P295" s="71">
        <f t="shared" ca="1" si="104"/>
        <v>0</v>
      </c>
      <c r="Q295" s="71">
        <f t="shared" ca="1" si="104"/>
        <v>0</v>
      </c>
      <c r="R295" s="71">
        <f t="shared" ca="1" si="104"/>
        <v>0</v>
      </c>
      <c r="S295" s="71">
        <f t="shared" ca="1" si="104"/>
        <v>0</v>
      </c>
      <c r="T295" s="71">
        <f t="shared" ca="1" si="104"/>
        <v>0</v>
      </c>
      <c r="U295" s="71">
        <f t="shared" ca="1" si="104"/>
        <v>0</v>
      </c>
      <c r="V295" s="71">
        <f t="shared" ca="1" si="104"/>
        <v>0</v>
      </c>
      <c r="W295" s="71">
        <f t="shared" ca="1" si="104"/>
        <v>0</v>
      </c>
      <c r="X295" s="71">
        <f t="shared" ca="1" si="104"/>
        <v>0</v>
      </c>
      <c r="Y295" s="71">
        <f t="shared" ca="1" si="104"/>
        <v>0</v>
      </c>
      <c r="Z295" s="71">
        <f t="shared" ca="1" si="104"/>
        <v>0</v>
      </c>
      <c r="AA295" s="71">
        <f t="shared" ca="1" si="104"/>
        <v>0</v>
      </c>
      <c r="AB295" s="71">
        <f t="shared" ca="1" si="104"/>
        <v>0</v>
      </c>
      <c r="AC295" s="71">
        <f t="shared" ca="1" si="104"/>
        <v>0</v>
      </c>
      <c r="AD295" s="71">
        <f t="shared" ca="1" si="104"/>
        <v>0</v>
      </c>
      <c r="AE295" s="71">
        <f t="shared" ca="1" si="104"/>
        <v>0</v>
      </c>
      <c r="AF295" s="71">
        <f t="shared" ca="1" si="104"/>
        <v>0</v>
      </c>
      <c r="AG295" s="71">
        <f t="shared" ca="1" si="104"/>
        <v>0</v>
      </c>
      <c r="AH295" s="71">
        <f t="shared" ca="1" si="104"/>
        <v>0</v>
      </c>
      <c r="AI295" s="71">
        <f t="shared" ca="1" si="104"/>
        <v>0</v>
      </c>
      <c r="AJ295" s="71">
        <f t="shared" ca="1" si="104"/>
        <v>0</v>
      </c>
      <c r="AK295" s="71">
        <f t="shared" ca="1" si="104"/>
        <v>0</v>
      </c>
      <c r="AL295" s="71">
        <f t="shared" ca="1" si="104"/>
        <v>0</v>
      </c>
      <c r="AM295" s="71">
        <f t="shared" ca="1" si="104"/>
        <v>0</v>
      </c>
      <c r="AN295" s="71">
        <f t="shared" ca="1" si="104"/>
        <v>0</v>
      </c>
      <c r="AO295" s="71">
        <f t="shared" ca="1" si="104"/>
        <v>0</v>
      </c>
      <c r="AP295" s="71">
        <f t="shared" ca="1" si="104"/>
        <v>0</v>
      </c>
      <c r="AQ295" s="71">
        <f t="shared" ca="1" si="104"/>
        <v>0</v>
      </c>
      <c r="AR295" s="71">
        <f t="shared" ca="1" si="104"/>
        <v>0</v>
      </c>
      <c r="AS295" s="71">
        <f t="shared" ca="1" si="104"/>
        <v>0</v>
      </c>
      <c r="AT295" s="71">
        <f t="shared" ca="1" si="104"/>
        <v>0</v>
      </c>
      <c r="AU295" s="71">
        <f t="shared" ca="1" si="104"/>
        <v>0</v>
      </c>
      <c r="AV295" s="71">
        <f t="shared" ca="1" si="104"/>
        <v>0</v>
      </c>
      <c r="AW295" s="71">
        <f t="shared" ca="1" si="104"/>
        <v>0</v>
      </c>
      <c r="AX295" s="71">
        <f t="shared" ca="1" si="104"/>
        <v>0</v>
      </c>
    </row>
    <row r="296" spans="1:50" s="109" customFormat="1" ht="15" customHeight="1" x14ac:dyDescent="0.25">
      <c r="A296" s="106"/>
      <c r="B296" s="168"/>
    </row>
    <row r="297" spans="1:50" s="109" customFormat="1" ht="15" customHeight="1" x14ac:dyDescent="0.25">
      <c r="A297" s="106"/>
      <c r="B297" s="168"/>
      <c r="E297" s="109" t="str">
        <f xml:space="preserve"> Translate!E$601 &amp; ": " &amp; E285</f>
        <v>Total: Cashflow before decommissioning fund: FID forward</v>
      </c>
      <c r="F297" s="191">
        <f t="shared" ref="F297:F305" ca="1" si="105" xml:space="preserve"> SUM(K285:AX285)</f>
        <v>11246.881833697722</v>
      </c>
      <c r="G297" s="109" t="str">
        <f t="shared" ref="G297:G305" si="106" xml:space="preserve"> G285</f>
        <v>US$ mn 2021 NPV8</v>
      </c>
    </row>
    <row r="298" spans="1:50" s="109" customFormat="1" ht="15" customHeight="1" x14ac:dyDescent="0.25">
      <c r="A298" s="106"/>
      <c r="B298" s="168"/>
      <c r="E298" s="109" t="str">
        <f xml:space="preserve"> Translate!E$601 &amp; ": " &amp; E286</f>
        <v>Total: Net decommissioning cashflows: FID forward</v>
      </c>
      <c r="F298" s="191">
        <f t="shared" ca="1" si="105"/>
        <v>-110.4030944077535</v>
      </c>
      <c r="G298" s="109" t="str">
        <f t="shared" si="106"/>
        <v>US$ mn 2021 NPV8</v>
      </c>
    </row>
    <row r="299" spans="1:50" s="109" customFormat="1" ht="15" customHeight="1" x14ac:dyDescent="0.25">
      <c r="A299" s="106"/>
      <c r="B299" s="168"/>
      <c r="E299" s="109" t="str">
        <f xml:space="preserve"> Translate!E$601 &amp; ": " &amp; E287</f>
        <v>Total: Government revenues excluding participation: FID forward</v>
      </c>
      <c r="F299" s="191">
        <f t="shared" ca="1" si="105"/>
        <v>6731.6747429537372</v>
      </c>
      <c r="G299" s="109" t="str">
        <f t="shared" si="106"/>
        <v>US$ mn 2021 NPV8</v>
      </c>
    </row>
    <row r="300" spans="1:50" s="109" customFormat="1" ht="15" customHeight="1" x14ac:dyDescent="0.25">
      <c r="A300" s="106"/>
      <c r="B300" s="168"/>
      <c r="E300" s="109" t="str">
        <f xml:space="preserve"> Translate!E$601 &amp; ": " &amp; E288</f>
        <v>Total: SOC net cash flow before tax, after carried interest, including share of lender cashflows: FID forward</v>
      </c>
      <c r="F300" s="191">
        <f t="shared" ca="1" si="105"/>
        <v>1390.7643407329244</v>
      </c>
      <c r="G300" s="109" t="str">
        <f t="shared" si="106"/>
        <v>US$ mn 2021 NPV8</v>
      </c>
    </row>
    <row r="301" spans="1:50" s="109" customFormat="1" ht="15" customHeight="1" x14ac:dyDescent="0.25">
      <c r="A301" s="106"/>
      <c r="B301" s="168"/>
      <c r="E301" s="109" t="str">
        <f xml:space="preserve"> Translate!E$601 &amp; ": " &amp; E289</f>
        <v>Total: Government revenues including participation: FID forward</v>
      </c>
      <c r="F301" s="191">
        <f t="shared" ca="1" si="105"/>
        <v>8122.4390836866605</v>
      </c>
      <c r="G301" s="109" t="str">
        <f t="shared" si="106"/>
        <v>US$ mn 2021 NPV8</v>
      </c>
    </row>
    <row r="302" spans="1:50" s="109" customFormat="1" ht="15" customHeight="1" x14ac:dyDescent="0.25">
      <c r="A302" s="106"/>
      <c r="B302" s="168"/>
      <c r="E302" s="109" t="str">
        <f xml:space="preserve"> Translate!E$601 &amp; ": " &amp; E290</f>
        <v>Total: Net cashflow after fiscal regime: IOC: FID forward</v>
      </c>
      <c r="F302" s="191">
        <f t="shared" ca="1" si="105"/>
        <v>3517.4734631636056</v>
      </c>
      <c r="G302" s="109" t="str">
        <f t="shared" si="106"/>
        <v>US$ mn 2021 NPV8</v>
      </c>
    </row>
    <row r="303" spans="1:50" s="109" customFormat="1" ht="15" customHeight="1" x14ac:dyDescent="0.25">
      <c r="A303" s="106"/>
      <c r="B303" s="168"/>
      <c r="E303" s="109" t="str">
        <f xml:space="preserve"> Translate!E$601 &amp; ": " &amp; E291</f>
        <v>Total: Lender cashflows after interest withholding tax: IOC parent: FID forward</v>
      </c>
      <c r="F303" s="191">
        <f t="shared" ca="1" si="105"/>
        <v>-503.43380756029967</v>
      </c>
      <c r="G303" s="109" t="str">
        <f t="shared" si="106"/>
        <v>US$ mn 2021 NPV8</v>
      </c>
    </row>
    <row r="304" spans="1:50" s="109" customFormat="1" ht="15" customHeight="1" x14ac:dyDescent="0.25">
      <c r="A304" s="106"/>
      <c r="B304" s="168"/>
      <c r="E304" s="109" t="str">
        <f xml:space="preserve"> Translate!E$601 &amp; ": " &amp; E292</f>
        <v>Total: Investors (IOC + Lender): FID forward</v>
      </c>
      <c r="F304" s="191">
        <f t="shared" ca="1" si="105"/>
        <v>3014.0396556033056</v>
      </c>
      <c r="G304" s="109" t="str">
        <f t="shared" si="106"/>
        <v>US$ mn 2021 NPV8</v>
      </c>
    </row>
    <row r="305" spans="1:11" s="109" customFormat="1" ht="15" customHeight="1" x14ac:dyDescent="0.25">
      <c r="A305" s="106"/>
      <c r="B305" s="168"/>
      <c r="E305" s="109" t="str">
        <f xml:space="preserve"> Translate!E$601 &amp; ": " &amp; E293</f>
        <v>Total: Project benefits: FID forward</v>
      </c>
      <c r="F305" s="109">
        <f t="shared" ca="1" si="105"/>
        <v>17212.387399382704</v>
      </c>
      <c r="G305" s="109" t="str">
        <f t="shared" si="106"/>
        <v>US$ mn 2021 NPV8</v>
      </c>
    </row>
    <row r="306" spans="1:11" s="109" customFormat="1" ht="15" customHeight="1" x14ac:dyDescent="0.25">
      <c r="A306" s="106"/>
      <c r="B306" s="168"/>
    </row>
    <row r="307" spans="1:11" s="109" customFormat="1" ht="15" customHeight="1" x14ac:dyDescent="0.25">
      <c r="A307" s="106"/>
      <c r="B307" s="168"/>
      <c r="E307" s="109" t="str">
        <f>Translate!E$755 &amp; Translate!E$601 &amp; " " &amp; B280</f>
        <v>Check: Total Project participants: FID forward, real, NPV8</v>
      </c>
      <c r="F307" s="71">
        <f ca="1" xml:space="preserve"> IF( ABS(F297 + F298 - SUM(F301:F303)) &gt; CHK_TOL, 1, 0)</f>
        <v>0</v>
      </c>
      <c r="G307" s="109" t="str">
        <f xml:space="preserve"> Translate!E$604</f>
        <v>Check</v>
      </c>
    </row>
    <row r="309" spans="1:11" s="109" customFormat="1" ht="15" customHeight="1" x14ac:dyDescent="0.25">
      <c r="A309" s="106"/>
      <c r="B309" s="189" t="str">
        <f>Translate!$E$703 &amp; ": " &amp; Inputs!F$90 &amp; ", " &amp; Inputs!F$91 &amp; ", " &amp; Inputs!F$63</f>
        <v>Government share metrics: FID forward, real, NPV8</v>
      </c>
    </row>
    <row r="310" spans="1:11" s="109" customFormat="1" ht="15" customHeight="1" x14ac:dyDescent="0.25">
      <c r="A310" s="106"/>
      <c r="B310" s="168"/>
      <c r="E310" s="109" t="str">
        <f>Translate!$E$707</f>
        <v>Average effective tax rate (excl. participation)</v>
      </c>
      <c r="F310" s="76">
        <f ca="1" xml:space="preserve"> F299 / F297</f>
        <v>0.59853698496096974</v>
      </c>
      <c r="G310" s="109" t="str">
        <f xml:space="preserve"> "% " &amp; Inputs!F$90 &amp; ", " &amp; Inputs!F$91 &amp; ", " &amp; $F$283</f>
        <v>% FID forward, real, NPV8</v>
      </c>
    </row>
    <row r="311" spans="1:11" s="109" customFormat="1" ht="15" customHeight="1" x14ac:dyDescent="0.25">
      <c r="A311" s="106"/>
      <c r="B311" s="168"/>
      <c r="E311" s="191" t="str">
        <f>Translate!$E$708</f>
        <v>Average effective tax rate (incl. participation)</v>
      </c>
      <c r="F311" s="334">
        <f ca="1" xml:space="preserve"> F301 / F297</f>
        <v>0.7221947561812504</v>
      </c>
      <c r="G311" s="109" t="str">
        <f xml:space="preserve"> "% " &amp; Inputs!F$90 &amp; ", " &amp; Inputs!F$91 &amp; ", " &amp; $F$283</f>
        <v>% FID forward, real, NPV8</v>
      </c>
    </row>
    <row r="312" spans="1:11" s="109" customFormat="1" ht="15" customHeight="1" x14ac:dyDescent="0.25">
      <c r="A312" s="106"/>
      <c r="B312" s="168"/>
      <c r="E312" s="109" t="str">
        <f>Translate!$E$119</f>
        <v>Government share of project benefits</v>
      </c>
      <c r="F312" s="334">
        <f ca="1" xml:space="preserve"> F301 / F305</f>
        <v>0.47189497280185311</v>
      </c>
      <c r="G312" s="109" t="str">
        <f xml:space="preserve"> "% " &amp; Inputs!F$90 &amp; ", " &amp; Inputs!F$91 &amp; ", " &amp; $F$283</f>
        <v>% FID forward, real, NPV8</v>
      </c>
      <c r="K312" s="413"/>
    </row>
    <row r="315" spans="1:11" x14ac:dyDescent="0.25">
      <c r="A315" s="66" t="str">
        <f ca="1">A$1 &amp; ": " &amp; Translate!E$626</f>
        <v>Analysis: Sheet checks</v>
      </c>
      <c r="B315" s="66"/>
      <c r="C315" s="66"/>
      <c r="D315" s="66"/>
      <c r="E315" s="66"/>
      <c r="F315" s="66"/>
      <c r="G315" s="66"/>
      <c r="H315" s="66"/>
    </row>
    <row r="316" spans="1:11" x14ac:dyDescent="0.25">
      <c r="A316" s="67"/>
      <c r="B316" s="68"/>
      <c r="C316" s="287"/>
      <c r="D316" s="69"/>
      <c r="E316" s="67"/>
      <c r="F316" s="1077" t="str">
        <f xml:space="preserve"> Translate!E$651</f>
        <v>do not delete row</v>
      </c>
      <c r="G316" s="67"/>
      <c r="H316" s="67"/>
    </row>
    <row r="317" spans="1:11" x14ac:dyDescent="0.25">
      <c r="A317" s="56"/>
      <c r="B317" s="56"/>
      <c r="C317" s="105"/>
      <c r="D317" s="105"/>
      <c r="E317" s="70" t="str">
        <f xml:space="preserve"> E$43</f>
        <v>Check:  Cashflows: nominal, full-cycle</v>
      </c>
      <c r="F317" s="71">
        <f ca="1" xml:space="preserve"> F$43</f>
        <v>0</v>
      </c>
      <c r="G317" s="73" t="str">
        <f xml:space="preserve"> G$43</f>
        <v>Check</v>
      </c>
      <c r="H317" s="52"/>
    </row>
    <row r="318" spans="1:11" x14ac:dyDescent="0.25">
      <c r="A318" s="56"/>
      <c r="B318" s="56"/>
      <c r="C318" s="105"/>
      <c r="D318" s="105"/>
      <c r="E318" s="70" t="str">
        <f xml:space="preserve"> E$55</f>
        <v>Check:  Total: Cashflows: full-cycle, nominal</v>
      </c>
      <c r="F318" s="71">
        <f ca="1" xml:space="preserve"> F$55</f>
        <v>0</v>
      </c>
      <c r="G318" s="73" t="str">
        <f xml:space="preserve"> G$55</f>
        <v>Check</v>
      </c>
      <c r="H318" s="52"/>
    </row>
    <row r="319" spans="1:11" x14ac:dyDescent="0.25">
      <c r="A319" s="56"/>
      <c r="B319" s="56"/>
      <c r="C319" s="105"/>
      <c r="D319" s="105"/>
      <c r="E319" s="70" t="str">
        <f xml:space="preserve"> E$110</f>
        <v>Check:  Project cashflows: real</v>
      </c>
      <c r="F319" s="71">
        <f ca="1" xml:space="preserve"> F$110</f>
        <v>0</v>
      </c>
      <c r="G319" s="297" t="str">
        <f xml:space="preserve"> G$110</f>
        <v>Check</v>
      </c>
      <c r="H319" s="52"/>
    </row>
    <row r="320" spans="1:11" x14ac:dyDescent="0.25">
      <c r="A320" s="56"/>
      <c r="B320" s="56"/>
      <c r="C320" s="105"/>
      <c r="D320" s="105"/>
      <c r="E320" s="70" t="str">
        <f xml:space="preserve"> E$140</f>
        <v>Check:  Cashflows: real, full-cycle</v>
      </c>
      <c r="F320" s="71">
        <f ca="1" xml:space="preserve"> F$140</f>
        <v>0</v>
      </c>
      <c r="G320" s="73" t="str">
        <f xml:space="preserve"> G$140</f>
        <v>Check</v>
      </c>
      <c r="H320" s="52"/>
    </row>
    <row r="321" spans="1:8" x14ac:dyDescent="0.25">
      <c r="A321" s="56"/>
      <c r="B321" s="56"/>
      <c r="C321" s="105"/>
      <c r="D321" s="105"/>
      <c r="E321" s="70" t="str">
        <f xml:space="preserve"> E$152</f>
        <v>Check: Total Cashflows: full-cycle, real</v>
      </c>
      <c r="F321" s="71">
        <f ca="1" xml:space="preserve"> F$152</f>
        <v>0</v>
      </c>
      <c r="G321" s="73" t="str">
        <f xml:space="preserve"> G$152</f>
        <v>Check</v>
      </c>
      <c r="H321" s="52"/>
    </row>
    <row r="322" spans="1:8" x14ac:dyDescent="0.25">
      <c r="A322" s="56"/>
      <c r="B322" s="56"/>
      <c r="C322" s="105"/>
      <c r="D322" s="105"/>
      <c r="E322" s="70" t="str">
        <f xml:space="preserve"> E$195</f>
        <v>Check: Project participants: full-cycle, real, NPV8</v>
      </c>
      <c r="F322" s="71">
        <f ca="1" xml:space="preserve"> F$195</f>
        <v>0</v>
      </c>
      <c r="G322" s="73" t="str">
        <f xml:space="preserve"> G$195</f>
        <v>Check</v>
      </c>
      <c r="H322" s="52"/>
    </row>
    <row r="323" spans="1:8" x14ac:dyDescent="0.25">
      <c r="A323" s="56"/>
      <c r="B323" s="56"/>
      <c r="C323" s="105"/>
      <c r="D323" s="105"/>
      <c r="E323" s="70" t="str">
        <f xml:space="preserve"> E$207</f>
        <v>Check: Total Project participants: full-cycle, real, NPV8</v>
      </c>
      <c r="F323" s="71">
        <f ca="1" xml:space="preserve"> F$207</f>
        <v>0</v>
      </c>
      <c r="G323" s="73" t="str">
        <f xml:space="preserve"> G$207</f>
        <v>Check</v>
      </c>
      <c r="H323" s="52"/>
    </row>
    <row r="324" spans="1:8" x14ac:dyDescent="0.25">
      <c r="A324" s="56"/>
      <c r="B324" s="56"/>
      <c r="C324" s="105"/>
      <c r="D324" s="105"/>
      <c r="E324" s="70" t="str">
        <f xml:space="preserve"> E$240</f>
        <v>Check: Cashflows: FID forward, real</v>
      </c>
      <c r="F324" s="71">
        <f ca="1" xml:space="preserve"> F$240</f>
        <v>0</v>
      </c>
      <c r="G324" s="73" t="str">
        <f xml:space="preserve"> G$240</f>
        <v>Check</v>
      </c>
      <c r="H324" s="52"/>
    </row>
    <row r="325" spans="1:8" x14ac:dyDescent="0.25">
      <c r="A325" s="56"/>
      <c r="B325" s="56"/>
      <c r="C325" s="105"/>
      <c r="D325" s="105"/>
      <c r="E325" s="70" t="str">
        <f xml:space="preserve"> E$252</f>
        <v>Check: Total Cashflows: FID forward, real</v>
      </c>
      <c r="F325" s="71">
        <f ca="1" xml:space="preserve"> F$252</f>
        <v>0</v>
      </c>
      <c r="G325" s="73" t="str">
        <f xml:space="preserve"> G$252</f>
        <v>Check</v>
      </c>
      <c r="H325" s="52"/>
    </row>
    <row r="326" spans="1:8" x14ac:dyDescent="0.25">
      <c r="A326" s="56"/>
      <c r="B326" s="56"/>
      <c r="C326" s="105"/>
      <c r="D326" s="105"/>
      <c r="E326" s="70" t="str">
        <f xml:space="preserve"> E$295</f>
        <v>Check: Project participants: FID forward, real, NPV8</v>
      </c>
      <c r="F326" s="71">
        <f ca="1" xml:space="preserve"> F$295</f>
        <v>0</v>
      </c>
      <c r="G326" s="73" t="str">
        <f xml:space="preserve"> G$295</f>
        <v>Check</v>
      </c>
      <c r="H326" s="52"/>
    </row>
    <row r="327" spans="1:8" x14ac:dyDescent="0.25">
      <c r="A327" s="56"/>
      <c r="B327" s="56"/>
      <c r="C327" s="105"/>
      <c r="D327" s="105"/>
      <c r="E327" s="70" t="str">
        <f xml:space="preserve"> E$307</f>
        <v>Check: Total Project participants: FID forward, real, NPV8</v>
      </c>
      <c r="F327" s="71">
        <f ca="1" xml:space="preserve"> F$307</f>
        <v>0</v>
      </c>
      <c r="G327" s="73" t="str">
        <f xml:space="preserve"> G$307</f>
        <v>Check</v>
      </c>
      <c r="H327" s="52"/>
    </row>
    <row r="328" spans="1:8" x14ac:dyDescent="0.25">
      <c r="A328" s="67"/>
      <c r="B328" s="68"/>
      <c r="C328" s="287"/>
      <c r="D328" s="69"/>
      <c r="E328" s="67"/>
      <c r="F328" s="1077" t="str">
        <f xml:space="preserve"> Translate!E$651</f>
        <v>do not delete row</v>
      </c>
      <c r="G328" s="67"/>
      <c r="H328" s="67"/>
    </row>
    <row r="329" spans="1:8" x14ac:dyDescent="0.25">
      <c r="A329" s="21"/>
      <c r="B329" s="21"/>
      <c r="C329" s="288"/>
      <c r="D329" s="289"/>
      <c r="E329" s="544" t="str">
        <f ca="1" xml:space="preserve"> Translate!E$604 &amp; ": " &amp; A$1</f>
        <v>Check: Analysis</v>
      </c>
      <c r="F329" s="72">
        <f ca="1" xml:space="preserve"> SUM(F316:F328)</f>
        <v>0</v>
      </c>
      <c r="G329" s="544" t="str">
        <f xml:space="preserve"> Translate!E$604</f>
        <v>Check</v>
      </c>
      <c r="H329" s="544"/>
    </row>
  </sheetData>
  <conditionalFormatting sqref="F43 F317:F327">
    <cfRule type="cellIs" dxfId="116" priority="61" stopIfTrue="1" operator="notEqual">
      <formula>0</formula>
    </cfRule>
    <cfRule type="cellIs" dxfId="115" priority="62" stopIfTrue="1" operator="equal">
      <formula>""</formula>
    </cfRule>
  </conditionalFormatting>
  <conditionalFormatting sqref="F140">
    <cfRule type="cellIs" dxfId="114" priority="59" stopIfTrue="1" operator="notEqual">
      <formula>0</formula>
    </cfRule>
    <cfRule type="cellIs" dxfId="113" priority="60" stopIfTrue="1" operator="equal">
      <formula>""</formula>
    </cfRule>
  </conditionalFormatting>
  <conditionalFormatting sqref="F195">
    <cfRule type="cellIs" dxfId="112" priority="57" stopIfTrue="1" operator="notEqual">
      <formula>0</formula>
    </cfRule>
    <cfRule type="cellIs" dxfId="111" priority="58" stopIfTrue="1" operator="equal">
      <formula>""</formula>
    </cfRule>
  </conditionalFormatting>
  <conditionalFormatting sqref="F55">
    <cfRule type="cellIs" dxfId="110" priority="47" stopIfTrue="1" operator="notEqual">
      <formula>0</formula>
    </cfRule>
    <cfRule type="cellIs" dxfId="109" priority="48" stopIfTrue="1" operator="equal">
      <formula>""</formula>
    </cfRule>
  </conditionalFormatting>
  <conditionalFormatting sqref="F252">
    <cfRule type="cellIs" dxfId="108" priority="45" stopIfTrue="1" operator="notEqual">
      <formula>0</formula>
    </cfRule>
    <cfRule type="cellIs" dxfId="107" priority="46" stopIfTrue="1" operator="equal">
      <formula>""</formula>
    </cfRule>
  </conditionalFormatting>
  <conditionalFormatting sqref="F207">
    <cfRule type="cellIs" dxfId="106" priority="41" stopIfTrue="1" operator="notEqual">
      <formula>0</formula>
    </cfRule>
    <cfRule type="cellIs" dxfId="105" priority="42" stopIfTrue="1" operator="equal">
      <formula>""</formula>
    </cfRule>
  </conditionalFormatting>
  <conditionalFormatting sqref="F307">
    <cfRule type="cellIs" dxfId="104" priority="39" stopIfTrue="1" operator="notEqual">
      <formula>0</formula>
    </cfRule>
    <cfRule type="cellIs" dxfId="103" priority="40" stopIfTrue="1" operator="equal">
      <formula>""</formula>
    </cfRule>
  </conditionalFormatting>
  <conditionalFormatting sqref="F152">
    <cfRule type="cellIs" dxfId="102" priority="37" stopIfTrue="1" operator="notEqual">
      <formula>0</formula>
    </cfRule>
    <cfRule type="cellIs" dxfId="101" priority="38" stopIfTrue="1" operator="equal">
      <formula>""</formula>
    </cfRule>
  </conditionalFormatting>
  <conditionalFormatting sqref="F110">
    <cfRule type="cellIs" dxfId="100" priority="35" stopIfTrue="1" operator="notEqual">
      <formula>0</formula>
    </cfRule>
    <cfRule type="cellIs" dxfId="99" priority="36" stopIfTrue="1" operator="equal">
      <formula>""</formula>
    </cfRule>
  </conditionalFormatting>
  <conditionalFormatting sqref="F329">
    <cfRule type="cellIs" dxfId="98" priority="31" stopIfTrue="1" operator="notEqual">
      <formula>0</formula>
    </cfRule>
    <cfRule type="cellIs" dxfId="97" priority="32" stopIfTrue="1" operator="equal">
      <formula>""</formula>
    </cfRule>
  </conditionalFormatting>
  <conditionalFormatting sqref="F3">
    <cfRule type="cellIs" dxfId="96" priority="25" stopIfTrue="1" operator="notEqual">
      <formula>0</formula>
    </cfRule>
    <cfRule type="cellIs" dxfId="95" priority="26" stopIfTrue="1" operator="equal">
      <formula>""</formula>
    </cfRule>
  </conditionalFormatting>
  <conditionalFormatting sqref="F3">
    <cfRule type="cellIs" dxfId="94" priority="23" stopIfTrue="1" operator="notEqual">
      <formula>0</formula>
    </cfRule>
    <cfRule type="cellIs" dxfId="93" priority="24" stopIfTrue="1" operator="equal">
      <formula>""</formula>
    </cfRule>
  </conditionalFormatting>
  <conditionalFormatting sqref="K3">
    <cfRule type="cellIs" dxfId="92" priority="17" stopIfTrue="1" operator="notEqual">
      <formula>0</formula>
    </cfRule>
    <cfRule type="cellIs" dxfId="91" priority="18" stopIfTrue="1" operator="equal">
      <formula>""</formula>
    </cfRule>
  </conditionalFormatting>
  <conditionalFormatting sqref="K43:AX43">
    <cfRule type="cellIs" dxfId="90" priority="15" stopIfTrue="1" operator="notEqual">
      <formula>0</formula>
    </cfRule>
    <cfRule type="cellIs" dxfId="89" priority="16" stopIfTrue="1" operator="equal">
      <formula>""</formula>
    </cfRule>
  </conditionalFormatting>
  <conditionalFormatting sqref="K140:AX140">
    <cfRule type="cellIs" dxfId="88" priority="13" stopIfTrue="1" operator="notEqual">
      <formula>0</formula>
    </cfRule>
    <cfRule type="cellIs" dxfId="87" priority="14" stopIfTrue="1" operator="equal">
      <formula>""</formula>
    </cfRule>
  </conditionalFormatting>
  <conditionalFormatting sqref="K195:AX195">
    <cfRule type="cellIs" dxfId="86" priority="9" stopIfTrue="1" operator="notEqual">
      <formula>0</formula>
    </cfRule>
    <cfRule type="cellIs" dxfId="85" priority="10" stopIfTrue="1" operator="equal">
      <formula>""</formula>
    </cfRule>
  </conditionalFormatting>
  <conditionalFormatting sqref="K240:AX240">
    <cfRule type="cellIs" dxfId="84" priority="7" stopIfTrue="1" operator="notEqual">
      <formula>0</formula>
    </cfRule>
    <cfRule type="cellIs" dxfId="83" priority="8" stopIfTrue="1" operator="equal">
      <formula>""</formula>
    </cfRule>
  </conditionalFormatting>
  <conditionalFormatting sqref="F240">
    <cfRule type="cellIs" dxfId="82" priority="5" stopIfTrue="1" operator="notEqual">
      <formula>0</formula>
    </cfRule>
    <cfRule type="cellIs" dxfId="81" priority="6" stopIfTrue="1" operator="equal">
      <formula>""</formula>
    </cfRule>
  </conditionalFormatting>
  <conditionalFormatting sqref="K295:AX295">
    <cfRule type="cellIs" dxfId="80" priority="3" stopIfTrue="1" operator="notEqual">
      <formula>0</formula>
    </cfRule>
    <cfRule type="cellIs" dxfId="79" priority="4" stopIfTrue="1" operator="equal">
      <formula>""</formula>
    </cfRule>
  </conditionalFormatting>
  <conditionalFormatting sqref="F295">
    <cfRule type="cellIs" dxfId="78" priority="1" stopIfTrue="1" operator="notEqual">
      <formula>0</formula>
    </cfRule>
    <cfRule type="cellIs" dxfId="77" priority="2" stopIfTrue="1" operator="equal">
      <formula>""</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tabColor rgb="FF00B0F0"/>
    <pageSetUpPr autoPageBreaks="0"/>
  </sheetPr>
  <dimension ref="A1:AX153"/>
  <sheetViews>
    <sheetView zoomScale="85" zoomScaleNormal="85" workbookViewId="0">
      <pane xSplit="10" ySplit="3" topLeftCell="K4" activePane="bottomRight" state="frozen"/>
      <selection pane="topRight" activeCell="H2" sqref="H2"/>
      <selection pane="bottomLeft" activeCell="H2" sqref="H2"/>
      <selection pane="bottomRight" activeCell="K4" sqref="K4"/>
    </sheetView>
  </sheetViews>
  <sheetFormatPr defaultColWidth="0" defaultRowHeight="14.5" outlineLevelCol="1" x14ac:dyDescent="0.25"/>
  <cols>
    <col min="1" max="4" width="1.26953125" style="3" customWidth="1"/>
    <col min="5" max="5" width="50.7265625" style="3" customWidth="1"/>
    <col min="6" max="6" width="12.7265625" style="3" customWidth="1"/>
    <col min="7" max="7" width="15.7265625" style="3" customWidth="1"/>
    <col min="8" max="8" width="40.7265625" style="3" hidden="1" customWidth="1" outlineLevel="1"/>
    <col min="9" max="9" width="12.7265625" style="3" customWidth="1" collapsed="1"/>
    <col min="10" max="10" width="3.7265625" style="3" customWidth="1"/>
    <col min="11" max="50" width="10.7265625" style="3" customWidth="1"/>
    <col min="51" max="16384" width="9.1796875" style="3" hidden="1"/>
  </cols>
  <sheetData>
    <row r="1" spans="1:50" s="373" customFormat="1" x14ac:dyDescent="0.25">
      <c r="A1" s="396" t="str">
        <f ca="1" xml:space="preserve"> RIGHT( CELL("filename",$A$1), LEN( CELL("filename",$A$1)) - SEARCH("]", CELL("filename",$A$1)))</f>
        <v>Charts</v>
      </c>
      <c r="B1" s="435"/>
      <c r="C1" s="435"/>
      <c r="D1" s="435"/>
      <c r="E1" s="435"/>
      <c r="F1" s="435"/>
      <c r="G1" s="435"/>
      <c r="H1" s="435"/>
      <c r="I1" s="435"/>
      <c r="J1" s="435"/>
      <c r="K1" s="364">
        <f xml:space="preserve"> ProjectCashflows!K$34</f>
        <v>2021</v>
      </c>
      <c r="L1" s="364">
        <f xml:space="preserve"> ProjectCashflows!L$34</f>
        <v>2022</v>
      </c>
      <c r="M1" s="364">
        <f xml:space="preserve"> ProjectCashflows!M$34</f>
        <v>2023</v>
      </c>
      <c r="N1" s="364">
        <f xml:space="preserve"> ProjectCashflows!N$34</f>
        <v>2024</v>
      </c>
      <c r="O1" s="364">
        <f xml:space="preserve"> ProjectCashflows!O$34</f>
        <v>2025</v>
      </c>
      <c r="P1" s="364">
        <f xml:space="preserve"> ProjectCashflows!P$34</f>
        <v>2026</v>
      </c>
      <c r="Q1" s="364">
        <f xml:space="preserve"> ProjectCashflows!Q$34</f>
        <v>2027</v>
      </c>
      <c r="R1" s="364">
        <f xml:space="preserve"> ProjectCashflows!R$34</f>
        <v>2028</v>
      </c>
      <c r="S1" s="364">
        <f xml:space="preserve"> ProjectCashflows!S$34</f>
        <v>2029</v>
      </c>
      <c r="T1" s="364">
        <f xml:space="preserve"> ProjectCashflows!T$34</f>
        <v>2030</v>
      </c>
      <c r="U1" s="364">
        <f xml:space="preserve"> ProjectCashflows!U$34</f>
        <v>2031</v>
      </c>
      <c r="V1" s="364">
        <f xml:space="preserve"> ProjectCashflows!V$34</f>
        <v>2032</v>
      </c>
      <c r="W1" s="364">
        <f xml:space="preserve"> ProjectCashflows!W$34</f>
        <v>2033</v>
      </c>
      <c r="X1" s="364">
        <f xml:space="preserve"> ProjectCashflows!X$34</f>
        <v>2034</v>
      </c>
      <c r="Y1" s="364">
        <f xml:space="preserve"> ProjectCashflows!Y$34</f>
        <v>2035</v>
      </c>
      <c r="Z1" s="364">
        <f xml:space="preserve"> ProjectCashflows!Z$34</f>
        <v>2036</v>
      </c>
      <c r="AA1" s="364">
        <f xml:space="preserve"> ProjectCashflows!AA$34</f>
        <v>2037</v>
      </c>
      <c r="AB1" s="364">
        <f xml:space="preserve"> ProjectCashflows!AB$34</f>
        <v>2038</v>
      </c>
      <c r="AC1" s="364">
        <f xml:space="preserve"> ProjectCashflows!AC$34</f>
        <v>2039</v>
      </c>
      <c r="AD1" s="364">
        <f xml:space="preserve"> ProjectCashflows!AD$34</f>
        <v>2040</v>
      </c>
      <c r="AE1" s="364">
        <f xml:space="preserve"> ProjectCashflows!AE$34</f>
        <v>2041</v>
      </c>
      <c r="AF1" s="364">
        <f xml:space="preserve"> ProjectCashflows!AF$34</f>
        <v>2042</v>
      </c>
      <c r="AG1" s="364">
        <f xml:space="preserve"> ProjectCashflows!AG$34</f>
        <v>2043</v>
      </c>
      <c r="AH1" s="364">
        <f xml:space="preserve"> ProjectCashflows!AH$34</f>
        <v>2044</v>
      </c>
      <c r="AI1" s="364">
        <f xml:space="preserve"> ProjectCashflows!AI$34</f>
        <v>2045</v>
      </c>
      <c r="AJ1" s="364">
        <f xml:space="preserve"> ProjectCashflows!AJ$34</f>
        <v>2046</v>
      </c>
      <c r="AK1" s="364">
        <f xml:space="preserve"> ProjectCashflows!AK$34</f>
        <v>2047</v>
      </c>
      <c r="AL1" s="364">
        <f xml:space="preserve"> ProjectCashflows!AL$34</f>
        <v>2048</v>
      </c>
      <c r="AM1" s="364">
        <f xml:space="preserve"> ProjectCashflows!AM$34</f>
        <v>2049</v>
      </c>
      <c r="AN1" s="364">
        <f xml:space="preserve"> ProjectCashflows!AN$34</f>
        <v>2050</v>
      </c>
      <c r="AO1" s="364">
        <f xml:space="preserve"> ProjectCashflows!AO$34</f>
        <v>2051</v>
      </c>
      <c r="AP1" s="364">
        <f xml:space="preserve"> ProjectCashflows!AP$34</f>
        <v>2052</v>
      </c>
      <c r="AQ1" s="364">
        <f xml:space="preserve"> ProjectCashflows!AQ$34</f>
        <v>2053</v>
      </c>
      <c r="AR1" s="364">
        <f xml:space="preserve"> ProjectCashflows!AR$34</f>
        <v>2054</v>
      </c>
      <c r="AS1" s="364">
        <f xml:space="preserve"> ProjectCashflows!AS$34</f>
        <v>2055</v>
      </c>
      <c r="AT1" s="364">
        <f xml:space="preserve"> ProjectCashflows!AT$34</f>
        <v>2056</v>
      </c>
      <c r="AU1" s="364">
        <f xml:space="preserve"> ProjectCashflows!AU$34</f>
        <v>2057</v>
      </c>
      <c r="AV1" s="364">
        <f xml:space="preserve"> ProjectCashflows!AV$34</f>
        <v>2058</v>
      </c>
      <c r="AW1" s="364">
        <f xml:space="preserve"> ProjectCashflows!AW$34</f>
        <v>2059</v>
      </c>
      <c r="AX1" s="364">
        <f xml:space="preserve"> ProjectCashflows!AX$34</f>
        <v>2060</v>
      </c>
    </row>
    <row r="2" spans="1:50" ht="15" customHeight="1" x14ac:dyDescent="0.25">
      <c r="A2" s="89"/>
      <c r="B2" s="89"/>
      <c r="C2" s="89"/>
      <c r="D2" s="89"/>
      <c r="E2" s="3" t="str">
        <f xml:space="preserve"> Translate!E$597</f>
        <v>Row description</v>
      </c>
      <c r="F2" s="250" t="str">
        <f xml:space="preserve"> Translate!E$598</f>
        <v>Constant</v>
      </c>
      <c r="G2" s="931" t="str">
        <f xml:space="preserve"> Translate!E$599</f>
        <v>Units</v>
      </c>
      <c r="H2" s="90" t="str">
        <f>Translate!E600</f>
        <v>Comments</v>
      </c>
      <c r="I2" s="213" t="str">
        <f xml:space="preserve"> Translate!E$601</f>
        <v>Total</v>
      </c>
      <c r="J2" s="89"/>
      <c r="K2" s="89"/>
      <c r="L2" s="89"/>
      <c r="M2" s="89"/>
      <c r="N2" s="89"/>
      <c r="O2" s="89"/>
      <c r="P2" s="89"/>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c r="AR2" s="89"/>
      <c r="AS2" s="89"/>
      <c r="AT2" s="89"/>
      <c r="AU2" s="89"/>
      <c r="AV2" s="89"/>
      <c r="AW2" s="89"/>
      <c r="AX2" s="89"/>
    </row>
    <row r="3" spans="1:50" ht="15" customHeight="1" x14ac:dyDescent="0.25">
      <c r="A3" s="89"/>
      <c r="B3" s="89"/>
      <c r="C3" s="89"/>
      <c r="D3" s="89"/>
      <c r="E3" s="89"/>
      <c r="F3" s="159">
        <f ca="1" xml:space="preserve"> ReadMe!$D$7</f>
        <v>0</v>
      </c>
      <c r="G3" s="90" t="str">
        <f xml:space="preserve"> ReadMe!$E$7</f>
        <v>Checks</v>
      </c>
      <c r="H3" s="90"/>
      <c r="I3" s="90"/>
      <c r="J3" s="89"/>
      <c r="K3" s="465">
        <f ca="1" xml:space="preserve"> Track!F$1</f>
        <v>0</v>
      </c>
      <c r="L3" s="3" t="str">
        <f xml:space="preserve"> Track!G$1</f>
        <v>Track changes</v>
      </c>
      <c r="M3" s="89"/>
      <c r="N3" s="89"/>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c r="AT3" s="89"/>
      <c r="AU3" s="89"/>
      <c r="AV3" s="89"/>
      <c r="AW3" s="89"/>
      <c r="AX3" s="89"/>
    </row>
    <row r="4" spans="1:50" s="282" customFormat="1" ht="15" customHeight="1" x14ac:dyDescent="0.25">
      <c r="A4" s="101" t="str">
        <f xml:space="preserve"> Translate!E623</f>
        <v>Government revenues</v>
      </c>
      <c r="B4" s="99"/>
      <c r="C4" s="99"/>
      <c r="D4" s="99"/>
      <c r="E4" s="101"/>
      <c r="F4" s="99"/>
      <c r="G4" s="99"/>
      <c r="H4" s="99"/>
      <c r="I4" s="99"/>
      <c r="J4" s="99"/>
      <c r="K4" s="99"/>
      <c r="L4" s="99"/>
      <c r="M4" s="99"/>
      <c r="N4" s="99"/>
      <c r="O4" s="99"/>
      <c r="P4" s="99"/>
      <c r="Q4" s="99"/>
      <c r="R4" s="99"/>
      <c r="S4" s="99"/>
      <c r="T4" s="99"/>
      <c r="U4" s="99"/>
      <c r="V4" s="99"/>
      <c r="W4" s="99"/>
      <c r="X4" s="99"/>
      <c r="Y4" s="99"/>
      <c r="Z4" s="99"/>
      <c r="AA4" s="99"/>
      <c r="AB4" s="99"/>
      <c r="AC4" s="99"/>
      <c r="AD4" s="99"/>
      <c r="AE4" s="99"/>
      <c r="AF4" s="99"/>
      <c r="AG4" s="99"/>
      <c r="AH4" s="99"/>
      <c r="AI4" s="99"/>
      <c r="AJ4" s="99"/>
      <c r="AK4" s="99"/>
      <c r="AL4" s="99"/>
      <c r="AM4" s="99"/>
      <c r="AN4" s="99"/>
      <c r="AO4" s="99"/>
      <c r="AP4" s="99"/>
      <c r="AQ4" s="99"/>
      <c r="AR4" s="99"/>
      <c r="AS4" s="99"/>
      <c r="AT4" s="99"/>
      <c r="AU4" s="99"/>
      <c r="AV4" s="99"/>
      <c r="AW4" s="99"/>
      <c r="AX4" s="99"/>
    </row>
    <row r="5" spans="1:50" ht="15" customHeight="1" x14ac:dyDescent="0.25">
      <c r="A5" s="89"/>
      <c r="B5" s="89"/>
      <c r="C5" s="89"/>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89"/>
      <c r="AF5" s="89"/>
      <c r="AG5" s="89"/>
      <c r="AH5" s="89"/>
      <c r="AI5" s="89"/>
      <c r="AJ5" s="89"/>
      <c r="AK5" s="89"/>
      <c r="AL5" s="89"/>
      <c r="AM5" s="89"/>
      <c r="AN5" s="89"/>
      <c r="AO5" s="89"/>
      <c r="AP5" s="89"/>
      <c r="AQ5" s="89"/>
      <c r="AR5" s="89"/>
      <c r="AS5" s="89"/>
      <c r="AT5" s="89"/>
      <c r="AU5" s="89"/>
      <c r="AV5" s="89"/>
      <c r="AW5" s="89"/>
      <c r="AX5" s="89"/>
    </row>
    <row r="6" spans="1:50" ht="15" customHeight="1" x14ac:dyDescent="0.25">
      <c r="A6" s="130"/>
      <c r="B6" s="131"/>
      <c r="C6" s="133"/>
      <c r="D6" s="133"/>
      <c r="E6" s="134" t="str">
        <f xml:space="preserve"> Translate!E$640</f>
        <v>Chart title</v>
      </c>
      <c r="F6" s="298" t="str">
        <f xml:space="preserve"> A4</f>
        <v>Government revenues</v>
      </c>
      <c r="G6" s="134"/>
      <c r="H6" s="134"/>
      <c r="I6" s="134"/>
      <c r="J6" s="134"/>
      <c r="K6" s="143"/>
      <c r="L6" s="133"/>
      <c r="M6" s="144"/>
      <c r="N6" s="144"/>
      <c r="O6" s="144"/>
      <c r="P6" s="143"/>
      <c r="Q6" s="143"/>
      <c r="R6" s="143"/>
      <c r="S6" s="143"/>
      <c r="T6" s="143"/>
      <c r="U6" s="143"/>
      <c r="V6" s="143"/>
      <c r="W6" s="143"/>
      <c r="X6" s="143"/>
      <c r="Y6" s="143"/>
      <c r="Z6" s="143"/>
      <c r="AA6" s="143"/>
      <c r="AB6" s="143"/>
      <c r="AC6" s="143"/>
      <c r="AD6" s="143"/>
      <c r="AE6" s="143"/>
      <c r="AF6" s="143"/>
      <c r="AG6" s="143"/>
      <c r="AH6" s="143"/>
      <c r="AI6" s="143"/>
      <c r="AJ6" s="143"/>
      <c r="AK6" s="143"/>
      <c r="AL6" s="143"/>
      <c r="AM6" s="143"/>
      <c r="AN6" s="143"/>
      <c r="AO6" s="143"/>
      <c r="AP6" s="143"/>
      <c r="AQ6" s="143"/>
      <c r="AR6" s="143"/>
      <c r="AS6" s="143"/>
      <c r="AT6" s="143"/>
      <c r="AU6" s="143"/>
      <c r="AV6" s="143"/>
      <c r="AW6" s="143"/>
      <c r="AX6" s="143"/>
    </row>
    <row r="7" spans="1:50" ht="15" customHeight="1" x14ac:dyDescent="0.25">
      <c r="A7" s="48"/>
      <c r="B7" s="48"/>
      <c r="C7" s="48"/>
      <c r="D7" s="48"/>
      <c r="E7" s="134" t="str">
        <f xml:space="preserve"> Translate!E$643</f>
        <v>Horizontal axis</v>
      </c>
      <c r="F7" s="63" t="str">
        <f xml:space="preserve"> G10</f>
        <v>Year</v>
      </c>
      <c r="G7" s="48"/>
      <c r="H7" s="48"/>
      <c r="I7" s="48"/>
      <c r="J7" s="48"/>
      <c r="K7" s="48"/>
      <c r="L7" s="48"/>
      <c r="M7" s="48"/>
      <c r="N7" s="48"/>
      <c r="O7" s="48"/>
      <c r="P7" s="48"/>
      <c r="Q7" s="48"/>
      <c r="R7" s="48"/>
      <c r="S7" s="48"/>
      <c r="T7" s="48"/>
      <c r="U7" s="48"/>
      <c r="V7" s="48"/>
      <c r="W7" s="48"/>
      <c r="X7" s="48"/>
      <c r="Y7" s="48"/>
      <c r="Z7" s="48"/>
      <c r="AA7" s="48"/>
      <c r="AB7" s="48"/>
      <c r="AC7" s="48"/>
      <c r="AD7" s="48"/>
      <c r="AE7" s="48"/>
      <c r="AF7" s="48"/>
      <c r="AG7" s="48"/>
      <c r="AH7" s="48"/>
      <c r="AI7" s="48"/>
      <c r="AJ7" s="48"/>
      <c r="AK7" s="48"/>
      <c r="AL7" s="48"/>
      <c r="AM7" s="48"/>
      <c r="AN7" s="48"/>
      <c r="AO7" s="48"/>
      <c r="AP7" s="48"/>
      <c r="AQ7" s="48"/>
      <c r="AR7" s="48"/>
      <c r="AS7" s="48"/>
      <c r="AT7" s="48"/>
      <c r="AU7" s="48"/>
      <c r="AV7" s="48"/>
      <c r="AW7" s="48"/>
      <c r="AX7" s="48"/>
    </row>
    <row r="8" spans="1:50" ht="15" customHeight="1" x14ac:dyDescent="0.25">
      <c r="A8" s="48"/>
      <c r="B8" s="48"/>
      <c r="C8" s="48"/>
      <c r="D8" s="48"/>
      <c r="E8" s="134" t="str">
        <f xml:space="preserve"> Translate!E$641</f>
        <v>Vertical axis 1</v>
      </c>
      <c r="F8" s="63" t="str">
        <f xml:space="preserve"> G13</f>
        <v>US$ mn 2021</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row>
    <row r="9" spans="1:50" ht="15" customHeight="1" x14ac:dyDescent="0.25">
      <c r="A9" s="48"/>
      <c r="B9" s="48"/>
      <c r="C9" s="48"/>
      <c r="D9" s="48"/>
      <c r="E9" s="134" t="str">
        <f xml:space="preserve"> Translate!E$642</f>
        <v>Vertical axis 2</v>
      </c>
      <c r="F9" s="63"/>
      <c r="G9" s="48"/>
      <c r="H9" s="48"/>
      <c r="I9" s="48"/>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row>
    <row r="10" spans="1:50" ht="15" customHeight="1" x14ac:dyDescent="0.25">
      <c r="A10" s="45"/>
      <c r="B10" s="45"/>
      <c r="C10" s="45"/>
      <c r="D10" s="45"/>
      <c r="E10" s="85" t="str">
        <f xml:space="preserve"> ProjectCashflows!E$34</f>
        <v>Model calendar years</v>
      </c>
      <c r="F10" s="85">
        <f xml:space="preserve"> ProjectCashflows!F$34</f>
        <v>0</v>
      </c>
      <c r="G10" s="85" t="str">
        <f xml:space="preserve"> ProjectCashflows!G$34</f>
        <v>Year</v>
      </c>
      <c r="H10" s="85">
        <f xml:space="preserve"> ProjectCashflows!H$34</f>
        <v>0</v>
      </c>
      <c r="I10" s="85">
        <f xml:space="preserve"> ProjectCashflows!I$34</f>
        <v>0</v>
      </c>
      <c r="J10" s="85">
        <f xml:space="preserve"> ProjectCashflows!J$34</f>
        <v>0</v>
      </c>
      <c r="K10" s="364">
        <f xml:space="preserve"> ProjectCashflows!K$34</f>
        <v>2021</v>
      </c>
      <c r="L10" s="364">
        <f xml:space="preserve"> ProjectCashflows!L$34</f>
        <v>2022</v>
      </c>
      <c r="M10" s="364">
        <f xml:space="preserve"> ProjectCashflows!M$34</f>
        <v>2023</v>
      </c>
      <c r="N10" s="364">
        <f xml:space="preserve"> ProjectCashflows!N$34</f>
        <v>2024</v>
      </c>
      <c r="O10" s="364">
        <f xml:space="preserve"> ProjectCashflows!O$34</f>
        <v>2025</v>
      </c>
      <c r="P10" s="364">
        <f xml:space="preserve"> ProjectCashflows!P$34</f>
        <v>2026</v>
      </c>
      <c r="Q10" s="364">
        <f xml:space="preserve"> ProjectCashflows!Q$34</f>
        <v>2027</v>
      </c>
      <c r="R10" s="364">
        <f xml:space="preserve"> ProjectCashflows!R$34</f>
        <v>2028</v>
      </c>
      <c r="S10" s="364">
        <f xml:space="preserve"> ProjectCashflows!S$34</f>
        <v>2029</v>
      </c>
      <c r="T10" s="364">
        <f xml:space="preserve"> ProjectCashflows!T$34</f>
        <v>2030</v>
      </c>
      <c r="U10" s="364">
        <f xml:space="preserve"> ProjectCashflows!U$34</f>
        <v>2031</v>
      </c>
      <c r="V10" s="364">
        <f xml:space="preserve"> ProjectCashflows!V$34</f>
        <v>2032</v>
      </c>
      <c r="W10" s="364">
        <f xml:space="preserve"> ProjectCashflows!W$34</f>
        <v>2033</v>
      </c>
      <c r="X10" s="364">
        <f xml:space="preserve"> ProjectCashflows!X$34</f>
        <v>2034</v>
      </c>
      <c r="Y10" s="364">
        <f xml:space="preserve"> ProjectCashflows!Y$34</f>
        <v>2035</v>
      </c>
      <c r="Z10" s="364">
        <f xml:space="preserve"> ProjectCashflows!Z$34</f>
        <v>2036</v>
      </c>
      <c r="AA10" s="364">
        <f xml:space="preserve"> ProjectCashflows!AA$34</f>
        <v>2037</v>
      </c>
      <c r="AB10" s="364">
        <f xml:space="preserve"> ProjectCashflows!AB$34</f>
        <v>2038</v>
      </c>
      <c r="AC10" s="364">
        <f xml:space="preserve"> ProjectCashflows!AC$34</f>
        <v>2039</v>
      </c>
      <c r="AD10" s="364">
        <f xml:space="preserve"> ProjectCashflows!AD$34</f>
        <v>2040</v>
      </c>
      <c r="AE10" s="364">
        <f xml:space="preserve"> ProjectCashflows!AE$34</f>
        <v>2041</v>
      </c>
      <c r="AF10" s="364">
        <f xml:space="preserve"> ProjectCashflows!AF$34</f>
        <v>2042</v>
      </c>
      <c r="AG10" s="364">
        <f xml:space="preserve"> ProjectCashflows!AG$34</f>
        <v>2043</v>
      </c>
      <c r="AH10" s="364">
        <f xml:space="preserve"> ProjectCashflows!AH$34</f>
        <v>2044</v>
      </c>
      <c r="AI10" s="364">
        <f xml:space="preserve"> ProjectCashflows!AI$34</f>
        <v>2045</v>
      </c>
      <c r="AJ10" s="364">
        <f xml:space="preserve"> ProjectCashflows!AJ$34</f>
        <v>2046</v>
      </c>
      <c r="AK10" s="364">
        <f xml:space="preserve"> ProjectCashflows!AK$34</f>
        <v>2047</v>
      </c>
      <c r="AL10" s="364">
        <f xml:space="preserve"> ProjectCashflows!AL$34</f>
        <v>2048</v>
      </c>
      <c r="AM10" s="364">
        <f xml:space="preserve"> ProjectCashflows!AM$34</f>
        <v>2049</v>
      </c>
      <c r="AN10" s="364">
        <f xml:space="preserve"> ProjectCashflows!AN$34</f>
        <v>2050</v>
      </c>
      <c r="AO10" s="364">
        <f xml:space="preserve"> ProjectCashflows!AO$34</f>
        <v>2051</v>
      </c>
      <c r="AP10" s="364">
        <f xml:space="preserve"> ProjectCashflows!AP$34</f>
        <v>2052</v>
      </c>
      <c r="AQ10" s="364">
        <f xml:space="preserve"> ProjectCashflows!AQ$34</f>
        <v>2053</v>
      </c>
      <c r="AR10" s="364">
        <f xml:space="preserve"> ProjectCashflows!AR$34</f>
        <v>2054</v>
      </c>
      <c r="AS10" s="364">
        <f xml:space="preserve"> ProjectCashflows!AS$34</f>
        <v>2055</v>
      </c>
      <c r="AT10" s="364">
        <f xml:space="preserve"> ProjectCashflows!AT$34</f>
        <v>2056</v>
      </c>
      <c r="AU10" s="364">
        <f xml:space="preserve"> ProjectCashflows!AU$34</f>
        <v>2057</v>
      </c>
      <c r="AV10" s="364">
        <f xml:space="preserve"> ProjectCashflows!AV$34</f>
        <v>2058</v>
      </c>
      <c r="AW10" s="364">
        <f xml:space="preserve"> ProjectCashflows!AW$34</f>
        <v>2059</v>
      </c>
      <c r="AX10" s="364">
        <f xml:space="preserve"> ProjectCashflows!AX$34</f>
        <v>2060</v>
      </c>
    </row>
    <row r="11" spans="1:50" ht="15" customHeight="1" x14ac:dyDescent="0.25">
      <c r="A11" s="48"/>
      <c r="B11" s="48"/>
      <c r="C11" s="48"/>
      <c r="D11" s="48"/>
      <c r="E11" s="139"/>
      <c r="F11" s="139"/>
      <c r="G11" s="139"/>
      <c r="H11" s="139"/>
      <c r="I11" s="139"/>
      <c r="J11" s="139"/>
      <c r="K11" s="139"/>
      <c r="L11" s="139"/>
      <c r="M11" s="139"/>
      <c r="N11" s="139"/>
      <c r="O11" s="139"/>
      <c r="P11" s="139"/>
      <c r="Q11" s="139"/>
      <c r="R11" s="139"/>
      <c r="S11" s="139"/>
      <c r="T11" s="139"/>
      <c r="U11" s="139"/>
      <c r="V11" s="139"/>
      <c r="W11" s="139"/>
      <c r="X11" s="139"/>
      <c r="Y11" s="139"/>
      <c r="Z11" s="139"/>
      <c r="AA11" s="139"/>
      <c r="AB11" s="139"/>
      <c r="AC11" s="139"/>
      <c r="AD11" s="139"/>
      <c r="AE11" s="139"/>
      <c r="AF11" s="139"/>
      <c r="AG11" s="139"/>
      <c r="AH11" s="139"/>
      <c r="AI11" s="139"/>
      <c r="AJ11" s="139"/>
      <c r="AK11" s="139"/>
      <c r="AL11" s="139"/>
      <c r="AM11" s="139"/>
      <c r="AN11" s="139"/>
      <c r="AO11" s="139"/>
      <c r="AP11" s="139"/>
      <c r="AQ11" s="139"/>
      <c r="AR11" s="139"/>
      <c r="AS11" s="139"/>
      <c r="AT11" s="139"/>
      <c r="AU11" s="139"/>
      <c r="AV11" s="139"/>
      <c r="AW11" s="139"/>
      <c r="AX11" s="139"/>
    </row>
    <row r="12" spans="1:50" ht="15" customHeight="1" x14ac:dyDescent="0.25">
      <c r="A12" s="222"/>
      <c r="B12" s="222"/>
      <c r="C12" s="222"/>
      <c r="D12" s="222"/>
      <c r="E12" s="222" t="str">
        <f xml:space="preserve"> FiscalModel!E1120</f>
        <v>Bonuses</v>
      </c>
      <c r="F12" s="222">
        <f xml:space="preserve"> FiscalModel!F1120</f>
        <v>0</v>
      </c>
      <c r="G12" s="222" t="str">
        <f xml:space="preserve"> FiscalModel!G1120</f>
        <v>US$ mn 2021</v>
      </c>
      <c r="H12" s="222">
        <f xml:space="preserve"> FiscalModel!H1120</f>
        <v>0</v>
      </c>
      <c r="I12" s="222">
        <f ca="1" xml:space="preserve"> FiscalModel!I1120</f>
        <v>56.192271301325711</v>
      </c>
      <c r="J12" s="222">
        <f xml:space="preserve"> FiscalModel!J1120</f>
        <v>0</v>
      </c>
      <c r="K12" s="222">
        <f ca="1" xml:space="preserve"> FiscalModel!K1120</f>
        <v>10</v>
      </c>
      <c r="L12" s="222">
        <f ca="1" xml:space="preserve"> FiscalModel!L1120</f>
        <v>0</v>
      </c>
      <c r="M12" s="222">
        <f ca="1" xml:space="preserve"> FiscalModel!M1120</f>
        <v>0</v>
      </c>
      <c r="N12" s="222">
        <f ca="1" xml:space="preserve"> FiscalModel!N1120</f>
        <v>0</v>
      </c>
      <c r="O12" s="222">
        <f ca="1" xml:space="preserve"> FiscalModel!O1120</f>
        <v>46.192271301325711</v>
      </c>
      <c r="P12" s="222">
        <f ca="1" xml:space="preserve"> FiscalModel!P1120</f>
        <v>0</v>
      </c>
      <c r="Q12" s="222">
        <f ca="1" xml:space="preserve"> FiscalModel!Q1120</f>
        <v>0</v>
      </c>
      <c r="R12" s="222">
        <f ca="1" xml:space="preserve"> FiscalModel!R1120</f>
        <v>0</v>
      </c>
      <c r="S12" s="222">
        <f ca="1" xml:space="preserve"> FiscalModel!S1120</f>
        <v>0</v>
      </c>
      <c r="T12" s="222">
        <f ca="1" xml:space="preserve"> FiscalModel!T1120</f>
        <v>0</v>
      </c>
      <c r="U12" s="222">
        <f ca="1" xml:space="preserve"> FiscalModel!U1120</f>
        <v>0</v>
      </c>
      <c r="V12" s="222">
        <f ca="1" xml:space="preserve"> FiscalModel!V1120</f>
        <v>0</v>
      </c>
      <c r="W12" s="222">
        <f ca="1" xml:space="preserve"> FiscalModel!W1120</f>
        <v>0</v>
      </c>
      <c r="X12" s="222">
        <f ca="1" xml:space="preserve"> FiscalModel!X1120</f>
        <v>0</v>
      </c>
      <c r="Y12" s="222">
        <f ca="1" xml:space="preserve"> FiscalModel!Y1120</f>
        <v>0</v>
      </c>
      <c r="Z12" s="222">
        <f ca="1" xml:space="preserve"> FiscalModel!Z1120</f>
        <v>0</v>
      </c>
      <c r="AA12" s="222">
        <f ca="1" xml:space="preserve"> FiscalModel!AA1120</f>
        <v>0</v>
      </c>
      <c r="AB12" s="222">
        <f ca="1" xml:space="preserve"> FiscalModel!AB1120</f>
        <v>0</v>
      </c>
      <c r="AC12" s="222">
        <f ca="1" xml:space="preserve"> FiscalModel!AC1120</f>
        <v>0</v>
      </c>
      <c r="AD12" s="222">
        <f ca="1" xml:space="preserve"> FiscalModel!AD1120</f>
        <v>0</v>
      </c>
      <c r="AE12" s="222">
        <f ca="1" xml:space="preserve"> FiscalModel!AE1120</f>
        <v>0</v>
      </c>
      <c r="AF12" s="222">
        <f ca="1" xml:space="preserve"> FiscalModel!AF1120</f>
        <v>0</v>
      </c>
      <c r="AG12" s="222">
        <f ca="1" xml:space="preserve"> FiscalModel!AG1120</f>
        <v>0</v>
      </c>
      <c r="AH12" s="222">
        <f ca="1" xml:space="preserve"> FiscalModel!AH1120</f>
        <v>0</v>
      </c>
      <c r="AI12" s="222">
        <f ca="1" xml:space="preserve"> FiscalModel!AI1120</f>
        <v>0</v>
      </c>
      <c r="AJ12" s="222">
        <f ca="1" xml:space="preserve"> FiscalModel!AJ1120</f>
        <v>0</v>
      </c>
      <c r="AK12" s="222">
        <f ca="1" xml:space="preserve"> FiscalModel!AK1120</f>
        <v>0</v>
      </c>
      <c r="AL12" s="222">
        <f ca="1" xml:space="preserve"> FiscalModel!AL1120</f>
        <v>0</v>
      </c>
      <c r="AM12" s="222">
        <f ca="1" xml:space="preserve"> FiscalModel!AM1120</f>
        <v>0</v>
      </c>
      <c r="AN12" s="222">
        <f ca="1" xml:space="preserve"> FiscalModel!AN1120</f>
        <v>0</v>
      </c>
      <c r="AO12" s="222">
        <f ca="1" xml:space="preserve"> FiscalModel!AO1120</f>
        <v>0</v>
      </c>
      <c r="AP12" s="222">
        <f ca="1" xml:space="preserve"> FiscalModel!AP1120</f>
        <v>0</v>
      </c>
      <c r="AQ12" s="222">
        <f ca="1" xml:space="preserve"> FiscalModel!AQ1120</f>
        <v>0</v>
      </c>
      <c r="AR12" s="222">
        <f ca="1" xml:space="preserve"> FiscalModel!AR1120</f>
        <v>0</v>
      </c>
      <c r="AS12" s="222">
        <f ca="1" xml:space="preserve"> FiscalModel!AS1120</f>
        <v>0</v>
      </c>
      <c r="AT12" s="222">
        <f ca="1" xml:space="preserve"> FiscalModel!AT1120</f>
        <v>0</v>
      </c>
      <c r="AU12" s="222">
        <f ca="1" xml:space="preserve"> FiscalModel!AU1120</f>
        <v>0</v>
      </c>
      <c r="AV12" s="222">
        <f ca="1" xml:space="preserve"> FiscalModel!AV1120</f>
        <v>0</v>
      </c>
      <c r="AW12" s="222">
        <f ca="1" xml:space="preserve"> FiscalModel!AW1120</f>
        <v>0</v>
      </c>
      <c r="AX12" s="222">
        <f ca="1" xml:space="preserve"> FiscalModel!AX1120</f>
        <v>0</v>
      </c>
    </row>
    <row r="13" spans="1:50" ht="15" customHeight="1" x14ac:dyDescent="0.25">
      <c r="A13" s="222"/>
      <c r="B13" s="222"/>
      <c r="C13" s="222"/>
      <c r="D13" s="222"/>
      <c r="E13" s="222" t="str">
        <f xml:space="preserve"> FiscalModel!E1121</f>
        <v>Royalty</v>
      </c>
      <c r="F13" s="222">
        <f xml:space="preserve"> FiscalModel!F1121</f>
        <v>0</v>
      </c>
      <c r="G13" s="222" t="str">
        <f xml:space="preserve"> FiscalModel!G1121</f>
        <v>US$ mn 2021</v>
      </c>
      <c r="H13" s="222">
        <f xml:space="preserve"> FiscalModel!H1121</f>
        <v>0</v>
      </c>
      <c r="I13" s="222">
        <f ca="1" xml:space="preserve"> FiscalModel!I1121</f>
        <v>8820.6047726449069</v>
      </c>
      <c r="J13" s="222">
        <f xml:space="preserve"> FiscalModel!J1121</f>
        <v>0</v>
      </c>
      <c r="K13" s="222">
        <f ca="1" xml:space="preserve"> FiscalModel!K1121</f>
        <v>0</v>
      </c>
      <c r="L13" s="222">
        <f ca="1" xml:space="preserve"> FiscalModel!L1121</f>
        <v>0</v>
      </c>
      <c r="M13" s="222">
        <f ca="1" xml:space="preserve"> FiscalModel!M1121</f>
        <v>0</v>
      </c>
      <c r="N13" s="222">
        <f ca="1" xml:space="preserve"> FiscalModel!N1121</f>
        <v>0</v>
      </c>
      <c r="O13" s="222">
        <f ca="1" xml:space="preserve"> FiscalModel!O1121</f>
        <v>38.33167163286209</v>
      </c>
      <c r="P13" s="222">
        <f ca="1" xml:space="preserve"> FiscalModel!P1121</f>
        <v>301.125</v>
      </c>
      <c r="Q13" s="222">
        <f ca="1" xml:space="preserve"> FiscalModel!Q1121</f>
        <v>602.25000000000011</v>
      </c>
      <c r="R13" s="222">
        <f ca="1" xml:space="preserve"> FiscalModel!R1121</f>
        <v>602.25000000000011</v>
      </c>
      <c r="S13" s="222">
        <f ca="1" xml:space="preserve"> FiscalModel!S1121</f>
        <v>602.25000000000011</v>
      </c>
      <c r="T13" s="222">
        <f ca="1" xml:space="preserve"> FiscalModel!T1121</f>
        <v>602.25</v>
      </c>
      <c r="U13" s="222">
        <f ca="1" xml:space="preserve"> FiscalModel!U1121</f>
        <v>602.25</v>
      </c>
      <c r="V13" s="222">
        <f ca="1" xml:space="preserve"> FiscalModel!V1121</f>
        <v>602.25</v>
      </c>
      <c r="W13" s="222">
        <f ca="1" xml:space="preserve"> FiscalModel!W1121</f>
        <v>602.25000000000011</v>
      </c>
      <c r="X13" s="222">
        <f ca="1" xml:space="preserve"> FiscalModel!X1121</f>
        <v>602.25</v>
      </c>
      <c r="Y13" s="222">
        <f ca="1" xml:space="preserve"> FiscalModel!Y1121</f>
        <v>602.25</v>
      </c>
      <c r="Z13" s="222">
        <f ca="1" xml:space="preserve"> FiscalModel!Z1121</f>
        <v>602.25</v>
      </c>
      <c r="AA13" s="222">
        <f ca="1" xml:space="preserve"> FiscalModel!AA1121</f>
        <v>487.8225000000001</v>
      </c>
      <c r="AB13" s="222">
        <f ca="1" xml:space="preserve"> FiscalModel!AB1121</f>
        <v>395.13622500000014</v>
      </c>
      <c r="AC13" s="222">
        <f ca="1" xml:space="preserve"> FiscalModel!AC1121</f>
        <v>320.06034225000013</v>
      </c>
      <c r="AD13" s="222">
        <f ca="1" xml:space="preserve"> FiscalModel!AD1121</f>
        <v>259.24887722250014</v>
      </c>
      <c r="AE13" s="222">
        <f ca="1" xml:space="preserve"> FiscalModel!AE1121</f>
        <v>209.99159055022511</v>
      </c>
      <c r="AF13" s="222">
        <f ca="1" xml:space="preserve"> FiscalModel!AF1121</f>
        <v>170.09318834568236</v>
      </c>
      <c r="AG13" s="222">
        <f ca="1" xml:space="preserve"> FiscalModel!AG1121</f>
        <v>137.77548256000273</v>
      </c>
      <c r="AH13" s="222">
        <f ca="1" xml:space="preserve"> FiscalModel!AH1121</f>
        <v>111.5981408736022</v>
      </c>
      <c r="AI13" s="222">
        <f ca="1" xml:space="preserve"> FiscalModel!AI1121</f>
        <v>90.394494107617803</v>
      </c>
      <c r="AJ13" s="222">
        <f ca="1" xml:space="preserve"> FiscalModel!AJ1121</f>
        <v>73.219540227170413</v>
      </c>
      <c r="AK13" s="222">
        <f ca="1" xml:space="preserve"> FiscalModel!AK1121</f>
        <v>59.307827584008052</v>
      </c>
      <c r="AL13" s="222">
        <f ca="1" xml:space="preserve"> FiscalModel!AL1121</f>
        <v>48.039340343046504</v>
      </c>
      <c r="AM13" s="222">
        <f ca="1" xml:space="preserve"> FiscalModel!AM1121</f>
        <v>38.911865677867674</v>
      </c>
      <c r="AN13" s="222">
        <f ca="1" xml:space="preserve"> FiscalModel!AN1121</f>
        <v>31.518611199072819</v>
      </c>
      <c r="AO13" s="222">
        <f ca="1" xml:space="preserve"> FiscalModel!AO1121</f>
        <v>25.530075071248987</v>
      </c>
      <c r="AP13" s="222">
        <f ca="1" xml:space="preserve"> FiscalModel!AP1121</f>
        <v>0</v>
      </c>
      <c r="AQ13" s="222">
        <f ca="1" xml:space="preserve"> FiscalModel!AQ1121</f>
        <v>0</v>
      </c>
      <c r="AR13" s="222">
        <f ca="1" xml:space="preserve"> FiscalModel!AR1121</f>
        <v>0</v>
      </c>
      <c r="AS13" s="222">
        <f ca="1" xml:space="preserve"> FiscalModel!AS1121</f>
        <v>0</v>
      </c>
      <c r="AT13" s="222">
        <f ca="1" xml:space="preserve"> FiscalModel!AT1121</f>
        <v>0</v>
      </c>
      <c r="AU13" s="222">
        <f ca="1" xml:space="preserve"> FiscalModel!AU1121</f>
        <v>0</v>
      </c>
      <c r="AV13" s="222">
        <f ca="1" xml:space="preserve"> FiscalModel!AV1121</f>
        <v>0</v>
      </c>
      <c r="AW13" s="222">
        <f ca="1" xml:space="preserve"> FiscalModel!AW1121</f>
        <v>0</v>
      </c>
      <c r="AX13" s="222">
        <f ca="1" xml:space="preserve"> FiscalModel!AX1121</f>
        <v>0</v>
      </c>
    </row>
    <row r="14" spans="1:50" ht="15" customHeight="1" x14ac:dyDescent="0.25">
      <c r="A14" s="222"/>
      <c r="B14" s="222"/>
      <c r="C14" s="222"/>
      <c r="D14" s="222"/>
      <c r="E14" s="222" t="str">
        <f xml:space="preserve"> FiscalModel!E1122</f>
        <v>Carbon tax</v>
      </c>
      <c r="F14" s="222">
        <f xml:space="preserve"> FiscalModel!F1122</f>
        <v>0</v>
      </c>
      <c r="G14" s="222" t="str">
        <f xml:space="preserve"> FiscalModel!G1122</f>
        <v>US$ mn 2021</v>
      </c>
      <c r="H14" s="222">
        <f xml:space="preserve"> FiscalModel!H1122</f>
        <v>0</v>
      </c>
      <c r="I14" s="222">
        <f ca="1" xml:space="preserve"> FiscalModel!I1122</f>
        <v>788.47391027310312</v>
      </c>
      <c r="J14" s="222">
        <f xml:space="preserve"> FiscalModel!J1122</f>
        <v>0</v>
      </c>
      <c r="K14" s="222">
        <f ca="1" xml:space="preserve"> FiscalModel!K1122</f>
        <v>0</v>
      </c>
      <c r="L14" s="222">
        <f ca="1" xml:space="preserve"> FiscalModel!L1122</f>
        <v>0</v>
      </c>
      <c r="M14" s="222">
        <f ca="1" xml:space="preserve"> FiscalModel!M1122</f>
        <v>0</v>
      </c>
      <c r="N14" s="222">
        <f ca="1" xml:space="preserve"> FiscalModel!N1122</f>
        <v>0</v>
      </c>
      <c r="O14" s="222">
        <f ca="1" xml:space="preserve"> FiscalModel!O1122</f>
        <v>4.0586633464553898</v>
      </c>
      <c r="P14" s="222">
        <f ca="1" xml:space="preserve"> FiscalModel!P1122</f>
        <v>31.258771912320125</v>
      </c>
      <c r="Q14" s="222">
        <f ca="1" xml:space="preserve"> FiscalModel!Q1122</f>
        <v>61.291709632000241</v>
      </c>
      <c r="R14" s="222">
        <f ca="1" xml:space="preserve"> FiscalModel!R1122</f>
        <v>60.089911403921803</v>
      </c>
      <c r="S14" s="222">
        <f ca="1" xml:space="preserve"> FiscalModel!S1122</f>
        <v>58.911677846982158</v>
      </c>
      <c r="T14" s="222">
        <f ca="1" xml:space="preserve"> FiscalModel!T1122</f>
        <v>57.756546908806037</v>
      </c>
      <c r="U14" s="222">
        <f ca="1" xml:space="preserve"> FiscalModel!U1122</f>
        <v>56.624065596868661</v>
      </c>
      <c r="V14" s="222">
        <f ca="1" xml:space="preserve"> FiscalModel!V1122</f>
        <v>55.513789800851626</v>
      </c>
      <c r="W14" s="222">
        <f ca="1" xml:space="preserve"> FiscalModel!W1122</f>
        <v>54.42528411848199</v>
      </c>
      <c r="X14" s="222">
        <f ca="1" xml:space="preserve"> FiscalModel!X1122</f>
        <v>53.358121684786269</v>
      </c>
      <c r="Y14" s="222">
        <f ca="1" xml:space="preserve"> FiscalModel!Y1122</f>
        <v>52.311884004692416</v>
      </c>
      <c r="Z14" s="222">
        <f ca="1" xml:space="preserve"> FiscalModel!Z1122</f>
        <v>51.286160788914131</v>
      </c>
      <c r="AA14" s="222">
        <f ca="1" xml:space="preserve"> FiscalModel!AA1122</f>
        <v>40.727245332372995</v>
      </c>
      <c r="AB14" s="222">
        <f ca="1" xml:space="preserve"> FiscalModel!AB1122</f>
        <v>32.342224234531486</v>
      </c>
      <c r="AC14" s="222">
        <f ca="1" xml:space="preserve"> FiscalModel!AC1122</f>
        <v>25.683531009775006</v>
      </c>
      <c r="AD14" s="222">
        <f ca="1" xml:space="preserve"> FiscalModel!AD1122</f>
        <v>20.395745213644869</v>
      </c>
      <c r="AE14" s="222">
        <f ca="1" xml:space="preserve"> FiscalModel!AE1122</f>
        <v>16.196621199070925</v>
      </c>
      <c r="AF14" s="222">
        <f ca="1" xml:space="preserve"> FiscalModel!AF1122</f>
        <v>12.862022716909262</v>
      </c>
      <c r="AG14" s="222">
        <f ca="1" xml:space="preserve"> FiscalModel!AG1122</f>
        <v>10.213959216369121</v>
      </c>
      <c r="AH14" s="222">
        <f ca="1" xml:space="preserve"> FiscalModel!AH1122</f>
        <v>8.1110852600578323</v>
      </c>
      <c r="AI14" s="222">
        <f ca="1" xml:space="preserve"> FiscalModel!AI1122</f>
        <v>6.4411559418106314</v>
      </c>
      <c r="AJ14" s="222">
        <f ca="1" xml:space="preserve"> FiscalModel!AJ1122</f>
        <v>5.1150356008496187</v>
      </c>
      <c r="AK14" s="222">
        <f ca="1" xml:space="preserve"> FiscalModel!AK1122</f>
        <v>4.0619400359688154</v>
      </c>
      <c r="AL14" s="222">
        <f ca="1" xml:space="preserve"> FiscalModel!AL1122</f>
        <v>3.2256582638575884</v>
      </c>
      <c r="AM14" s="222">
        <f ca="1" xml:space="preserve"> FiscalModel!AM1122</f>
        <v>2.5615521507104373</v>
      </c>
      <c r="AN14" s="222">
        <f ca="1" xml:space="preserve"> FiscalModel!AN1122</f>
        <v>2.0341737667406417</v>
      </c>
      <c r="AO14" s="222">
        <f ca="1" xml:space="preserve"> FiscalModel!AO1122</f>
        <v>1.6153732853528631</v>
      </c>
      <c r="AP14" s="222">
        <f ca="1" xml:space="preserve"> FiscalModel!AP1122</f>
        <v>0</v>
      </c>
      <c r="AQ14" s="222">
        <f ca="1" xml:space="preserve"> FiscalModel!AQ1122</f>
        <v>0</v>
      </c>
      <c r="AR14" s="222">
        <f ca="1" xml:space="preserve"> FiscalModel!AR1122</f>
        <v>0</v>
      </c>
      <c r="AS14" s="222">
        <f ca="1" xml:space="preserve"> FiscalModel!AS1122</f>
        <v>0</v>
      </c>
      <c r="AT14" s="222">
        <f ca="1" xml:space="preserve"> FiscalModel!AT1122</f>
        <v>0</v>
      </c>
      <c r="AU14" s="222">
        <f ca="1" xml:space="preserve"> FiscalModel!AU1122</f>
        <v>0</v>
      </c>
      <c r="AV14" s="222">
        <f ca="1" xml:space="preserve"> FiscalModel!AV1122</f>
        <v>0</v>
      </c>
      <c r="AW14" s="222">
        <f ca="1" xml:space="preserve"> FiscalModel!AW1122</f>
        <v>0</v>
      </c>
      <c r="AX14" s="222">
        <f ca="1" xml:space="preserve"> FiscalModel!AX1122</f>
        <v>0</v>
      </c>
    </row>
    <row r="15" spans="1:50" ht="15" customHeight="1" x14ac:dyDescent="0.25">
      <c r="A15" s="222"/>
      <c r="B15" s="222"/>
      <c r="C15" s="222"/>
      <c r="D15" s="222"/>
      <c r="E15" s="222" t="str">
        <f xml:space="preserve"> FiscalModel!E1123</f>
        <v>PSC: Government profit oil</v>
      </c>
      <c r="F15" s="222">
        <f xml:space="preserve"> FiscalModel!F1123</f>
        <v>0</v>
      </c>
      <c r="G15" s="222" t="str">
        <f xml:space="preserve"> FiscalModel!G1123</f>
        <v>US$ mn 2021</v>
      </c>
      <c r="H15" s="222">
        <f xml:space="preserve"> FiscalModel!H1123</f>
        <v>0</v>
      </c>
      <c r="I15" s="222">
        <f ca="1" xml:space="preserve"> FiscalModel!I1123</f>
        <v>0</v>
      </c>
      <c r="J15" s="222">
        <f xml:space="preserve"> FiscalModel!J1123</f>
        <v>0</v>
      </c>
      <c r="K15" s="222">
        <f ca="1" xml:space="preserve"> FiscalModel!K1123</f>
        <v>0</v>
      </c>
      <c r="L15" s="222">
        <f ca="1" xml:space="preserve"> FiscalModel!L1123</f>
        <v>0</v>
      </c>
      <c r="M15" s="222">
        <f ca="1" xml:space="preserve"> FiscalModel!M1123</f>
        <v>0</v>
      </c>
      <c r="N15" s="222">
        <f ca="1" xml:space="preserve"> FiscalModel!N1123</f>
        <v>0</v>
      </c>
      <c r="O15" s="222">
        <f ca="1" xml:space="preserve"> FiscalModel!O1123</f>
        <v>0</v>
      </c>
      <c r="P15" s="222">
        <f ca="1" xml:space="preserve"> FiscalModel!P1123</f>
        <v>0</v>
      </c>
      <c r="Q15" s="222">
        <f ca="1" xml:space="preserve"> FiscalModel!Q1123</f>
        <v>0</v>
      </c>
      <c r="R15" s="222">
        <f ca="1" xml:space="preserve"> FiscalModel!R1123</f>
        <v>0</v>
      </c>
      <c r="S15" s="222">
        <f ca="1" xml:space="preserve"> FiscalModel!S1123</f>
        <v>0</v>
      </c>
      <c r="T15" s="222">
        <f ca="1" xml:space="preserve"> FiscalModel!T1123</f>
        <v>0</v>
      </c>
      <c r="U15" s="222">
        <f ca="1" xml:space="preserve"> FiscalModel!U1123</f>
        <v>0</v>
      </c>
      <c r="V15" s="222">
        <f ca="1" xml:space="preserve"> FiscalModel!V1123</f>
        <v>0</v>
      </c>
      <c r="W15" s="222">
        <f ca="1" xml:space="preserve"> FiscalModel!W1123</f>
        <v>0</v>
      </c>
      <c r="X15" s="222">
        <f ca="1" xml:space="preserve"> FiscalModel!X1123</f>
        <v>0</v>
      </c>
      <c r="Y15" s="222">
        <f ca="1" xml:space="preserve"> FiscalModel!Y1123</f>
        <v>0</v>
      </c>
      <c r="Z15" s="222">
        <f ca="1" xml:space="preserve"> FiscalModel!Z1123</f>
        <v>0</v>
      </c>
      <c r="AA15" s="222">
        <f ca="1" xml:space="preserve"> FiscalModel!AA1123</f>
        <v>0</v>
      </c>
      <c r="AB15" s="222">
        <f ca="1" xml:space="preserve"> FiscalModel!AB1123</f>
        <v>0</v>
      </c>
      <c r="AC15" s="222">
        <f ca="1" xml:space="preserve"> FiscalModel!AC1123</f>
        <v>0</v>
      </c>
      <c r="AD15" s="222">
        <f ca="1" xml:space="preserve"> FiscalModel!AD1123</f>
        <v>0</v>
      </c>
      <c r="AE15" s="222">
        <f ca="1" xml:space="preserve"> FiscalModel!AE1123</f>
        <v>0</v>
      </c>
      <c r="AF15" s="222">
        <f ca="1" xml:space="preserve"> FiscalModel!AF1123</f>
        <v>0</v>
      </c>
      <c r="AG15" s="222">
        <f ca="1" xml:space="preserve"> FiscalModel!AG1123</f>
        <v>0</v>
      </c>
      <c r="AH15" s="222">
        <f ca="1" xml:space="preserve"> FiscalModel!AH1123</f>
        <v>0</v>
      </c>
      <c r="AI15" s="222">
        <f ca="1" xml:space="preserve"> FiscalModel!AI1123</f>
        <v>0</v>
      </c>
      <c r="AJ15" s="222">
        <f ca="1" xml:space="preserve"> FiscalModel!AJ1123</f>
        <v>0</v>
      </c>
      <c r="AK15" s="222">
        <f ca="1" xml:space="preserve"> FiscalModel!AK1123</f>
        <v>0</v>
      </c>
      <c r="AL15" s="222">
        <f ca="1" xml:space="preserve"> FiscalModel!AL1123</f>
        <v>0</v>
      </c>
      <c r="AM15" s="222">
        <f ca="1" xml:space="preserve"> FiscalModel!AM1123</f>
        <v>0</v>
      </c>
      <c r="AN15" s="222">
        <f ca="1" xml:space="preserve"> FiscalModel!AN1123</f>
        <v>0</v>
      </c>
      <c r="AO15" s="222">
        <f ca="1" xml:space="preserve"> FiscalModel!AO1123</f>
        <v>0</v>
      </c>
      <c r="AP15" s="222">
        <f ca="1" xml:space="preserve"> FiscalModel!AP1123</f>
        <v>0</v>
      </c>
      <c r="AQ15" s="222">
        <f ca="1" xml:space="preserve"> FiscalModel!AQ1123</f>
        <v>0</v>
      </c>
      <c r="AR15" s="222">
        <f ca="1" xml:space="preserve"> FiscalModel!AR1123</f>
        <v>0</v>
      </c>
      <c r="AS15" s="222">
        <f ca="1" xml:space="preserve"> FiscalModel!AS1123</f>
        <v>0</v>
      </c>
      <c r="AT15" s="222">
        <f ca="1" xml:space="preserve"> FiscalModel!AT1123</f>
        <v>0</v>
      </c>
      <c r="AU15" s="222">
        <f ca="1" xml:space="preserve"> FiscalModel!AU1123</f>
        <v>0</v>
      </c>
      <c r="AV15" s="222">
        <f ca="1" xml:space="preserve"> FiscalModel!AV1123</f>
        <v>0</v>
      </c>
      <c r="AW15" s="222">
        <f ca="1" xml:space="preserve"> FiscalModel!AW1123</f>
        <v>0</v>
      </c>
      <c r="AX15" s="222">
        <f ca="1" xml:space="preserve"> FiscalModel!AX1123</f>
        <v>0</v>
      </c>
    </row>
    <row r="16" spans="1:50" ht="15" customHeight="1" x14ac:dyDescent="0.25">
      <c r="A16" s="142"/>
      <c r="B16" s="142"/>
      <c r="C16" s="299"/>
      <c r="D16" s="299"/>
      <c r="E16" s="222" t="str">
        <f xml:space="preserve"> FiscalModel!E1124</f>
        <v>CIT paid: IOC</v>
      </c>
      <c r="F16" s="222">
        <f xml:space="preserve"> FiscalModel!F1124</f>
        <v>0</v>
      </c>
      <c r="G16" s="222" t="str">
        <f xml:space="preserve"> FiscalModel!G1124</f>
        <v>US$ mn 2021</v>
      </c>
      <c r="H16" s="222">
        <f xml:space="preserve"> FiscalModel!H1124</f>
        <v>0</v>
      </c>
      <c r="I16" s="222">
        <f ca="1" xml:space="preserve"> FiscalModel!I1124</f>
        <v>5284.9099061807456</v>
      </c>
      <c r="J16" s="222">
        <f xml:space="preserve"> FiscalModel!J1124</f>
        <v>0</v>
      </c>
      <c r="K16" s="222">
        <f ca="1" xml:space="preserve"> FiscalModel!K1124</f>
        <v>0</v>
      </c>
      <c r="L16" s="222">
        <f ca="1" xml:space="preserve"> FiscalModel!L1124</f>
        <v>0</v>
      </c>
      <c r="M16" s="222">
        <f ca="1" xml:space="preserve"> FiscalModel!M1124</f>
        <v>0</v>
      </c>
      <c r="N16" s="222">
        <f ca="1" xml:space="preserve"> FiscalModel!N1124</f>
        <v>0</v>
      </c>
      <c r="O16" s="222">
        <f ca="1" xml:space="preserve"> FiscalModel!O1124</f>
        <v>0</v>
      </c>
      <c r="P16" s="222">
        <f ca="1" xml:space="preserve"> FiscalModel!P1124</f>
        <v>0</v>
      </c>
      <c r="Q16" s="222">
        <f ca="1" xml:space="preserve"> FiscalModel!Q1124</f>
        <v>0</v>
      </c>
      <c r="R16" s="222">
        <f ca="1" xml:space="preserve"> FiscalModel!R1124</f>
        <v>114.51538729264855</v>
      </c>
      <c r="S16" s="222">
        <f ca="1" xml:space="preserve"> FiscalModel!S1124</f>
        <v>195.80641321162815</v>
      </c>
      <c r="T16" s="222">
        <f ca="1" xml:space="preserve"> FiscalModel!T1124</f>
        <v>334.07535839910236</v>
      </c>
      <c r="U16" s="222">
        <f ca="1" xml:space="preserve"> FiscalModel!U1124</f>
        <v>436.43591744721061</v>
      </c>
      <c r="V16" s="222">
        <f ca="1" xml:space="preserve"> FiscalModel!V1124</f>
        <v>485.9783111308987</v>
      </c>
      <c r="W16" s="222">
        <f ca="1" xml:space="preserve"> FiscalModel!W1124</f>
        <v>487.41911950989362</v>
      </c>
      <c r="X16" s="222">
        <f ca="1" xml:space="preserve"> FiscalModel!X1124</f>
        <v>492.67398502319793</v>
      </c>
      <c r="Y16" s="222">
        <f ca="1" xml:space="preserve"> FiscalModel!Y1124</f>
        <v>497.74084453740647</v>
      </c>
      <c r="Z16" s="222">
        <f ca="1" xml:space="preserve"> FiscalModel!Z1124</f>
        <v>502.62505051172508</v>
      </c>
      <c r="AA16" s="222">
        <f ca="1" xml:space="preserve"> FiscalModel!AA1124</f>
        <v>381.84794303618787</v>
      </c>
      <c r="AB16" s="222">
        <f ca="1" xml:space="preserve"> FiscalModel!AB1124</f>
        <v>294.64205087474636</v>
      </c>
      <c r="AC16" s="222">
        <f ca="1" xml:space="preserve"> FiscalModel!AC1124</f>
        <v>257.19691779881822</v>
      </c>
      <c r="AD16" s="222">
        <f ca="1" xml:space="preserve"> FiscalModel!AD1124</f>
        <v>195.8700506195035</v>
      </c>
      <c r="AE16" s="222">
        <f ca="1" xml:space="preserve"> FiscalModel!AE1124</f>
        <v>149.92999096531136</v>
      </c>
      <c r="AF16" s="222">
        <f ca="1" xml:space="preserve"> FiscalModel!AF1124</f>
        <v>122.30172953659661</v>
      </c>
      <c r="AG16" s="222">
        <f ca="1" xml:space="preserve"> FiscalModel!AG1124</f>
        <v>90.584636739724587</v>
      </c>
      <c r="AH16" s="222">
        <f ca="1" xml:space="preserve"> FiscalModel!AH1124</f>
        <v>63.899210820426987</v>
      </c>
      <c r="AI16" s="222">
        <f ca="1" xml:space="preserve"> FiscalModel!AI1124</f>
        <v>52.794648644967751</v>
      </c>
      <c r="AJ16" s="222">
        <f ca="1" xml:space="preserve"> FiscalModel!AJ1124</f>
        <v>45.894663007408411</v>
      </c>
      <c r="AK16" s="222">
        <f ca="1" xml:space="preserve"> FiscalModel!AK1124</f>
        <v>32.221725567562302</v>
      </c>
      <c r="AL16" s="222">
        <f ca="1" xml:space="preserve"> FiscalModel!AL1124</f>
        <v>21.444310089493293</v>
      </c>
      <c r="AM16" s="222">
        <f ca="1" xml:space="preserve"> FiscalModel!AM1124</f>
        <v>16.694390280483116</v>
      </c>
      <c r="AN16" s="222">
        <f ca="1" xml:space="preserve"> FiscalModel!AN1124</f>
        <v>8.6904281661861731</v>
      </c>
      <c r="AO16" s="222">
        <f ca="1" xml:space="preserve"> FiscalModel!AO1124</f>
        <v>3.6268229696185572</v>
      </c>
      <c r="AP16" s="222">
        <f ca="1" xml:space="preserve"> FiscalModel!AP1124</f>
        <v>0</v>
      </c>
      <c r="AQ16" s="222">
        <f ca="1" xml:space="preserve"> FiscalModel!AQ1124</f>
        <v>0</v>
      </c>
      <c r="AR16" s="222">
        <f ca="1" xml:space="preserve"> FiscalModel!AR1124</f>
        <v>0</v>
      </c>
      <c r="AS16" s="222">
        <f ca="1" xml:space="preserve"> FiscalModel!AS1124</f>
        <v>0</v>
      </c>
      <c r="AT16" s="222">
        <f ca="1" xml:space="preserve"> FiscalModel!AT1124</f>
        <v>0</v>
      </c>
      <c r="AU16" s="222">
        <f ca="1" xml:space="preserve"> FiscalModel!AU1124</f>
        <v>0</v>
      </c>
      <c r="AV16" s="222">
        <f ca="1" xml:space="preserve"> FiscalModel!AV1124</f>
        <v>0</v>
      </c>
      <c r="AW16" s="222">
        <f ca="1" xml:space="preserve"> FiscalModel!AW1124</f>
        <v>0</v>
      </c>
      <c r="AX16" s="222">
        <f ca="1" xml:space="preserve"> FiscalModel!AX1124</f>
        <v>0</v>
      </c>
    </row>
    <row r="17" spans="1:50" ht="15" customHeight="1" x14ac:dyDescent="0.25">
      <c r="A17" s="142"/>
      <c r="B17" s="142"/>
      <c r="C17" s="299"/>
      <c r="D17" s="299"/>
      <c r="E17" s="222" t="str">
        <f xml:space="preserve"> FiscalModel!E1125</f>
        <v>Resource rent tax: IOC</v>
      </c>
      <c r="F17" s="222">
        <f xml:space="preserve"> FiscalModel!F1125</f>
        <v>0</v>
      </c>
      <c r="G17" s="222" t="str">
        <f xml:space="preserve"> FiscalModel!G1125</f>
        <v>US$ mn 2021</v>
      </c>
      <c r="H17" s="222">
        <f xml:space="preserve"> FiscalModel!H1125</f>
        <v>0</v>
      </c>
      <c r="I17" s="222">
        <f ca="1" xml:space="preserve"> FiscalModel!I1125</f>
        <v>0</v>
      </c>
      <c r="J17" s="222">
        <f xml:space="preserve"> FiscalModel!J1125</f>
        <v>0</v>
      </c>
      <c r="K17" s="222">
        <f ca="1" xml:space="preserve"> FiscalModel!K1125</f>
        <v>0</v>
      </c>
      <c r="L17" s="222">
        <f ca="1" xml:space="preserve"> FiscalModel!L1125</f>
        <v>0</v>
      </c>
      <c r="M17" s="222">
        <f ca="1" xml:space="preserve"> FiscalModel!M1125</f>
        <v>0</v>
      </c>
      <c r="N17" s="222">
        <f ca="1" xml:space="preserve"> FiscalModel!N1125</f>
        <v>0</v>
      </c>
      <c r="O17" s="222">
        <f ca="1" xml:space="preserve"> FiscalModel!O1125</f>
        <v>0</v>
      </c>
      <c r="P17" s="222">
        <f ca="1" xml:space="preserve"> FiscalModel!P1125</f>
        <v>0</v>
      </c>
      <c r="Q17" s="222">
        <f ca="1" xml:space="preserve"> FiscalModel!Q1125</f>
        <v>0</v>
      </c>
      <c r="R17" s="222">
        <f ca="1" xml:space="preserve"> FiscalModel!R1125</f>
        <v>0</v>
      </c>
      <c r="S17" s="222">
        <f ca="1" xml:space="preserve"> FiscalModel!S1125</f>
        <v>0</v>
      </c>
      <c r="T17" s="222">
        <f ca="1" xml:space="preserve"> FiscalModel!T1125</f>
        <v>0</v>
      </c>
      <c r="U17" s="222">
        <f ca="1" xml:space="preserve"> FiscalModel!U1125</f>
        <v>0</v>
      </c>
      <c r="V17" s="222">
        <f ca="1" xml:space="preserve"> FiscalModel!V1125</f>
        <v>0</v>
      </c>
      <c r="W17" s="222">
        <f ca="1" xml:space="preserve"> FiscalModel!W1125</f>
        <v>0</v>
      </c>
      <c r="X17" s="222">
        <f ca="1" xml:space="preserve"> FiscalModel!X1125</f>
        <v>0</v>
      </c>
      <c r="Y17" s="222">
        <f ca="1" xml:space="preserve"> FiscalModel!Y1125</f>
        <v>0</v>
      </c>
      <c r="Z17" s="222">
        <f ca="1" xml:space="preserve"> FiscalModel!Z1125</f>
        <v>0</v>
      </c>
      <c r="AA17" s="222">
        <f ca="1" xml:space="preserve"> FiscalModel!AA1125</f>
        <v>0</v>
      </c>
      <c r="AB17" s="222">
        <f ca="1" xml:space="preserve"> FiscalModel!AB1125</f>
        <v>0</v>
      </c>
      <c r="AC17" s="222">
        <f ca="1" xml:space="preserve"> FiscalModel!AC1125</f>
        <v>0</v>
      </c>
      <c r="AD17" s="222">
        <f ca="1" xml:space="preserve"> FiscalModel!AD1125</f>
        <v>0</v>
      </c>
      <c r="AE17" s="222">
        <f ca="1" xml:space="preserve"> FiscalModel!AE1125</f>
        <v>0</v>
      </c>
      <c r="AF17" s="222">
        <f ca="1" xml:space="preserve"> FiscalModel!AF1125</f>
        <v>0</v>
      </c>
      <c r="AG17" s="222">
        <f ca="1" xml:space="preserve"> FiscalModel!AG1125</f>
        <v>0</v>
      </c>
      <c r="AH17" s="222">
        <f ca="1" xml:space="preserve"> FiscalModel!AH1125</f>
        <v>0</v>
      </c>
      <c r="AI17" s="222">
        <f ca="1" xml:space="preserve"> FiscalModel!AI1125</f>
        <v>0</v>
      </c>
      <c r="AJ17" s="222">
        <f ca="1" xml:space="preserve"> FiscalModel!AJ1125</f>
        <v>0</v>
      </c>
      <c r="AK17" s="222">
        <f ca="1" xml:space="preserve"> FiscalModel!AK1125</f>
        <v>0</v>
      </c>
      <c r="AL17" s="222">
        <f ca="1" xml:space="preserve"> FiscalModel!AL1125</f>
        <v>0</v>
      </c>
      <c r="AM17" s="222">
        <f ca="1" xml:space="preserve"> FiscalModel!AM1125</f>
        <v>0</v>
      </c>
      <c r="AN17" s="222">
        <f ca="1" xml:space="preserve"> FiscalModel!AN1125</f>
        <v>0</v>
      </c>
      <c r="AO17" s="222">
        <f ca="1" xml:space="preserve"> FiscalModel!AO1125</f>
        <v>0</v>
      </c>
      <c r="AP17" s="222">
        <f ca="1" xml:space="preserve"> FiscalModel!AP1125</f>
        <v>0</v>
      </c>
      <c r="AQ17" s="222">
        <f ca="1" xml:space="preserve"> FiscalModel!AQ1125</f>
        <v>0</v>
      </c>
      <c r="AR17" s="222">
        <f ca="1" xml:space="preserve"> FiscalModel!AR1125</f>
        <v>0</v>
      </c>
      <c r="AS17" s="222">
        <f ca="1" xml:space="preserve"> FiscalModel!AS1125</f>
        <v>0</v>
      </c>
      <c r="AT17" s="222">
        <f ca="1" xml:space="preserve"> FiscalModel!AT1125</f>
        <v>0</v>
      </c>
      <c r="AU17" s="222">
        <f ca="1" xml:space="preserve"> FiscalModel!AU1125</f>
        <v>0</v>
      </c>
      <c r="AV17" s="222">
        <f ca="1" xml:space="preserve"> FiscalModel!AV1125</f>
        <v>0</v>
      </c>
      <c r="AW17" s="222">
        <f ca="1" xml:space="preserve"> FiscalModel!AW1125</f>
        <v>0</v>
      </c>
      <c r="AX17" s="222">
        <f ca="1" xml:space="preserve"> FiscalModel!AX1125</f>
        <v>0</v>
      </c>
    </row>
    <row r="18" spans="1:50" ht="15" customHeight="1" x14ac:dyDescent="0.25">
      <c r="A18" s="142"/>
      <c r="B18" s="142"/>
      <c r="C18" s="299"/>
      <c r="D18" s="299"/>
      <c r="E18" s="222" t="str">
        <f xml:space="preserve"> FiscalModel!E1126</f>
        <v>Dividend withholding tax</v>
      </c>
      <c r="F18" s="222">
        <f xml:space="preserve"> FiscalModel!F1126</f>
        <v>0</v>
      </c>
      <c r="G18" s="222" t="str">
        <f xml:space="preserve"> FiscalModel!G1126</f>
        <v>US$ mn 2021</v>
      </c>
      <c r="H18" s="222">
        <f xml:space="preserve"> FiscalModel!H1126</f>
        <v>0</v>
      </c>
      <c r="I18" s="222">
        <f ca="1" xml:space="preserve"> FiscalModel!I1126</f>
        <v>1013.9780597960219</v>
      </c>
      <c r="J18" s="222">
        <f xml:space="preserve"> FiscalModel!J1126</f>
        <v>0</v>
      </c>
      <c r="K18" s="222">
        <f ca="1" xml:space="preserve"> FiscalModel!K1126</f>
        <v>0</v>
      </c>
      <c r="L18" s="222">
        <f ca="1" xml:space="preserve"> FiscalModel!L1126</f>
        <v>0</v>
      </c>
      <c r="M18" s="222">
        <f ca="1" xml:space="preserve"> FiscalModel!M1126</f>
        <v>0</v>
      </c>
      <c r="N18" s="222">
        <f ca="1" xml:space="preserve"> FiscalModel!N1126</f>
        <v>0</v>
      </c>
      <c r="O18" s="222">
        <f ca="1" xml:space="preserve"> FiscalModel!O1126</f>
        <v>0</v>
      </c>
      <c r="P18" s="222">
        <f ca="1" xml:space="preserve"> FiscalModel!P1126</f>
        <v>36.32412280876801</v>
      </c>
      <c r="Q18" s="222">
        <f ca="1" xml:space="preserve"> FiscalModel!Q1126</f>
        <v>45.350771818096845</v>
      </c>
      <c r="R18" s="222">
        <f ca="1" xml:space="preserve"> FiscalModel!R1126</f>
        <v>79.556346738411946</v>
      </c>
      <c r="S18" s="222">
        <f ca="1" xml:space="preserve"> FiscalModel!S1126</f>
        <v>89.674864815300822</v>
      </c>
      <c r="T18" s="222">
        <f ca="1" xml:space="preserve"> FiscalModel!T1126</f>
        <v>78.024716227284031</v>
      </c>
      <c r="U18" s="222">
        <f ca="1" xml:space="preserve"> FiscalModel!U1126</f>
        <v>69.896446779512601</v>
      </c>
      <c r="V18" s="222">
        <f ca="1" xml:space="preserve"> FiscalModel!V1126</f>
        <v>66.982901799484608</v>
      </c>
      <c r="W18" s="222">
        <f ca="1" xml:space="preserve"> FiscalModel!W1126</f>
        <v>64.793340493642333</v>
      </c>
      <c r="X18" s="222">
        <f ca="1" xml:space="preserve"> FiscalModel!X1126</f>
        <v>66.258621891407984</v>
      </c>
      <c r="Y18" s="222">
        <f ca="1" xml:space="preserve"> FiscalModel!Y1126</f>
        <v>67.679392246156468</v>
      </c>
      <c r="Z18" s="222">
        <f ca="1" xml:space="preserve"> FiscalModel!Z1126</f>
        <v>69.056833735892425</v>
      </c>
      <c r="AA18" s="222">
        <f ca="1" xml:space="preserve"> FiscalModel!AA1126</f>
        <v>70.145532787132055</v>
      </c>
      <c r="AB18" s="222">
        <f ca="1" xml:space="preserve"> FiscalModel!AB1126</f>
        <v>69.950152814292935</v>
      </c>
      <c r="AC18" s="222">
        <f ca="1" xml:space="preserve"> FiscalModel!AC1126</f>
        <v>59.074488044169605</v>
      </c>
      <c r="AD18" s="222">
        <f ca="1" xml:space="preserve"> FiscalModel!AD1126</f>
        <v>31.04053758591634</v>
      </c>
      <c r="AE18" s="222">
        <f ca="1" xml:space="preserve"> FiscalModel!AE1126</f>
        <v>21.876777785338973</v>
      </c>
      <c r="AF18" s="222">
        <f ca="1" xml:space="preserve"> FiscalModel!AF1126</f>
        <v>28.292211425214134</v>
      </c>
      <c r="AG18" s="222">
        <f ca="1" xml:space="preserve"> FiscalModel!AG1126</f>
        <v>0</v>
      </c>
      <c r="AH18" s="222">
        <f ca="1" xml:space="preserve"> FiscalModel!AH1126</f>
        <v>0</v>
      </c>
      <c r="AI18" s="222">
        <f ca="1" xml:space="preserve"> FiscalModel!AI1126</f>
        <v>0</v>
      </c>
      <c r="AJ18" s="222">
        <f ca="1" xml:space="preserve"> FiscalModel!AJ1126</f>
        <v>0</v>
      </c>
      <c r="AK18" s="222">
        <f ca="1" xml:space="preserve"> FiscalModel!AK1126</f>
        <v>0</v>
      </c>
      <c r="AL18" s="222">
        <f ca="1" xml:space="preserve"> FiscalModel!AL1126</f>
        <v>0</v>
      </c>
      <c r="AM18" s="222">
        <f ca="1" xml:space="preserve"> FiscalModel!AM1126</f>
        <v>0</v>
      </c>
      <c r="AN18" s="222">
        <f ca="1" xml:space="preserve"> FiscalModel!AN1126</f>
        <v>0</v>
      </c>
      <c r="AO18" s="222">
        <f ca="1" xml:space="preserve"> FiscalModel!AO1126</f>
        <v>0</v>
      </c>
      <c r="AP18" s="222">
        <f ca="1" xml:space="preserve"> FiscalModel!AP1126</f>
        <v>0</v>
      </c>
      <c r="AQ18" s="222">
        <f ca="1" xml:space="preserve"> FiscalModel!AQ1126</f>
        <v>0</v>
      </c>
      <c r="AR18" s="222">
        <f ca="1" xml:space="preserve"> FiscalModel!AR1126</f>
        <v>0</v>
      </c>
      <c r="AS18" s="222">
        <f ca="1" xml:space="preserve"> FiscalModel!AS1126</f>
        <v>0</v>
      </c>
      <c r="AT18" s="222">
        <f ca="1" xml:space="preserve"> FiscalModel!AT1126</f>
        <v>0</v>
      </c>
      <c r="AU18" s="222">
        <f ca="1" xml:space="preserve"> FiscalModel!AU1126</f>
        <v>0</v>
      </c>
      <c r="AV18" s="222">
        <f ca="1" xml:space="preserve"> FiscalModel!AV1126</f>
        <v>0</v>
      </c>
      <c r="AW18" s="222">
        <f ca="1" xml:space="preserve"> FiscalModel!AW1126</f>
        <v>0</v>
      </c>
      <c r="AX18" s="222">
        <f ca="1" xml:space="preserve"> FiscalModel!AX1126</f>
        <v>0</v>
      </c>
    </row>
    <row r="19" spans="1:50" ht="15" customHeight="1" x14ac:dyDescent="0.25">
      <c r="A19" s="142"/>
      <c r="B19" s="142"/>
      <c r="C19" s="299"/>
      <c r="D19" s="299"/>
      <c r="E19" s="222" t="str">
        <f xml:space="preserve"> FiscalModel!E1127</f>
        <v>Interest withholding tax</v>
      </c>
      <c r="F19" s="222">
        <f xml:space="preserve"> FiscalModel!F1127</f>
        <v>0</v>
      </c>
      <c r="G19" s="222" t="str">
        <f xml:space="preserve"> FiscalModel!G1127</f>
        <v>US$ mn 2021</v>
      </c>
      <c r="H19" s="222">
        <f xml:space="preserve"> FiscalModel!H1127</f>
        <v>0</v>
      </c>
      <c r="I19" s="222">
        <f ca="1" xml:space="preserve"> FiscalModel!I1127</f>
        <v>92.245313806865923</v>
      </c>
      <c r="J19" s="222">
        <f xml:space="preserve"> FiscalModel!J1127</f>
        <v>0</v>
      </c>
      <c r="K19" s="222">
        <f ca="1" xml:space="preserve"> FiscalModel!K1127</f>
        <v>0</v>
      </c>
      <c r="L19" s="222">
        <f ca="1" xml:space="preserve"> FiscalModel!L1127</f>
        <v>0</v>
      </c>
      <c r="M19" s="222">
        <f ca="1" xml:space="preserve"> FiscalModel!M1127</f>
        <v>0</v>
      </c>
      <c r="N19" s="222">
        <f ca="1" xml:space="preserve"> FiscalModel!N1127</f>
        <v>0</v>
      </c>
      <c r="O19" s="222">
        <f ca="1" xml:space="preserve"> FiscalModel!O1127</f>
        <v>0</v>
      </c>
      <c r="P19" s="222">
        <f ca="1" xml:space="preserve"> FiscalModel!P1127</f>
        <v>0</v>
      </c>
      <c r="Q19" s="222">
        <f ca="1" xml:space="preserve"> FiscalModel!Q1127</f>
        <v>17.777717591829806</v>
      </c>
      <c r="R19" s="222">
        <f ca="1" xml:space="preserve"> FiscalModel!R1127</f>
        <v>15.68622140455571</v>
      </c>
      <c r="S19" s="222">
        <f ca="1" xml:space="preserve"> FiscalModel!S1127</f>
        <v>13.669909720745714</v>
      </c>
      <c r="T19" s="222">
        <f ca="1" xml:space="preserve"> FiscalModel!T1127</f>
        <v>11.726638240835785</v>
      </c>
      <c r="U19" s="222">
        <f ca="1" xml:space="preserve"> FiscalModel!U1127</f>
        <v>9.8543178494418342</v>
      </c>
      <c r="V19" s="222">
        <f ca="1" xml:space="preserve"> FiscalModel!V1127</f>
        <v>8.0509132756877744</v>
      </c>
      <c r="W19" s="222">
        <f ca="1" xml:space="preserve"> FiscalModel!W1127</f>
        <v>6.3144417848531562</v>
      </c>
      <c r="X19" s="222">
        <f ca="1" xml:space="preserve"> FiscalModel!X1127</f>
        <v>4.6429719006273205</v>
      </c>
      <c r="Y19" s="222">
        <f ca="1" xml:space="preserve"> FiscalModel!Y1127</f>
        <v>3.0346221572727585</v>
      </c>
      <c r="Z19" s="222">
        <f ca="1" xml:space="preserve"> FiscalModel!Z1127</f>
        <v>1.4875598810160582</v>
      </c>
      <c r="AA19" s="222">
        <f ca="1" xml:space="preserve"> FiscalModel!AA1127</f>
        <v>0</v>
      </c>
      <c r="AB19" s="222">
        <f ca="1" xml:space="preserve"> FiscalModel!AB1127</f>
        <v>0</v>
      </c>
      <c r="AC19" s="222">
        <f ca="1" xml:space="preserve"> FiscalModel!AC1127</f>
        <v>0</v>
      </c>
      <c r="AD19" s="222">
        <f ca="1" xml:space="preserve"> FiscalModel!AD1127</f>
        <v>0</v>
      </c>
      <c r="AE19" s="222">
        <f ca="1" xml:space="preserve"> FiscalModel!AE1127</f>
        <v>0</v>
      </c>
      <c r="AF19" s="222">
        <f ca="1" xml:space="preserve"> FiscalModel!AF1127</f>
        <v>0</v>
      </c>
      <c r="AG19" s="222">
        <f ca="1" xml:space="preserve"> FiscalModel!AG1127</f>
        <v>0</v>
      </c>
      <c r="AH19" s="222">
        <f ca="1" xml:space="preserve"> FiscalModel!AH1127</f>
        <v>0</v>
      </c>
      <c r="AI19" s="222">
        <f ca="1" xml:space="preserve"> FiscalModel!AI1127</f>
        <v>0</v>
      </c>
      <c r="AJ19" s="222">
        <f ca="1" xml:space="preserve"> FiscalModel!AJ1127</f>
        <v>0</v>
      </c>
      <c r="AK19" s="222">
        <f ca="1" xml:space="preserve"> FiscalModel!AK1127</f>
        <v>0</v>
      </c>
      <c r="AL19" s="222">
        <f ca="1" xml:space="preserve"> FiscalModel!AL1127</f>
        <v>0</v>
      </c>
      <c r="AM19" s="222">
        <f ca="1" xml:space="preserve"> FiscalModel!AM1127</f>
        <v>0</v>
      </c>
      <c r="AN19" s="222">
        <f ca="1" xml:space="preserve"> FiscalModel!AN1127</f>
        <v>0</v>
      </c>
      <c r="AO19" s="222">
        <f ca="1" xml:space="preserve"> FiscalModel!AO1127</f>
        <v>0</v>
      </c>
      <c r="AP19" s="222">
        <f ca="1" xml:space="preserve"> FiscalModel!AP1127</f>
        <v>0</v>
      </c>
      <c r="AQ19" s="222">
        <f ca="1" xml:space="preserve"> FiscalModel!AQ1127</f>
        <v>0</v>
      </c>
      <c r="AR19" s="222">
        <f ca="1" xml:space="preserve"> FiscalModel!AR1127</f>
        <v>0</v>
      </c>
      <c r="AS19" s="222">
        <f ca="1" xml:space="preserve"> FiscalModel!AS1127</f>
        <v>0</v>
      </c>
      <c r="AT19" s="222">
        <f ca="1" xml:space="preserve"> FiscalModel!AT1127</f>
        <v>0</v>
      </c>
      <c r="AU19" s="222">
        <f ca="1" xml:space="preserve"> FiscalModel!AU1127</f>
        <v>0</v>
      </c>
      <c r="AV19" s="222">
        <f ca="1" xml:space="preserve"> FiscalModel!AV1127</f>
        <v>0</v>
      </c>
      <c r="AW19" s="222">
        <f ca="1" xml:space="preserve"> FiscalModel!AW1127</f>
        <v>0</v>
      </c>
      <c r="AX19" s="222">
        <f ca="1" xml:space="preserve"> FiscalModel!AX1127</f>
        <v>0</v>
      </c>
    </row>
    <row r="20" spans="1:50" ht="15" customHeight="1" x14ac:dyDescent="0.25">
      <c r="A20" s="142"/>
      <c r="B20" s="142"/>
      <c r="C20" s="299"/>
      <c r="D20" s="299"/>
      <c r="E20" s="222" t="str">
        <f xml:space="preserve"> FiscalModel!E1128</f>
        <v>VAT cashflow: government</v>
      </c>
      <c r="F20" s="222">
        <f xml:space="preserve"> FiscalModel!F1128</f>
        <v>0</v>
      </c>
      <c r="G20" s="222" t="str">
        <f xml:space="preserve"> FiscalModel!G1128</f>
        <v>US$ mn 2021</v>
      </c>
      <c r="H20" s="222">
        <f xml:space="preserve"> FiscalModel!H1128</f>
        <v>0</v>
      </c>
      <c r="I20" s="222">
        <f ca="1" xml:space="preserve"> FiscalModel!I1128</f>
        <v>0</v>
      </c>
      <c r="J20" s="222">
        <f xml:space="preserve"> FiscalModel!J1128</f>
        <v>0</v>
      </c>
      <c r="K20" s="222">
        <f ca="1" xml:space="preserve"> FiscalModel!K1128</f>
        <v>0</v>
      </c>
      <c r="L20" s="222">
        <f ca="1" xml:space="preserve"> FiscalModel!L1128</f>
        <v>0</v>
      </c>
      <c r="M20" s="222">
        <f ca="1" xml:space="preserve"> FiscalModel!M1128</f>
        <v>0</v>
      </c>
      <c r="N20" s="222">
        <f ca="1" xml:space="preserve"> FiscalModel!N1128</f>
        <v>0</v>
      </c>
      <c r="O20" s="222">
        <f ca="1" xml:space="preserve"> FiscalModel!O1128</f>
        <v>0</v>
      </c>
      <c r="P20" s="222">
        <f ca="1" xml:space="preserve"> FiscalModel!P1128</f>
        <v>0</v>
      </c>
      <c r="Q20" s="222">
        <f ca="1" xml:space="preserve"> FiscalModel!Q1128</f>
        <v>0</v>
      </c>
      <c r="R20" s="222">
        <f ca="1" xml:space="preserve"> FiscalModel!R1128</f>
        <v>0</v>
      </c>
      <c r="S20" s="222">
        <f ca="1" xml:space="preserve"> FiscalModel!S1128</f>
        <v>0</v>
      </c>
      <c r="T20" s="222">
        <f ca="1" xml:space="preserve"> FiscalModel!T1128</f>
        <v>0</v>
      </c>
      <c r="U20" s="222">
        <f ca="1" xml:space="preserve"> FiscalModel!U1128</f>
        <v>0</v>
      </c>
      <c r="V20" s="222">
        <f ca="1" xml:space="preserve"> FiscalModel!V1128</f>
        <v>0</v>
      </c>
      <c r="W20" s="222">
        <f ca="1" xml:space="preserve"> FiscalModel!W1128</f>
        <v>0</v>
      </c>
      <c r="X20" s="222">
        <f ca="1" xml:space="preserve"> FiscalModel!X1128</f>
        <v>0</v>
      </c>
      <c r="Y20" s="222">
        <f ca="1" xml:space="preserve"> FiscalModel!Y1128</f>
        <v>0</v>
      </c>
      <c r="Z20" s="222">
        <f ca="1" xml:space="preserve"> FiscalModel!Z1128</f>
        <v>0</v>
      </c>
      <c r="AA20" s="222">
        <f ca="1" xml:space="preserve"> FiscalModel!AA1128</f>
        <v>0</v>
      </c>
      <c r="AB20" s="222">
        <f ca="1" xml:space="preserve"> FiscalModel!AB1128</f>
        <v>0</v>
      </c>
      <c r="AC20" s="222">
        <f ca="1" xml:space="preserve"> FiscalModel!AC1128</f>
        <v>0</v>
      </c>
      <c r="AD20" s="222">
        <f ca="1" xml:space="preserve"> FiscalModel!AD1128</f>
        <v>0</v>
      </c>
      <c r="AE20" s="222">
        <f ca="1" xml:space="preserve"> FiscalModel!AE1128</f>
        <v>0</v>
      </c>
      <c r="AF20" s="222">
        <f ca="1" xml:space="preserve"> FiscalModel!AF1128</f>
        <v>0</v>
      </c>
      <c r="AG20" s="222">
        <f ca="1" xml:space="preserve"> FiscalModel!AG1128</f>
        <v>0</v>
      </c>
      <c r="AH20" s="222">
        <f ca="1" xml:space="preserve"> FiscalModel!AH1128</f>
        <v>0</v>
      </c>
      <c r="AI20" s="222">
        <f ca="1" xml:space="preserve"> FiscalModel!AI1128</f>
        <v>0</v>
      </c>
      <c r="AJ20" s="222">
        <f ca="1" xml:space="preserve"> FiscalModel!AJ1128</f>
        <v>0</v>
      </c>
      <c r="AK20" s="222">
        <f ca="1" xml:space="preserve"> FiscalModel!AK1128</f>
        <v>0</v>
      </c>
      <c r="AL20" s="222">
        <f ca="1" xml:space="preserve"> FiscalModel!AL1128</f>
        <v>0</v>
      </c>
      <c r="AM20" s="222">
        <f ca="1" xml:space="preserve"> FiscalModel!AM1128</f>
        <v>0</v>
      </c>
      <c r="AN20" s="222">
        <f ca="1" xml:space="preserve"> FiscalModel!AN1128</f>
        <v>0</v>
      </c>
      <c r="AO20" s="222">
        <f ca="1" xml:space="preserve"> FiscalModel!AO1128</f>
        <v>0</v>
      </c>
      <c r="AP20" s="222">
        <f ca="1" xml:space="preserve"> FiscalModel!AP1128</f>
        <v>0</v>
      </c>
      <c r="AQ20" s="222">
        <f ca="1" xml:space="preserve"> FiscalModel!AQ1128</f>
        <v>0</v>
      </c>
      <c r="AR20" s="222">
        <f ca="1" xml:space="preserve"> FiscalModel!AR1128</f>
        <v>0</v>
      </c>
      <c r="AS20" s="222">
        <f ca="1" xml:space="preserve"> FiscalModel!AS1128</f>
        <v>0</v>
      </c>
      <c r="AT20" s="222">
        <f ca="1" xml:space="preserve"> FiscalModel!AT1128</f>
        <v>0</v>
      </c>
      <c r="AU20" s="222">
        <f ca="1" xml:space="preserve"> FiscalModel!AU1128</f>
        <v>0</v>
      </c>
      <c r="AV20" s="222">
        <f ca="1" xml:space="preserve"> FiscalModel!AV1128</f>
        <v>0</v>
      </c>
      <c r="AW20" s="222">
        <f ca="1" xml:space="preserve"> FiscalModel!AW1128</f>
        <v>0</v>
      </c>
      <c r="AX20" s="222">
        <f ca="1" xml:space="preserve"> FiscalModel!AX1128</f>
        <v>0</v>
      </c>
    </row>
    <row r="21" spans="1:50" ht="15" customHeight="1" x14ac:dyDescent="0.25">
      <c r="A21" s="142"/>
      <c r="B21" s="142"/>
      <c r="C21" s="299"/>
      <c r="D21" s="299"/>
      <c r="E21" s="222" t="str">
        <f xml:space="preserve"> FiscalModel!E1129</f>
        <v>Government revenues excluding participation</v>
      </c>
      <c r="F21" s="222">
        <f xml:space="preserve"> FiscalModel!F1129</f>
        <v>0</v>
      </c>
      <c r="G21" s="222" t="str">
        <f xml:space="preserve"> FiscalModel!G1129</f>
        <v>US$ mn 2021</v>
      </c>
      <c r="H21" s="222">
        <f xml:space="preserve"> FiscalModel!H1129</f>
        <v>0</v>
      </c>
      <c r="I21" s="222">
        <f ca="1" xml:space="preserve"> FiscalModel!I1129</f>
        <v>16056.404234002975</v>
      </c>
      <c r="J21" s="222">
        <f xml:space="preserve"> FiscalModel!J1129</f>
        <v>0</v>
      </c>
      <c r="K21" s="222">
        <f ca="1" xml:space="preserve"> FiscalModel!K1129</f>
        <v>10</v>
      </c>
      <c r="L21" s="222">
        <f ca="1" xml:space="preserve"> FiscalModel!L1129</f>
        <v>0</v>
      </c>
      <c r="M21" s="222">
        <f ca="1" xml:space="preserve"> FiscalModel!M1129</f>
        <v>0</v>
      </c>
      <c r="N21" s="222">
        <f ca="1" xml:space="preserve"> FiscalModel!N1129</f>
        <v>0</v>
      </c>
      <c r="O21" s="222">
        <f ca="1" xml:space="preserve"> FiscalModel!O1129</f>
        <v>88.582606280643191</v>
      </c>
      <c r="P21" s="222">
        <f ca="1" xml:space="preserve"> FiscalModel!P1129</f>
        <v>368.70789472108811</v>
      </c>
      <c r="Q21" s="222">
        <f ca="1" xml:space="preserve"> FiscalModel!Q1129</f>
        <v>726.67019904192705</v>
      </c>
      <c r="R21" s="222">
        <f ca="1" xml:space="preserve"> FiscalModel!R1129</f>
        <v>872.09786683953803</v>
      </c>
      <c r="S21" s="222">
        <f ca="1" xml:space="preserve"> FiscalModel!S1129</f>
        <v>960.31286559465696</v>
      </c>
      <c r="T21" s="222">
        <f ca="1" xml:space="preserve"> FiscalModel!T1129</f>
        <v>1083.8332597760284</v>
      </c>
      <c r="U21" s="222">
        <f ca="1" xml:space="preserve"> FiscalModel!U1129</f>
        <v>1175.0607476730338</v>
      </c>
      <c r="V21" s="222">
        <f ca="1" xml:space="preserve"> FiscalModel!V1129</f>
        <v>1218.7759160069227</v>
      </c>
      <c r="W21" s="222">
        <f ca="1" xml:space="preserve"> FiscalModel!W1129</f>
        <v>1215.2021859068711</v>
      </c>
      <c r="X21" s="222">
        <f ca="1" xml:space="preserve"> FiscalModel!X1129</f>
        <v>1219.1837005000195</v>
      </c>
      <c r="Y21" s="222">
        <f ca="1" xml:space="preserve"> FiscalModel!Y1129</f>
        <v>1223.0167429455282</v>
      </c>
      <c r="Z21" s="222">
        <f ca="1" xml:space="preserve"> FiscalModel!Z1129</f>
        <v>1226.7056049175478</v>
      </c>
      <c r="AA21" s="222">
        <f ca="1" xml:space="preserve"> FiscalModel!AA1129</f>
        <v>980.543221155693</v>
      </c>
      <c r="AB21" s="222">
        <f ca="1" xml:space="preserve"> FiscalModel!AB1129</f>
        <v>792.07065292357095</v>
      </c>
      <c r="AC21" s="222">
        <f ca="1" xml:space="preserve"> FiscalModel!AC1129</f>
        <v>662.01527910276286</v>
      </c>
      <c r="AD21" s="222">
        <f ca="1" xml:space="preserve"> FiscalModel!AD1129</f>
        <v>506.55521064156488</v>
      </c>
      <c r="AE21" s="222">
        <f ca="1" xml:space="preserve"> FiscalModel!AE1129</f>
        <v>397.99498049994634</v>
      </c>
      <c r="AF21" s="222">
        <f ca="1" xml:space="preserve"> FiscalModel!AF1129</f>
        <v>333.54915202440236</v>
      </c>
      <c r="AG21" s="222">
        <f ca="1" xml:space="preserve"> FiscalModel!AG1129</f>
        <v>238.57407851609645</v>
      </c>
      <c r="AH21" s="222">
        <f ca="1" xml:space="preserve"> FiscalModel!AH1129</f>
        <v>183.60843695408704</v>
      </c>
      <c r="AI21" s="222">
        <f ca="1" xml:space="preserve"> FiscalModel!AI1129</f>
        <v>149.63029869439617</v>
      </c>
      <c r="AJ21" s="222">
        <f ca="1" xml:space="preserve"> FiscalModel!AJ1129</f>
        <v>124.22923883542845</v>
      </c>
      <c r="AK21" s="222">
        <f ca="1" xml:space="preserve"> FiscalModel!AK1129</f>
        <v>95.591493187539172</v>
      </c>
      <c r="AL21" s="222">
        <f ca="1" xml:space="preserve"> FiscalModel!AL1129</f>
        <v>72.709308696397386</v>
      </c>
      <c r="AM21" s="222">
        <f ca="1" xml:space="preserve"> FiscalModel!AM1129</f>
        <v>58.167808109061227</v>
      </c>
      <c r="AN21" s="222">
        <f ca="1" xml:space="preserve"> FiscalModel!AN1129</f>
        <v>42.243213131999632</v>
      </c>
      <c r="AO21" s="222">
        <f ca="1" xml:space="preserve"> FiscalModel!AO1129</f>
        <v>30.772271326220409</v>
      </c>
      <c r="AP21" s="222">
        <f ca="1" xml:space="preserve"> FiscalModel!AP1129</f>
        <v>0</v>
      </c>
      <c r="AQ21" s="222">
        <f ca="1" xml:space="preserve"> FiscalModel!AQ1129</f>
        <v>0</v>
      </c>
      <c r="AR21" s="222">
        <f ca="1" xml:space="preserve"> FiscalModel!AR1129</f>
        <v>0</v>
      </c>
      <c r="AS21" s="222">
        <f ca="1" xml:space="preserve"> FiscalModel!AS1129</f>
        <v>0</v>
      </c>
      <c r="AT21" s="222">
        <f ca="1" xml:space="preserve"> FiscalModel!AT1129</f>
        <v>0</v>
      </c>
      <c r="AU21" s="222">
        <f ca="1" xml:space="preserve"> FiscalModel!AU1129</f>
        <v>0</v>
      </c>
      <c r="AV21" s="222">
        <f ca="1" xml:space="preserve"> FiscalModel!AV1129</f>
        <v>0</v>
      </c>
      <c r="AW21" s="222">
        <f ca="1" xml:space="preserve"> FiscalModel!AW1129</f>
        <v>0</v>
      </c>
      <c r="AX21" s="222">
        <f ca="1" xml:space="preserve"> FiscalModel!AX1129</f>
        <v>0</v>
      </c>
    </row>
    <row r="22" spans="1:50" ht="15" customHeight="1" x14ac:dyDescent="0.25">
      <c r="A22" s="142"/>
      <c r="B22" s="142"/>
      <c r="C22" s="299"/>
      <c r="D22" s="299"/>
      <c r="E22" s="222" t="str">
        <f xml:space="preserve"> FiscalModel!E1130</f>
        <v>SOC net cash flow before tax, after carried interest, including share of lender cashflows</v>
      </c>
      <c r="F22" s="222">
        <f xml:space="preserve"> FiscalModel!F1130</f>
        <v>0</v>
      </c>
      <c r="G22" s="222" t="str">
        <f xml:space="preserve"> FiscalModel!G1130</f>
        <v>US$ mn 2021</v>
      </c>
      <c r="H22" s="222">
        <f xml:space="preserve"> FiscalModel!H1130</f>
        <v>0</v>
      </c>
      <c r="I22" s="222">
        <f ca="1" xml:space="preserve"> FiscalModel!I1130</f>
        <v>3982.9846625612686</v>
      </c>
      <c r="J22" s="222">
        <f xml:space="preserve"> FiscalModel!J1130</f>
        <v>0</v>
      </c>
      <c r="K22" s="222">
        <f ca="1" xml:space="preserve"> FiscalModel!K1130</f>
        <v>0</v>
      </c>
      <c r="L22" s="222">
        <f ca="1" xml:space="preserve"> FiscalModel!L1130</f>
        <v>-7</v>
      </c>
      <c r="M22" s="222">
        <f ca="1" xml:space="preserve"> FiscalModel!M1130</f>
        <v>-42</v>
      </c>
      <c r="N22" s="222">
        <f ca="1" xml:space="preserve"> FiscalModel!N1130</f>
        <v>-168</v>
      </c>
      <c r="O22" s="222">
        <f ca="1" xml:space="preserve"> FiscalModel!O1130</f>
        <v>-168</v>
      </c>
      <c r="P22" s="222">
        <f ca="1" xml:space="preserve"> FiscalModel!P1130</f>
        <v>-294</v>
      </c>
      <c r="Q22" s="222">
        <f ca="1" xml:space="preserve"> FiscalModel!Q1130</f>
        <v>107.35265407110511</v>
      </c>
      <c r="R22" s="222">
        <f ca="1" xml:space="preserve"> FiscalModel!R1130</f>
        <v>324.64477343830453</v>
      </c>
      <c r="S22" s="222">
        <f ca="1" xml:space="preserve"> FiscalModel!S1130</f>
        <v>365.28368248645455</v>
      </c>
      <c r="T22" s="222">
        <f ca="1" xml:space="preserve"> FiscalModel!T1130</f>
        <v>365.90336297007161</v>
      </c>
      <c r="U22" s="222">
        <f ca="1" xml:space="preserve"> FiscalModel!U1130</f>
        <v>366.50432331073785</v>
      </c>
      <c r="V22" s="222">
        <f ca="1" xml:space="preserve"> FiscalModel!V1130</f>
        <v>367.08705938469217</v>
      </c>
      <c r="W22" s="222">
        <f ca="1" xml:space="preserve"> FiscalModel!W1130</f>
        <v>357.59979613511689</v>
      </c>
      <c r="X22" s="222">
        <f ca="1" xml:space="preserve"> FiscalModel!X1130</f>
        <v>358.34462571015644</v>
      </c>
      <c r="Y22" s="222">
        <f ca="1" xml:space="preserve"> FiscalModel!Y1130</f>
        <v>359.06878153941</v>
      </c>
      <c r="Z22" s="222">
        <f ca="1" xml:space="preserve"> FiscalModel!Z1130</f>
        <v>359.7727879952327</v>
      </c>
      <c r="AA22" s="222">
        <f ca="1" xml:space="preserve"> FiscalModel!AA1130</f>
        <v>270.82581772687712</v>
      </c>
      <c r="AB22" s="222">
        <f ca="1" xml:space="preserve"> FiscalModel!AB1130</f>
        <v>248.53589475441893</v>
      </c>
      <c r="AC22" s="222">
        <f ca="1" xml:space="preserve"> FiscalModel!AC1130</f>
        <v>211.98544956012856</v>
      </c>
      <c r="AD22" s="222">
        <f ca="1" xml:space="preserve"> FiscalModel!AD1130</f>
        <v>126.56885661966672</v>
      </c>
      <c r="AE22" s="222">
        <f ca="1" xml:space="preserve"> FiscalModel!AE1130</f>
        <v>92.174442204675259</v>
      </c>
      <c r="AF22" s="222">
        <f ca="1" xml:space="preserve"> FiscalModel!AF1130</f>
        <v>102.89086574523206</v>
      </c>
      <c r="AG22" s="222">
        <f ca="1" xml:space="preserve"> FiscalModel!AG1130</f>
        <v>79.931240883226394</v>
      </c>
      <c r="AH22" s="222">
        <f ca="1" xml:space="preserve"> FiscalModel!AH1130</f>
        <v>60.57163552775063</v>
      </c>
      <c r="AI22" s="222">
        <f ca="1" xml:space="preserve"> FiscalModel!AI1130</f>
        <v>45.101226726046271</v>
      </c>
      <c r="AJ22" s="222">
        <f ca="1" xml:space="preserve"> FiscalModel!AJ1130</f>
        <v>32.781902148148902</v>
      </c>
      <c r="AK22" s="222">
        <f ca="1" xml:space="preserve"> FiscalModel!AK1130</f>
        <v>23.015518262544532</v>
      </c>
      <c r="AL22" s="222">
        <f ca="1" xml:space="preserve"> FiscalModel!AL1130</f>
        <v>15.317364349638096</v>
      </c>
      <c r="AM22" s="222">
        <f ca="1" xml:space="preserve"> FiscalModel!AM1130</f>
        <v>11.924564486059397</v>
      </c>
      <c r="AN22" s="222">
        <f ca="1" xml:space="preserve"> FiscalModel!AN1130</f>
        <v>6.2074486901330133</v>
      </c>
      <c r="AO22" s="222">
        <f ca="1" xml:space="preserve"> FiscalModel!AO1130</f>
        <v>2.5905878354412502</v>
      </c>
      <c r="AP22" s="222">
        <f ca="1" xml:space="preserve"> FiscalModel!AP1130</f>
        <v>0</v>
      </c>
      <c r="AQ22" s="222">
        <f ca="1" xml:space="preserve"> FiscalModel!AQ1130</f>
        <v>0</v>
      </c>
      <c r="AR22" s="222">
        <f ca="1" xml:space="preserve"> FiscalModel!AR1130</f>
        <v>0</v>
      </c>
      <c r="AS22" s="222">
        <f ca="1" xml:space="preserve"> FiscalModel!AS1130</f>
        <v>0</v>
      </c>
      <c r="AT22" s="222">
        <f ca="1" xml:space="preserve"> FiscalModel!AT1130</f>
        <v>0</v>
      </c>
      <c r="AU22" s="222">
        <f ca="1" xml:space="preserve"> FiscalModel!AU1130</f>
        <v>0</v>
      </c>
      <c r="AV22" s="222">
        <f ca="1" xml:space="preserve"> FiscalModel!AV1130</f>
        <v>0</v>
      </c>
      <c r="AW22" s="222">
        <f ca="1" xml:space="preserve"> FiscalModel!AW1130</f>
        <v>0</v>
      </c>
      <c r="AX22" s="222">
        <f ca="1" xml:space="preserve"> FiscalModel!AX1130</f>
        <v>0</v>
      </c>
    </row>
    <row r="23" spans="1:50" ht="15" customHeight="1" x14ac:dyDescent="0.25">
      <c r="A23" s="142"/>
      <c r="B23" s="142"/>
      <c r="C23" s="299"/>
      <c r="D23" s="299"/>
      <c r="E23" s="222" t="str">
        <f xml:space="preserve"> FiscalModel!E1131</f>
        <v>Government revenues including participation</v>
      </c>
      <c r="F23" s="222">
        <f xml:space="preserve"> FiscalModel!F1131</f>
        <v>0</v>
      </c>
      <c r="G23" s="222" t="str">
        <f xml:space="preserve"> FiscalModel!G1131</f>
        <v>US$ mn 2021</v>
      </c>
      <c r="H23" s="222">
        <f xml:space="preserve"> FiscalModel!H1131</f>
        <v>0</v>
      </c>
      <c r="I23" s="222">
        <f ca="1" xml:space="preserve"> FiscalModel!I1131</f>
        <v>20039.388896564244</v>
      </c>
      <c r="J23" s="222">
        <f xml:space="preserve"> FiscalModel!J1131</f>
        <v>0</v>
      </c>
      <c r="K23" s="222">
        <f ca="1" xml:space="preserve"> FiscalModel!K1131</f>
        <v>10</v>
      </c>
      <c r="L23" s="222">
        <f ca="1" xml:space="preserve"> FiscalModel!L1131</f>
        <v>-7</v>
      </c>
      <c r="M23" s="222">
        <f ca="1" xml:space="preserve"> FiscalModel!M1131</f>
        <v>-42</v>
      </c>
      <c r="N23" s="222">
        <f ca="1" xml:space="preserve"> FiscalModel!N1131</f>
        <v>-168</v>
      </c>
      <c r="O23" s="222">
        <f ca="1" xml:space="preserve"> FiscalModel!O1131</f>
        <v>-79.417393719356809</v>
      </c>
      <c r="P23" s="222">
        <f ca="1" xml:space="preserve"> FiscalModel!P1131</f>
        <v>74.70789472108811</v>
      </c>
      <c r="Q23" s="222">
        <f ca="1" xml:space="preserve"> FiscalModel!Q1131</f>
        <v>834.02285311303217</v>
      </c>
      <c r="R23" s="222">
        <f ca="1" xml:space="preserve"> FiscalModel!R1131</f>
        <v>1196.7426402778426</v>
      </c>
      <c r="S23" s="222">
        <f ca="1" xml:space="preserve"> FiscalModel!S1131</f>
        <v>1325.5965480811115</v>
      </c>
      <c r="T23" s="222">
        <f ca="1" xml:space="preserve"> FiscalModel!T1131</f>
        <v>1449.7366227461</v>
      </c>
      <c r="U23" s="222">
        <f ca="1" xml:space="preserve"> FiscalModel!U1131</f>
        <v>1541.5650709837716</v>
      </c>
      <c r="V23" s="222">
        <f ca="1" xml:space="preserve"> FiscalModel!V1131</f>
        <v>1585.8629753916148</v>
      </c>
      <c r="W23" s="222">
        <f ca="1" xml:space="preserve"> FiscalModel!W1131</f>
        <v>1572.8019820419881</v>
      </c>
      <c r="X23" s="222">
        <f ca="1" xml:space="preserve"> FiscalModel!X1131</f>
        <v>1577.5283262101759</v>
      </c>
      <c r="Y23" s="222">
        <f ca="1" xml:space="preserve"> FiscalModel!Y1131</f>
        <v>1582.0855244849381</v>
      </c>
      <c r="Z23" s="222">
        <f ca="1" xml:space="preserve"> FiscalModel!Z1131</f>
        <v>1586.4783929127805</v>
      </c>
      <c r="AA23" s="222">
        <f ca="1" xml:space="preserve"> FiscalModel!AA1131</f>
        <v>1251.3690388825701</v>
      </c>
      <c r="AB23" s="222">
        <f ca="1" xml:space="preserve"> FiscalModel!AB1131</f>
        <v>1040.60654767799</v>
      </c>
      <c r="AC23" s="222">
        <f ca="1" xml:space="preserve"> FiscalModel!AC1131</f>
        <v>874.00072866289145</v>
      </c>
      <c r="AD23" s="222">
        <f ca="1" xml:space="preserve"> FiscalModel!AD1131</f>
        <v>633.12406726123163</v>
      </c>
      <c r="AE23" s="222">
        <f ca="1" xml:space="preserve"> FiscalModel!AE1131</f>
        <v>490.16942270462158</v>
      </c>
      <c r="AF23" s="222">
        <f ca="1" xml:space="preserve"> FiscalModel!AF1131</f>
        <v>436.44001776963444</v>
      </c>
      <c r="AG23" s="222">
        <f ca="1" xml:space="preserve"> FiscalModel!AG1131</f>
        <v>318.50531939932284</v>
      </c>
      <c r="AH23" s="222">
        <f ca="1" xml:space="preserve"> FiscalModel!AH1131</f>
        <v>244.18007248183767</v>
      </c>
      <c r="AI23" s="222">
        <f ca="1" xml:space="preserve"> FiscalModel!AI1131</f>
        <v>194.73152542044244</v>
      </c>
      <c r="AJ23" s="222">
        <f ca="1" xml:space="preserve"> FiscalModel!AJ1131</f>
        <v>157.01114098357735</v>
      </c>
      <c r="AK23" s="222">
        <f ca="1" xml:space="preserve"> FiscalModel!AK1131</f>
        <v>118.6070114500837</v>
      </c>
      <c r="AL23" s="222">
        <f ca="1" xml:space="preserve"> FiscalModel!AL1131</f>
        <v>88.026673046035484</v>
      </c>
      <c r="AM23" s="222">
        <f ca="1" xml:space="preserve"> FiscalModel!AM1131</f>
        <v>70.092372595120622</v>
      </c>
      <c r="AN23" s="222">
        <f ca="1" xml:space="preserve"> FiscalModel!AN1131</f>
        <v>48.450661822132645</v>
      </c>
      <c r="AO23" s="222">
        <f ca="1" xml:space="preserve"> FiscalModel!AO1131</f>
        <v>33.36285916166166</v>
      </c>
      <c r="AP23" s="222">
        <f ca="1" xml:space="preserve"> FiscalModel!AP1131</f>
        <v>0</v>
      </c>
      <c r="AQ23" s="222">
        <f ca="1" xml:space="preserve"> FiscalModel!AQ1131</f>
        <v>0</v>
      </c>
      <c r="AR23" s="222">
        <f ca="1" xml:space="preserve"> FiscalModel!AR1131</f>
        <v>0</v>
      </c>
      <c r="AS23" s="222">
        <f ca="1" xml:space="preserve"> FiscalModel!AS1131</f>
        <v>0</v>
      </c>
      <c r="AT23" s="222">
        <f ca="1" xml:space="preserve"> FiscalModel!AT1131</f>
        <v>0</v>
      </c>
      <c r="AU23" s="222">
        <f ca="1" xml:space="preserve"> FiscalModel!AU1131</f>
        <v>0</v>
      </c>
      <c r="AV23" s="222">
        <f ca="1" xml:space="preserve"> FiscalModel!AV1131</f>
        <v>0</v>
      </c>
      <c r="AW23" s="222">
        <f ca="1" xml:space="preserve"> FiscalModel!AW1131</f>
        <v>0</v>
      </c>
      <c r="AX23" s="222">
        <f ca="1" xml:space="preserve"> FiscalModel!AX1131</f>
        <v>0</v>
      </c>
    </row>
    <row r="24" spans="1:50" ht="15" customHeight="1" x14ac:dyDescent="0.25">
      <c r="A24" s="56"/>
      <c r="B24" s="56"/>
      <c r="C24" s="105"/>
      <c r="D24" s="105"/>
      <c r="E24" s="56"/>
      <c r="F24" s="56"/>
      <c r="G24" s="52"/>
      <c r="H24" s="52"/>
      <c r="I24" s="52"/>
      <c r="J24" s="52"/>
      <c r="K24" s="56"/>
      <c r="L24" s="56"/>
      <c r="M24" s="56"/>
      <c r="N24" s="56"/>
      <c r="O24" s="56"/>
      <c r="P24" s="56"/>
      <c r="Q24" s="56"/>
      <c r="R24" s="56"/>
      <c r="S24" s="56"/>
      <c r="T24" s="56"/>
      <c r="U24" s="56"/>
      <c r="V24" s="56"/>
      <c r="W24" s="56"/>
      <c r="X24" s="56"/>
      <c r="Y24" s="56"/>
      <c r="Z24" s="56"/>
      <c r="AA24" s="56"/>
      <c r="AB24" s="56"/>
      <c r="AC24" s="56"/>
      <c r="AD24" s="56"/>
      <c r="AE24" s="56"/>
      <c r="AF24" s="56"/>
      <c r="AG24" s="56"/>
      <c r="AH24" s="56"/>
      <c r="AI24" s="56"/>
      <c r="AJ24" s="56"/>
      <c r="AK24" s="56"/>
      <c r="AL24" s="56"/>
      <c r="AM24" s="56"/>
      <c r="AN24" s="56"/>
      <c r="AO24" s="56"/>
      <c r="AP24" s="56"/>
      <c r="AQ24" s="56"/>
      <c r="AR24" s="56"/>
      <c r="AS24" s="56"/>
      <c r="AT24" s="56"/>
      <c r="AU24" s="56"/>
      <c r="AV24" s="56"/>
      <c r="AW24" s="56"/>
      <c r="AX24" s="56"/>
    </row>
    <row r="25" spans="1:50" ht="15" customHeight="1" x14ac:dyDescent="0.25">
      <c r="A25" s="56"/>
      <c r="B25" s="142" t="str">
        <f xml:space="preserve"> Translate!E$785</f>
        <v>For chart</v>
      </c>
      <c r="C25" s="105"/>
      <c r="D25" s="105"/>
      <c r="E25" s="56"/>
      <c r="F25" s="56"/>
      <c r="G25" s="52"/>
      <c r="H25" s="52"/>
      <c r="I25" s="52"/>
      <c r="J25" s="52"/>
      <c r="K25" s="56"/>
      <c r="L25" s="56"/>
      <c r="M25" s="56"/>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W25" s="56"/>
      <c r="AX25" s="56"/>
    </row>
    <row r="26" spans="1:50" ht="15" customHeight="1" x14ac:dyDescent="0.25">
      <c r="A26" s="56"/>
      <c r="B26" s="56"/>
      <c r="C26" s="105"/>
      <c r="D26" s="105"/>
      <c r="E26" s="56" t="str">
        <f t="shared" ref="E26:AX26" si="0" xml:space="preserve"> E12</f>
        <v>Bonuses</v>
      </c>
      <c r="F26" s="56">
        <f t="shared" si="0"/>
        <v>0</v>
      </c>
      <c r="G26" s="56" t="str">
        <f t="shared" si="0"/>
        <v>US$ mn 2021</v>
      </c>
      <c r="H26" s="56">
        <f t="shared" si="0"/>
        <v>0</v>
      </c>
      <c r="I26" s="56">
        <f t="shared" ca="1" si="0"/>
        <v>56.192271301325711</v>
      </c>
      <c r="J26" s="56">
        <f t="shared" si="0"/>
        <v>0</v>
      </c>
      <c r="K26" s="56">
        <f t="shared" ca="1" si="0"/>
        <v>10</v>
      </c>
      <c r="L26" s="56">
        <f t="shared" ca="1" si="0"/>
        <v>0</v>
      </c>
      <c r="M26" s="56">
        <f t="shared" ca="1" si="0"/>
        <v>0</v>
      </c>
      <c r="N26" s="56">
        <f t="shared" ca="1" si="0"/>
        <v>0</v>
      </c>
      <c r="O26" s="56">
        <f t="shared" ca="1" si="0"/>
        <v>46.192271301325711</v>
      </c>
      <c r="P26" s="56">
        <f t="shared" ca="1" si="0"/>
        <v>0</v>
      </c>
      <c r="Q26" s="56">
        <f t="shared" ca="1" si="0"/>
        <v>0</v>
      </c>
      <c r="R26" s="56">
        <f t="shared" ca="1" si="0"/>
        <v>0</v>
      </c>
      <c r="S26" s="56">
        <f t="shared" ca="1" si="0"/>
        <v>0</v>
      </c>
      <c r="T26" s="56">
        <f t="shared" ca="1" si="0"/>
        <v>0</v>
      </c>
      <c r="U26" s="56">
        <f t="shared" ca="1" si="0"/>
        <v>0</v>
      </c>
      <c r="V26" s="56">
        <f t="shared" ca="1" si="0"/>
        <v>0</v>
      </c>
      <c r="W26" s="56">
        <f t="shared" ca="1" si="0"/>
        <v>0</v>
      </c>
      <c r="X26" s="56">
        <f t="shared" ca="1" si="0"/>
        <v>0</v>
      </c>
      <c r="Y26" s="56">
        <f t="shared" ca="1" si="0"/>
        <v>0</v>
      </c>
      <c r="Z26" s="56">
        <f t="shared" ca="1" si="0"/>
        <v>0</v>
      </c>
      <c r="AA26" s="56">
        <f t="shared" ca="1" si="0"/>
        <v>0</v>
      </c>
      <c r="AB26" s="56">
        <f t="shared" ca="1" si="0"/>
        <v>0</v>
      </c>
      <c r="AC26" s="56">
        <f t="shared" ca="1" si="0"/>
        <v>0</v>
      </c>
      <c r="AD26" s="56">
        <f t="shared" ca="1" si="0"/>
        <v>0</v>
      </c>
      <c r="AE26" s="56">
        <f t="shared" ca="1" si="0"/>
        <v>0</v>
      </c>
      <c r="AF26" s="56">
        <f t="shared" ca="1" si="0"/>
        <v>0</v>
      </c>
      <c r="AG26" s="56">
        <f t="shared" ca="1" si="0"/>
        <v>0</v>
      </c>
      <c r="AH26" s="56">
        <f t="shared" ca="1" si="0"/>
        <v>0</v>
      </c>
      <c r="AI26" s="56">
        <f t="shared" ca="1" si="0"/>
        <v>0</v>
      </c>
      <c r="AJ26" s="56">
        <f t="shared" ca="1" si="0"/>
        <v>0</v>
      </c>
      <c r="AK26" s="56">
        <f t="shared" ca="1" si="0"/>
        <v>0</v>
      </c>
      <c r="AL26" s="56">
        <f t="shared" ca="1" si="0"/>
        <v>0</v>
      </c>
      <c r="AM26" s="56">
        <f t="shared" ca="1" si="0"/>
        <v>0</v>
      </c>
      <c r="AN26" s="56">
        <f t="shared" ca="1" si="0"/>
        <v>0</v>
      </c>
      <c r="AO26" s="56">
        <f t="shared" ca="1" si="0"/>
        <v>0</v>
      </c>
      <c r="AP26" s="56">
        <f t="shared" ca="1" si="0"/>
        <v>0</v>
      </c>
      <c r="AQ26" s="56">
        <f t="shared" ca="1" si="0"/>
        <v>0</v>
      </c>
      <c r="AR26" s="56">
        <f t="shared" ca="1" si="0"/>
        <v>0</v>
      </c>
      <c r="AS26" s="56">
        <f t="shared" ca="1" si="0"/>
        <v>0</v>
      </c>
      <c r="AT26" s="56">
        <f t="shared" ca="1" si="0"/>
        <v>0</v>
      </c>
      <c r="AU26" s="56">
        <f t="shared" ca="1" si="0"/>
        <v>0</v>
      </c>
      <c r="AV26" s="56">
        <f t="shared" ca="1" si="0"/>
        <v>0</v>
      </c>
      <c r="AW26" s="56">
        <f t="shared" ca="1" si="0"/>
        <v>0</v>
      </c>
      <c r="AX26" s="56">
        <f t="shared" ca="1" si="0"/>
        <v>0</v>
      </c>
    </row>
    <row r="27" spans="1:50" ht="15" customHeight="1" x14ac:dyDescent="0.25">
      <c r="A27" s="56"/>
      <c r="B27" s="56"/>
      <c r="C27" s="105"/>
      <c r="D27" s="105"/>
      <c r="E27" s="56" t="str">
        <f t="shared" ref="E27:AX27" si="1" xml:space="preserve"> E13</f>
        <v>Royalty</v>
      </c>
      <c r="F27" s="56">
        <f t="shared" si="1"/>
        <v>0</v>
      </c>
      <c r="G27" s="56" t="str">
        <f t="shared" si="1"/>
        <v>US$ mn 2021</v>
      </c>
      <c r="H27" s="56">
        <f t="shared" si="1"/>
        <v>0</v>
      </c>
      <c r="I27" s="56">
        <f t="shared" ca="1" si="1"/>
        <v>8820.6047726449069</v>
      </c>
      <c r="J27" s="56">
        <f t="shared" si="1"/>
        <v>0</v>
      </c>
      <c r="K27" s="56">
        <f t="shared" ca="1" si="1"/>
        <v>0</v>
      </c>
      <c r="L27" s="56">
        <f t="shared" ca="1" si="1"/>
        <v>0</v>
      </c>
      <c r="M27" s="56">
        <f t="shared" ca="1" si="1"/>
        <v>0</v>
      </c>
      <c r="N27" s="56">
        <f t="shared" ca="1" si="1"/>
        <v>0</v>
      </c>
      <c r="O27" s="56">
        <f t="shared" ca="1" si="1"/>
        <v>38.33167163286209</v>
      </c>
      <c r="P27" s="56">
        <f t="shared" ca="1" si="1"/>
        <v>301.125</v>
      </c>
      <c r="Q27" s="56">
        <f t="shared" ca="1" si="1"/>
        <v>602.25000000000011</v>
      </c>
      <c r="R27" s="56">
        <f t="shared" ca="1" si="1"/>
        <v>602.25000000000011</v>
      </c>
      <c r="S27" s="56">
        <f t="shared" ca="1" si="1"/>
        <v>602.25000000000011</v>
      </c>
      <c r="T27" s="56">
        <f t="shared" ca="1" si="1"/>
        <v>602.25</v>
      </c>
      <c r="U27" s="56">
        <f t="shared" ca="1" si="1"/>
        <v>602.25</v>
      </c>
      <c r="V27" s="56">
        <f t="shared" ca="1" si="1"/>
        <v>602.25</v>
      </c>
      <c r="W27" s="56">
        <f t="shared" ca="1" si="1"/>
        <v>602.25000000000011</v>
      </c>
      <c r="X27" s="56">
        <f t="shared" ca="1" si="1"/>
        <v>602.25</v>
      </c>
      <c r="Y27" s="56">
        <f t="shared" ca="1" si="1"/>
        <v>602.25</v>
      </c>
      <c r="Z27" s="56">
        <f t="shared" ca="1" si="1"/>
        <v>602.25</v>
      </c>
      <c r="AA27" s="56">
        <f t="shared" ca="1" si="1"/>
        <v>487.8225000000001</v>
      </c>
      <c r="AB27" s="56">
        <f t="shared" ca="1" si="1"/>
        <v>395.13622500000014</v>
      </c>
      <c r="AC27" s="56">
        <f t="shared" ca="1" si="1"/>
        <v>320.06034225000013</v>
      </c>
      <c r="AD27" s="56">
        <f t="shared" ca="1" si="1"/>
        <v>259.24887722250014</v>
      </c>
      <c r="AE27" s="56">
        <f t="shared" ca="1" si="1"/>
        <v>209.99159055022511</v>
      </c>
      <c r="AF27" s="56">
        <f t="shared" ca="1" si="1"/>
        <v>170.09318834568236</v>
      </c>
      <c r="AG27" s="56">
        <f t="shared" ca="1" si="1"/>
        <v>137.77548256000273</v>
      </c>
      <c r="AH27" s="56">
        <f t="shared" ca="1" si="1"/>
        <v>111.5981408736022</v>
      </c>
      <c r="AI27" s="56">
        <f t="shared" ca="1" si="1"/>
        <v>90.394494107617803</v>
      </c>
      <c r="AJ27" s="56">
        <f t="shared" ca="1" si="1"/>
        <v>73.219540227170413</v>
      </c>
      <c r="AK27" s="56">
        <f t="shared" ca="1" si="1"/>
        <v>59.307827584008052</v>
      </c>
      <c r="AL27" s="56">
        <f t="shared" ca="1" si="1"/>
        <v>48.039340343046504</v>
      </c>
      <c r="AM27" s="56">
        <f t="shared" ca="1" si="1"/>
        <v>38.911865677867674</v>
      </c>
      <c r="AN27" s="56">
        <f t="shared" ca="1" si="1"/>
        <v>31.518611199072819</v>
      </c>
      <c r="AO27" s="56">
        <f t="shared" ca="1" si="1"/>
        <v>25.530075071248987</v>
      </c>
      <c r="AP27" s="56">
        <f t="shared" ca="1" si="1"/>
        <v>0</v>
      </c>
      <c r="AQ27" s="56">
        <f t="shared" ca="1" si="1"/>
        <v>0</v>
      </c>
      <c r="AR27" s="56">
        <f t="shared" ca="1" si="1"/>
        <v>0</v>
      </c>
      <c r="AS27" s="56">
        <f t="shared" ca="1" si="1"/>
        <v>0</v>
      </c>
      <c r="AT27" s="56">
        <f t="shared" ca="1" si="1"/>
        <v>0</v>
      </c>
      <c r="AU27" s="56">
        <f t="shared" ca="1" si="1"/>
        <v>0</v>
      </c>
      <c r="AV27" s="56">
        <f t="shared" ca="1" si="1"/>
        <v>0</v>
      </c>
      <c r="AW27" s="56">
        <f t="shared" ca="1" si="1"/>
        <v>0</v>
      </c>
      <c r="AX27" s="56">
        <f t="shared" ca="1" si="1"/>
        <v>0</v>
      </c>
    </row>
    <row r="28" spans="1:50" ht="15" customHeight="1" x14ac:dyDescent="0.25">
      <c r="A28" s="56"/>
      <c r="B28" s="56"/>
      <c r="C28" s="105"/>
      <c r="D28" s="105"/>
      <c r="E28" s="56" t="str">
        <f t="shared" ref="E28:AX28" si="2" xml:space="preserve"> E14</f>
        <v>Carbon tax</v>
      </c>
      <c r="F28" s="56">
        <f t="shared" si="2"/>
        <v>0</v>
      </c>
      <c r="G28" s="56" t="str">
        <f t="shared" si="2"/>
        <v>US$ mn 2021</v>
      </c>
      <c r="H28" s="56">
        <f t="shared" si="2"/>
        <v>0</v>
      </c>
      <c r="I28" s="56">
        <f t="shared" ca="1" si="2"/>
        <v>788.47391027310312</v>
      </c>
      <c r="J28" s="56">
        <f t="shared" si="2"/>
        <v>0</v>
      </c>
      <c r="K28" s="56">
        <f t="shared" ca="1" si="2"/>
        <v>0</v>
      </c>
      <c r="L28" s="56">
        <f t="shared" ca="1" si="2"/>
        <v>0</v>
      </c>
      <c r="M28" s="56">
        <f t="shared" ca="1" si="2"/>
        <v>0</v>
      </c>
      <c r="N28" s="56">
        <f t="shared" ca="1" si="2"/>
        <v>0</v>
      </c>
      <c r="O28" s="56">
        <f t="shared" ca="1" si="2"/>
        <v>4.0586633464553898</v>
      </c>
      <c r="P28" s="56">
        <f t="shared" ca="1" si="2"/>
        <v>31.258771912320125</v>
      </c>
      <c r="Q28" s="56">
        <f t="shared" ca="1" si="2"/>
        <v>61.291709632000241</v>
      </c>
      <c r="R28" s="56">
        <f t="shared" ca="1" si="2"/>
        <v>60.089911403921803</v>
      </c>
      <c r="S28" s="56">
        <f t="shared" ca="1" si="2"/>
        <v>58.911677846982158</v>
      </c>
      <c r="T28" s="56">
        <f t="shared" ca="1" si="2"/>
        <v>57.756546908806037</v>
      </c>
      <c r="U28" s="56">
        <f t="shared" ca="1" si="2"/>
        <v>56.624065596868661</v>
      </c>
      <c r="V28" s="56">
        <f t="shared" ca="1" si="2"/>
        <v>55.513789800851626</v>
      </c>
      <c r="W28" s="56">
        <f t="shared" ca="1" si="2"/>
        <v>54.42528411848199</v>
      </c>
      <c r="X28" s="56">
        <f t="shared" ca="1" si="2"/>
        <v>53.358121684786269</v>
      </c>
      <c r="Y28" s="56">
        <f t="shared" ca="1" si="2"/>
        <v>52.311884004692416</v>
      </c>
      <c r="Z28" s="56">
        <f t="shared" ca="1" si="2"/>
        <v>51.286160788914131</v>
      </c>
      <c r="AA28" s="56">
        <f t="shared" ca="1" si="2"/>
        <v>40.727245332372995</v>
      </c>
      <c r="AB28" s="56">
        <f t="shared" ca="1" si="2"/>
        <v>32.342224234531486</v>
      </c>
      <c r="AC28" s="56">
        <f t="shared" ca="1" si="2"/>
        <v>25.683531009775006</v>
      </c>
      <c r="AD28" s="56">
        <f t="shared" ca="1" si="2"/>
        <v>20.395745213644869</v>
      </c>
      <c r="AE28" s="56">
        <f t="shared" ca="1" si="2"/>
        <v>16.196621199070925</v>
      </c>
      <c r="AF28" s="56">
        <f t="shared" ca="1" si="2"/>
        <v>12.862022716909262</v>
      </c>
      <c r="AG28" s="56">
        <f t="shared" ca="1" si="2"/>
        <v>10.213959216369121</v>
      </c>
      <c r="AH28" s="56">
        <f t="shared" ca="1" si="2"/>
        <v>8.1110852600578323</v>
      </c>
      <c r="AI28" s="56">
        <f t="shared" ca="1" si="2"/>
        <v>6.4411559418106314</v>
      </c>
      <c r="AJ28" s="56">
        <f t="shared" ca="1" si="2"/>
        <v>5.1150356008496187</v>
      </c>
      <c r="AK28" s="56">
        <f t="shared" ca="1" si="2"/>
        <v>4.0619400359688154</v>
      </c>
      <c r="AL28" s="56">
        <f t="shared" ca="1" si="2"/>
        <v>3.2256582638575884</v>
      </c>
      <c r="AM28" s="56">
        <f t="shared" ca="1" si="2"/>
        <v>2.5615521507104373</v>
      </c>
      <c r="AN28" s="56">
        <f t="shared" ca="1" si="2"/>
        <v>2.0341737667406417</v>
      </c>
      <c r="AO28" s="56">
        <f t="shared" ca="1" si="2"/>
        <v>1.6153732853528631</v>
      </c>
      <c r="AP28" s="56">
        <f t="shared" ca="1" si="2"/>
        <v>0</v>
      </c>
      <c r="AQ28" s="56">
        <f t="shared" ca="1" si="2"/>
        <v>0</v>
      </c>
      <c r="AR28" s="56">
        <f t="shared" ca="1" si="2"/>
        <v>0</v>
      </c>
      <c r="AS28" s="56">
        <f t="shared" ca="1" si="2"/>
        <v>0</v>
      </c>
      <c r="AT28" s="56">
        <f t="shared" ca="1" si="2"/>
        <v>0</v>
      </c>
      <c r="AU28" s="56">
        <f t="shared" ca="1" si="2"/>
        <v>0</v>
      </c>
      <c r="AV28" s="56">
        <f t="shared" ca="1" si="2"/>
        <v>0</v>
      </c>
      <c r="AW28" s="56">
        <f t="shared" ca="1" si="2"/>
        <v>0</v>
      </c>
      <c r="AX28" s="56">
        <f t="shared" ca="1" si="2"/>
        <v>0</v>
      </c>
    </row>
    <row r="29" spans="1:50" ht="15" customHeight="1" x14ac:dyDescent="0.25">
      <c r="A29" s="56"/>
      <c r="B29" s="56"/>
      <c r="C29" s="105"/>
      <c r="D29" s="105"/>
      <c r="E29" s="56" t="str">
        <f t="shared" ref="E29:AX29" si="3" xml:space="preserve"> E15</f>
        <v>PSC: Government profit oil</v>
      </c>
      <c r="F29" s="56">
        <f t="shared" si="3"/>
        <v>0</v>
      </c>
      <c r="G29" s="56" t="str">
        <f t="shared" si="3"/>
        <v>US$ mn 2021</v>
      </c>
      <c r="H29" s="56">
        <f t="shared" si="3"/>
        <v>0</v>
      </c>
      <c r="I29" s="56">
        <f t="shared" ca="1" si="3"/>
        <v>0</v>
      </c>
      <c r="J29" s="56">
        <f t="shared" si="3"/>
        <v>0</v>
      </c>
      <c r="K29" s="56">
        <f t="shared" ca="1" si="3"/>
        <v>0</v>
      </c>
      <c r="L29" s="56">
        <f t="shared" ca="1" si="3"/>
        <v>0</v>
      </c>
      <c r="M29" s="56">
        <f t="shared" ca="1" si="3"/>
        <v>0</v>
      </c>
      <c r="N29" s="56">
        <f t="shared" ca="1" si="3"/>
        <v>0</v>
      </c>
      <c r="O29" s="56">
        <f t="shared" ca="1" si="3"/>
        <v>0</v>
      </c>
      <c r="P29" s="56">
        <f t="shared" ca="1" si="3"/>
        <v>0</v>
      </c>
      <c r="Q29" s="56">
        <f t="shared" ca="1" si="3"/>
        <v>0</v>
      </c>
      <c r="R29" s="56">
        <f t="shared" ca="1" si="3"/>
        <v>0</v>
      </c>
      <c r="S29" s="56">
        <f t="shared" ca="1" si="3"/>
        <v>0</v>
      </c>
      <c r="T29" s="56">
        <f t="shared" ca="1" si="3"/>
        <v>0</v>
      </c>
      <c r="U29" s="56">
        <f t="shared" ca="1" si="3"/>
        <v>0</v>
      </c>
      <c r="V29" s="56">
        <f t="shared" ca="1" si="3"/>
        <v>0</v>
      </c>
      <c r="W29" s="56">
        <f t="shared" ca="1" si="3"/>
        <v>0</v>
      </c>
      <c r="X29" s="56">
        <f t="shared" ca="1" si="3"/>
        <v>0</v>
      </c>
      <c r="Y29" s="56">
        <f t="shared" ca="1" si="3"/>
        <v>0</v>
      </c>
      <c r="Z29" s="56">
        <f t="shared" ca="1" si="3"/>
        <v>0</v>
      </c>
      <c r="AA29" s="56">
        <f t="shared" ca="1" si="3"/>
        <v>0</v>
      </c>
      <c r="AB29" s="56">
        <f t="shared" ca="1" si="3"/>
        <v>0</v>
      </c>
      <c r="AC29" s="56">
        <f t="shared" ca="1" si="3"/>
        <v>0</v>
      </c>
      <c r="AD29" s="56">
        <f t="shared" ca="1" si="3"/>
        <v>0</v>
      </c>
      <c r="AE29" s="56">
        <f t="shared" ca="1" si="3"/>
        <v>0</v>
      </c>
      <c r="AF29" s="56">
        <f t="shared" ca="1" si="3"/>
        <v>0</v>
      </c>
      <c r="AG29" s="56">
        <f t="shared" ca="1" si="3"/>
        <v>0</v>
      </c>
      <c r="AH29" s="56">
        <f t="shared" ca="1" si="3"/>
        <v>0</v>
      </c>
      <c r="AI29" s="56">
        <f t="shared" ca="1" si="3"/>
        <v>0</v>
      </c>
      <c r="AJ29" s="56">
        <f t="shared" ca="1" si="3"/>
        <v>0</v>
      </c>
      <c r="AK29" s="56">
        <f t="shared" ca="1" si="3"/>
        <v>0</v>
      </c>
      <c r="AL29" s="56">
        <f t="shared" ca="1" si="3"/>
        <v>0</v>
      </c>
      <c r="AM29" s="56">
        <f t="shared" ca="1" si="3"/>
        <v>0</v>
      </c>
      <c r="AN29" s="56">
        <f t="shared" ca="1" si="3"/>
        <v>0</v>
      </c>
      <c r="AO29" s="56">
        <f t="shared" ca="1" si="3"/>
        <v>0</v>
      </c>
      <c r="AP29" s="56">
        <f t="shared" ca="1" si="3"/>
        <v>0</v>
      </c>
      <c r="AQ29" s="56">
        <f t="shared" ca="1" si="3"/>
        <v>0</v>
      </c>
      <c r="AR29" s="56">
        <f t="shared" ca="1" si="3"/>
        <v>0</v>
      </c>
      <c r="AS29" s="56">
        <f t="shared" ca="1" si="3"/>
        <v>0</v>
      </c>
      <c r="AT29" s="56">
        <f t="shared" ca="1" si="3"/>
        <v>0</v>
      </c>
      <c r="AU29" s="56">
        <f t="shared" ca="1" si="3"/>
        <v>0</v>
      </c>
      <c r="AV29" s="56">
        <f t="shared" ca="1" si="3"/>
        <v>0</v>
      </c>
      <c r="AW29" s="56">
        <f t="shared" ca="1" si="3"/>
        <v>0</v>
      </c>
      <c r="AX29" s="56">
        <f t="shared" ca="1" si="3"/>
        <v>0</v>
      </c>
    </row>
    <row r="30" spans="1:50" ht="15" customHeight="1" x14ac:dyDescent="0.25">
      <c r="A30" s="56"/>
      <c r="B30" s="56"/>
      <c r="C30" s="105"/>
      <c r="D30" s="105"/>
      <c r="E30" s="56" t="str">
        <f t="shared" ref="E30:AX30" si="4" xml:space="preserve"> E16</f>
        <v>CIT paid: IOC</v>
      </c>
      <c r="F30" s="56">
        <f t="shared" si="4"/>
        <v>0</v>
      </c>
      <c r="G30" s="56" t="str">
        <f t="shared" si="4"/>
        <v>US$ mn 2021</v>
      </c>
      <c r="H30" s="56">
        <f t="shared" si="4"/>
        <v>0</v>
      </c>
      <c r="I30" s="56">
        <f t="shared" ca="1" si="4"/>
        <v>5284.9099061807456</v>
      </c>
      <c r="J30" s="56">
        <f t="shared" si="4"/>
        <v>0</v>
      </c>
      <c r="K30" s="56">
        <f t="shared" ca="1" si="4"/>
        <v>0</v>
      </c>
      <c r="L30" s="56">
        <f t="shared" ca="1" si="4"/>
        <v>0</v>
      </c>
      <c r="M30" s="56">
        <f t="shared" ca="1" si="4"/>
        <v>0</v>
      </c>
      <c r="N30" s="56">
        <f t="shared" ca="1" si="4"/>
        <v>0</v>
      </c>
      <c r="O30" s="56">
        <f t="shared" ca="1" si="4"/>
        <v>0</v>
      </c>
      <c r="P30" s="56">
        <f t="shared" ca="1" si="4"/>
        <v>0</v>
      </c>
      <c r="Q30" s="56">
        <f t="shared" ca="1" si="4"/>
        <v>0</v>
      </c>
      <c r="R30" s="56">
        <f t="shared" ca="1" si="4"/>
        <v>114.51538729264855</v>
      </c>
      <c r="S30" s="56">
        <f t="shared" ca="1" si="4"/>
        <v>195.80641321162815</v>
      </c>
      <c r="T30" s="56">
        <f t="shared" ca="1" si="4"/>
        <v>334.07535839910236</v>
      </c>
      <c r="U30" s="56">
        <f t="shared" ca="1" si="4"/>
        <v>436.43591744721061</v>
      </c>
      <c r="V30" s="56">
        <f t="shared" ca="1" si="4"/>
        <v>485.9783111308987</v>
      </c>
      <c r="W30" s="56">
        <f t="shared" ca="1" si="4"/>
        <v>487.41911950989362</v>
      </c>
      <c r="X30" s="56">
        <f t="shared" ca="1" si="4"/>
        <v>492.67398502319793</v>
      </c>
      <c r="Y30" s="56">
        <f t="shared" ca="1" si="4"/>
        <v>497.74084453740647</v>
      </c>
      <c r="Z30" s="56">
        <f t="shared" ca="1" si="4"/>
        <v>502.62505051172508</v>
      </c>
      <c r="AA30" s="56">
        <f t="shared" ca="1" si="4"/>
        <v>381.84794303618787</v>
      </c>
      <c r="AB30" s="56">
        <f t="shared" ca="1" si="4"/>
        <v>294.64205087474636</v>
      </c>
      <c r="AC30" s="56">
        <f t="shared" ca="1" si="4"/>
        <v>257.19691779881822</v>
      </c>
      <c r="AD30" s="56">
        <f t="shared" ca="1" si="4"/>
        <v>195.8700506195035</v>
      </c>
      <c r="AE30" s="56">
        <f t="shared" ca="1" si="4"/>
        <v>149.92999096531136</v>
      </c>
      <c r="AF30" s="56">
        <f t="shared" ca="1" si="4"/>
        <v>122.30172953659661</v>
      </c>
      <c r="AG30" s="56">
        <f t="shared" ca="1" si="4"/>
        <v>90.584636739724587</v>
      </c>
      <c r="AH30" s="56">
        <f t="shared" ca="1" si="4"/>
        <v>63.899210820426987</v>
      </c>
      <c r="AI30" s="56">
        <f t="shared" ca="1" si="4"/>
        <v>52.794648644967751</v>
      </c>
      <c r="AJ30" s="56">
        <f t="shared" ca="1" si="4"/>
        <v>45.894663007408411</v>
      </c>
      <c r="AK30" s="56">
        <f t="shared" ca="1" si="4"/>
        <v>32.221725567562302</v>
      </c>
      <c r="AL30" s="56">
        <f t="shared" ca="1" si="4"/>
        <v>21.444310089493293</v>
      </c>
      <c r="AM30" s="56">
        <f t="shared" ca="1" si="4"/>
        <v>16.694390280483116</v>
      </c>
      <c r="AN30" s="56">
        <f t="shared" ca="1" si="4"/>
        <v>8.6904281661861731</v>
      </c>
      <c r="AO30" s="56">
        <f t="shared" ca="1" si="4"/>
        <v>3.6268229696185572</v>
      </c>
      <c r="AP30" s="56">
        <f t="shared" ca="1" si="4"/>
        <v>0</v>
      </c>
      <c r="AQ30" s="56">
        <f t="shared" ca="1" si="4"/>
        <v>0</v>
      </c>
      <c r="AR30" s="56">
        <f t="shared" ca="1" si="4"/>
        <v>0</v>
      </c>
      <c r="AS30" s="56">
        <f t="shared" ca="1" si="4"/>
        <v>0</v>
      </c>
      <c r="AT30" s="56">
        <f t="shared" ca="1" si="4"/>
        <v>0</v>
      </c>
      <c r="AU30" s="56">
        <f t="shared" ca="1" si="4"/>
        <v>0</v>
      </c>
      <c r="AV30" s="56">
        <f t="shared" ca="1" si="4"/>
        <v>0</v>
      </c>
      <c r="AW30" s="56">
        <f t="shared" ca="1" si="4"/>
        <v>0</v>
      </c>
      <c r="AX30" s="56">
        <f t="shared" ca="1" si="4"/>
        <v>0</v>
      </c>
    </row>
    <row r="31" spans="1:50" ht="15" customHeight="1" x14ac:dyDescent="0.25">
      <c r="A31" s="56"/>
      <c r="B31" s="56"/>
      <c r="C31" s="105"/>
      <c r="D31" s="105"/>
      <c r="E31" s="56" t="str">
        <f t="shared" ref="E31:AX31" si="5" xml:space="preserve"> E17</f>
        <v>Resource rent tax: IOC</v>
      </c>
      <c r="F31" s="56">
        <f t="shared" si="5"/>
        <v>0</v>
      </c>
      <c r="G31" s="56" t="str">
        <f t="shared" si="5"/>
        <v>US$ mn 2021</v>
      </c>
      <c r="H31" s="56">
        <f t="shared" si="5"/>
        <v>0</v>
      </c>
      <c r="I31" s="56">
        <f t="shared" ca="1" si="5"/>
        <v>0</v>
      </c>
      <c r="J31" s="56">
        <f t="shared" si="5"/>
        <v>0</v>
      </c>
      <c r="K31" s="56">
        <f t="shared" ca="1" si="5"/>
        <v>0</v>
      </c>
      <c r="L31" s="56">
        <f t="shared" ca="1" si="5"/>
        <v>0</v>
      </c>
      <c r="M31" s="56">
        <f t="shared" ca="1" si="5"/>
        <v>0</v>
      </c>
      <c r="N31" s="56">
        <f t="shared" ca="1" si="5"/>
        <v>0</v>
      </c>
      <c r="O31" s="56">
        <f t="shared" ca="1" si="5"/>
        <v>0</v>
      </c>
      <c r="P31" s="56">
        <f t="shared" ca="1" si="5"/>
        <v>0</v>
      </c>
      <c r="Q31" s="56">
        <f t="shared" ca="1" si="5"/>
        <v>0</v>
      </c>
      <c r="R31" s="56">
        <f t="shared" ca="1" si="5"/>
        <v>0</v>
      </c>
      <c r="S31" s="56">
        <f t="shared" ca="1" si="5"/>
        <v>0</v>
      </c>
      <c r="T31" s="56">
        <f t="shared" ca="1" si="5"/>
        <v>0</v>
      </c>
      <c r="U31" s="56">
        <f t="shared" ca="1" si="5"/>
        <v>0</v>
      </c>
      <c r="V31" s="56">
        <f t="shared" ca="1" si="5"/>
        <v>0</v>
      </c>
      <c r="W31" s="56">
        <f t="shared" ca="1" si="5"/>
        <v>0</v>
      </c>
      <c r="X31" s="56">
        <f t="shared" ca="1" si="5"/>
        <v>0</v>
      </c>
      <c r="Y31" s="56">
        <f t="shared" ca="1" si="5"/>
        <v>0</v>
      </c>
      <c r="Z31" s="56">
        <f t="shared" ca="1" si="5"/>
        <v>0</v>
      </c>
      <c r="AA31" s="56">
        <f t="shared" ca="1" si="5"/>
        <v>0</v>
      </c>
      <c r="AB31" s="56">
        <f t="shared" ca="1" si="5"/>
        <v>0</v>
      </c>
      <c r="AC31" s="56">
        <f t="shared" ca="1" si="5"/>
        <v>0</v>
      </c>
      <c r="AD31" s="56">
        <f t="shared" ca="1" si="5"/>
        <v>0</v>
      </c>
      <c r="AE31" s="56">
        <f t="shared" ca="1" si="5"/>
        <v>0</v>
      </c>
      <c r="AF31" s="56">
        <f t="shared" ca="1" si="5"/>
        <v>0</v>
      </c>
      <c r="AG31" s="56">
        <f t="shared" ca="1" si="5"/>
        <v>0</v>
      </c>
      <c r="AH31" s="56">
        <f t="shared" ca="1" si="5"/>
        <v>0</v>
      </c>
      <c r="AI31" s="56">
        <f t="shared" ca="1" si="5"/>
        <v>0</v>
      </c>
      <c r="AJ31" s="56">
        <f t="shared" ca="1" si="5"/>
        <v>0</v>
      </c>
      <c r="AK31" s="56">
        <f t="shared" ca="1" si="5"/>
        <v>0</v>
      </c>
      <c r="AL31" s="56">
        <f t="shared" ca="1" si="5"/>
        <v>0</v>
      </c>
      <c r="AM31" s="56">
        <f t="shared" ca="1" si="5"/>
        <v>0</v>
      </c>
      <c r="AN31" s="56">
        <f t="shared" ca="1" si="5"/>
        <v>0</v>
      </c>
      <c r="AO31" s="56">
        <f t="shared" ca="1" si="5"/>
        <v>0</v>
      </c>
      <c r="AP31" s="56">
        <f t="shared" ca="1" si="5"/>
        <v>0</v>
      </c>
      <c r="AQ31" s="56">
        <f t="shared" ca="1" si="5"/>
        <v>0</v>
      </c>
      <c r="AR31" s="56">
        <f t="shared" ca="1" si="5"/>
        <v>0</v>
      </c>
      <c r="AS31" s="56">
        <f t="shared" ca="1" si="5"/>
        <v>0</v>
      </c>
      <c r="AT31" s="56">
        <f t="shared" ca="1" si="5"/>
        <v>0</v>
      </c>
      <c r="AU31" s="56">
        <f t="shared" ca="1" si="5"/>
        <v>0</v>
      </c>
      <c r="AV31" s="56">
        <f t="shared" ca="1" si="5"/>
        <v>0</v>
      </c>
      <c r="AW31" s="56">
        <f t="shared" ca="1" si="5"/>
        <v>0</v>
      </c>
      <c r="AX31" s="56">
        <f t="shared" ca="1" si="5"/>
        <v>0</v>
      </c>
    </row>
    <row r="32" spans="1:50" ht="15" customHeight="1" x14ac:dyDescent="0.25">
      <c r="A32" s="56"/>
      <c r="B32" s="56"/>
      <c r="C32" s="105"/>
      <c r="D32" s="105"/>
      <c r="E32" s="56" t="str">
        <f t="shared" ref="E32:AX32" si="6" xml:space="preserve"> E18</f>
        <v>Dividend withholding tax</v>
      </c>
      <c r="F32" s="56">
        <f t="shared" si="6"/>
        <v>0</v>
      </c>
      <c r="G32" s="56" t="str">
        <f t="shared" si="6"/>
        <v>US$ mn 2021</v>
      </c>
      <c r="H32" s="56">
        <f t="shared" si="6"/>
        <v>0</v>
      </c>
      <c r="I32" s="56">
        <f t="shared" ca="1" si="6"/>
        <v>1013.9780597960219</v>
      </c>
      <c r="J32" s="56">
        <f t="shared" si="6"/>
        <v>0</v>
      </c>
      <c r="K32" s="56">
        <f t="shared" ca="1" si="6"/>
        <v>0</v>
      </c>
      <c r="L32" s="56">
        <f t="shared" ca="1" si="6"/>
        <v>0</v>
      </c>
      <c r="M32" s="56">
        <f t="shared" ca="1" si="6"/>
        <v>0</v>
      </c>
      <c r="N32" s="56">
        <f t="shared" ca="1" si="6"/>
        <v>0</v>
      </c>
      <c r="O32" s="56">
        <f t="shared" ca="1" si="6"/>
        <v>0</v>
      </c>
      <c r="P32" s="56">
        <f t="shared" ca="1" si="6"/>
        <v>36.32412280876801</v>
      </c>
      <c r="Q32" s="56">
        <f t="shared" ca="1" si="6"/>
        <v>45.350771818096845</v>
      </c>
      <c r="R32" s="56">
        <f t="shared" ca="1" si="6"/>
        <v>79.556346738411946</v>
      </c>
      <c r="S32" s="56">
        <f t="shared" ca="1" si="6"/>
        <v>89.674864815300822</v>
      </c>
      <c r="T32" s="56">
        <f t="shared" ca="1" si="6"/>
        <v>78.024716227284031</v>
      </c>
      <c r="U32" s="56">
        <f t="shared" ca="1" si="6"/>
        <v>69.896446779512601</v>
      </c>
      <c r="V32" s="56">
        <f t="shared" ca="1" si="6"/>
        <v>66.982901799484608</v>
      </c>
      <c r="W32" s="56">
        <f t="shared" ca="1" si="6"/>
        <v>64.793340493642333</v>
      </c>
      <c r="X32" s="56">
        <f t="shared" ca="1" si="6"/>
        <v>66.258621891407984</v>
      </c>
      <c r="Y32" s="56">
        <f t="shared" ca="1" si="6"/>
        <v>67.679392246156468</v>
      </c>
      <c r="Z32" s="56">
        <f t="shared" ca="1" si="6"/>
        <v>69.056833735892425</v>
      </c>
      <c r="AA32" s="56">
        <f t="shared" ca="1" si="6"/>
        <v>70.145532787132055</v>
      </c>
      <c r="AB32" s="56">
        <f t="shared" ca="1" si="6"/>
        <v>69.950152814292935</v>
      </c>
      <c r="AC32" s="56">
        <f t="shared" ca="1" si="6"/>
        <v>59.074488044169605</v>
      </c>
      <c r="AD32" s="56">
        <f t="shared" ca="1" si="6"/>
        <v>31.04053758591634</v>
      </c>
      <c r="AE32" s="56">
        <f t="shared" ca="1" si="6"/>
        <v>21.876777785338973</v>
      </c>
      <c r="AF32" s="56">
        <f t="shared" ca="1" si="6"/>
        <v>28.292211425214134</v>
      </c>
      <c r="AG32" s="56">
        <f t="shared" ca="1" si="6"/>
        <v>0</v>
      </c>
      <c r="AH32" s="56">
        <f t="shared" ca="1" si="6"/>
        <v>0</v>
      </c>
      <c r="AI32" s="56">
        <f t="shared" ca="1" si="6"/>
        <v>0</v>
      </c>
      <c r="AJ32" s="56">
        <f t="shared" ca="1" si="6"/>
        <v>0</v>
      </c>
      <c r="AK32" s="56">
        <f t="shared" ca="1" si="6"/>
        <v>0</v>
      </c>
      <c r="AL32" s="56">
        <f t="shared" ca="1" si="6"/>
        <v>0</v>
      </c>
      <c r="AM32" s="56">
        <f t="shared" ca="1" si="6"/>
        <v>0</v>
      </c>
      <c r="AN32" s="56">
        <f t="shared" ca="1" si="6"/>
        <v>0</v>
      </c>
      <c r="AO32" s="56">
        <f t="shared" ca="1" si="6"/>
        <v>0</v>
      </c>
      <c r="AP32" s="56">
        <f t="shared" ca="1" si="6"/>
        <v>0</v>
      </c>
      <c r="AQ32" s="56">
        <f t="shared" ca="1" si="6"/>
        <v>0</v>
      </c>
      <c r="AR32" s="56">
        <f t="shared" ca="1" si="6"/>
        <v>0</v>
      </c>
      <c r="AS32" s="56">
        <f t="shared" ca="1" si="6"/>
        <v>0</v>
      </c>
      <c r="AT32" s="56">
        <f t="shared" ca="1" si="6"/>
        <v>0</v>
      </c>
      <c r="AU32" s="56">
        <f t="shared" ca="1" si="6"/>
        <v>0</v>
      </c>
      <c r="AV32" s="56">
        <f t="shared" ca="1" si="6"/>
        <v>0</v>
      </c>
      <c r="AW32" s="56">
        <f t="shared" ca="1" si="6"/>
        <v>0</v>
      </c>
      <c r="AX32" s="56">
        <f t="shared" ca="1" si="6"/>
        <v>0</v>
      </c>
    </row>
    <row r="33" spans="1:50" ht="15" customHeight="1" x14ac:dyDescent="0.25">
      <c r="A33" s="56"/>
      <c r="B33" s="56"/>
      <c r="C33" s="105"/>
      <c r="D33" s="105"/>
      <c r="E33" s="56" t="str">
        <f t="shared" ref="E33:AX33" si="7" xml:space="preserve"> E19</f>
        <v>Interest withholding tax</v>
      </c>
      <c r="F33" s="56">
        <f t="shared" si="7"/>
        <v>0</v>
      </c>
      <c r="G33" s="56" t="str">
        <f t="shared" si="7"/>
        <v>US$ mn 2021</v>
      </c>
      <c r="H33" s="56">
        <f t="shared" si="7"/>
        <v>0</v>
      </c>
      <c r="I33" s="56">
        <f t="shared" ca="1" si="7"/>
        <v>92.245313806865923</v>
      </c>
      <c r="J33" s="56">
        <f t="shared" si="7"/>
        <v>0</v>
      </c>
      <c r="K33" s="56">
        <f t="shared" ca="1" si="7"/>
        <v>0</v>
      </c>
      <c r="L33" s="56">
        <f t="shared" ca="1" si="7"/>
        <v>0</v>
      </c>
      <c r="M33" s="56">
        <f t="shared" ca="1" si="7"/>
        <v>0</v>
      </c>
      <c r="N33" s="56">
        <f t="shared" ca="1" si="7"/>
        <v>0</v>
      </c>
      <c r="O33" s="56">
        <f t="shared" ca="1" si="7"/>
        <v>0</v>
      </c>
      <c r="P33" s="56">
        <f t="shared" ca="1" si="7"/>
        <v>0</v>
      </c>
      <c r="Q33" s="56">
        <f t="shared" ca="1" si="7"/>
        <v>17.777717591829806</v>
      </c>
      <c r="R33" s="56">
        <f t="shared" ca="1" si="7"/>
        <v>15.68622140455571</v>
      </c>
      <c r="S33" s="56">
        <f t="shared" ca="1" si="7"/>
        <v>13.669909720745714</v>
      </c>
      <c r="T33" s="56">
        <f t="shared" ca="1" si="7"/>
        <v>11.726638240835785</v>
      </c>
      <c r="U33" s="56">
        <f t="shared" ca="1" si="7"/>
        <v>9.8543178494418342</v>
      </c>
      <c r="V33" s="56">
        <f t="shared" ca="1" si="7"/>
        <v>8.0509132756877744</v>
      </c>
      <c r="W33" s="56">
        <f t="shared" ca="1" si="7"/>
        <v>6.3144417848531562</v>
      </c>
      <c r="X33" s="56">
        <f t="shared" ca="1" si="7"/>
        <v>4.6429719006273205</v>
      </c>
      <c r="Y33" s="56">
        <f t="shared" ca="1" si="7"/>
        <v>3.0346221572727585</v>
      </c>
      <c r="Z33" s="56">
        <f t="shared" ca="1" si="7"/>
        <v>1.4875598810160582</v>
      </c>
      <c r="AA33" s="56">
        <f t="shared" ca="1" si="7"/>
        <v>0</v>
      </c>
      <c r="AB33" s="56">
        <f t="shared" ca="1" si="7"/>
        <v>0</v>
      </c>
      <c r="AC33" s="56">
        <f t="shared" ca="1" si="7"/>
        <v>0</v>
      </c>
      <c r="AD33" s="56">
        <f t="shared" ca="1" si="7"/>
        <v>0</v>
      </c>
      <c r="AE33" s="56">
        <f t="shared" ca="1" si="7"/>
        <v>0</v>
      </c>
      <c r="AF33" s="56">
        <f t="shared" ca="1" si="7"/>
        <v>0</v>
      </c>
      <c r="AG33" s="56">
        <f t="shared" ca="1" si="7"/>
        <v>0</v>
      </c>
      <c r="AH33" s="56">
        <f t="shared" ca="1" si="7"/>
        <v>0</v>
      </c>
      <c r="AI33" s="56">
        <f t="shared" ca="1" si="7"/>
        <v>0</v>
      </c>
      <c r="AJ33" s="56">
        <f t="shared" ca="1" si="7"/>
        <v>0</v>
      </c>
      <c r="AK33" s="56">
        <f t="shared" ca="1" si="7"/>
        <v>0</v>
      </c>
      <c r="AL33" s="56">
        <f t="shared" ca="1" si="7"/>
        <v>0</v>
      </c>
      <c r="AM33" s="56">
        <f t="shared" ca="1" si="7"/>
        <v>0</v>
      </c>
      <c r="AN33" s="56">
        <f t="shared" ca="1" si="7"/>
        <v>0</v>
      </c>
      <c r="AO33" s="56">
        <f t="shared" ca="1" si="7"/>
        <v>0</v>
      </c>
      <c r="AP33" s="56">
        <f t="shared" ca="1" si="7"/>
        <v>0</v>
      </c>
      <c r="AQ33" s="56">
        <f t="shared" ca="1" si="7"/>
        <v>0</v>
      </c>
      <c r="AR33" s="56">
        <f t="shared" ca="1" si="7"/>
        <v>0</v>
      </c>
      <c r="AS33" s="56">
        <f t="shared" ca="1" si="7"/>
        <v>0</v>
      </c>
      <c r="AT33" s="56">
        <f t="shared" ca="1" si="7"/>
        <v>0</v>
      </c>
      <c r="AU33" s="56">
        <f t="shared" ca="1" si="7"/>
        <v>0</v>
      </c>
      <c r="AV33" s="56">
        <f t="shared" ca="1" si="7"/>
        <v>0</v>
      </c>
      <c r="AW33" s="56">
        <f t="shared" ca="1" si="7"/>
        <v>0</v>
      </c>
      <c r="AX33" s="56">
        <f t="shared" ca="1" si="7"/>
        <v>0</v>
      </c>
    </row>
    <row r="34" spans="1:50" ht="15" customHeight="1" x14ac:dyDescent="0.25">
      <c r="A34" s="56"/>
      <c r="B34" s="56"/>
      <c r="C34" s="105"/>
      <c r="D34" s="105"/>
      <c r="E34" s="56" t="str">
        <f t="shared" ref="E34:AX34" si="8" xml:space="preserve"> E20</f>
        <v>VAT cashflow: government</v>
      </c>
      <c r="F34" s="56">
        <f t="shared" si="8"/>
        <v>0</v>
      </c>
      <c r="G34" s="56" t="str">
        <f t="shared" si="8"/>
        <v>US$ mn 2021</v>
      </c>
      <c r="H34" s="56">
        <f t="shared" si="8"/>
        <v>0</v>
      </c>
      <c r="I34" s="56">
        <f t="shared" ca="1" si="8"/>
        <v>0</v>
      </c>
      <c r="J34" s="56">
        <f t="shared" si="8"/>
        <v>0</v>
      </c>
      <c r="K34" s="56">
        <f t="shared" ca="1" si="8"/>
        <v>0</v>
      </c>
      <c r="L34" s="56">
        <f t="shared" ca="1" si="8"/>
        <v>0</v>
      </c>
      <c r="M34" s="56">
        <f t="shared" ca="1" si="8"/>
        <v>0</v>
      </c>
      <c r="N34" s="56">
        <f t="shared" ca="1" si="8"/>
        <v>0</v>
      </c>
      <c r="O34" s="56">
        <f t="shared" ca="1" si="8"/>
        <v>0</v>
      </c>
      <c r="P34" s="56">
        <f t="shared" ca="1" si="8"/>
        <v>0</v>
      </c>
      <c r="Q34" s="56">
        <f t="shared" ca="1" si="8"/>
        <v>0</v>
      </c>
      <c r="R34" s="56">
        <f t="shared" ca="1" si="8"/>
        <v>0</v>
      </c>
      <c r="S34" s="56">
        <f t="shared" ca="1" si="8"/>
        <v>0</v>
      </c>
      <c r="T34" s="56">
        <f t="shared" ca="1" si="8"/>
        <v>0</v>
      </c>
      <c r="U34" s="56">
        <f t="shared" ca="1" si="8"/>
        <v>0</v>
      </c>
      <c r="V34" s="56">
        <f t="shared" ca="1" si="8"/>
        <v>0</v>
      </c>
      <c r="W34" s="56">
        <f t="shared" ca="1" si="8"/>
        <v>0</v>
      </c>
      <c r="X34" s="56">
        <f t="shared" ca="1" si="8"/>
        <v>0</v>
      </c>
      <c r="Y34" s="56">
        <f t="shared" ca="1" si="8"/>
        <v>0</v>
      </c>
      <c r="Z34" s="56">
        <f t="shared" ca="1" si="8"/>
        <v>0</v>
      </c>
      <c r="AA34" s="56">
        <f t="shared" ca="1" si="8"/>
        <v>0</v>
      </c>
      <c r="AB34" s="56">
        <f t="shared" ca="1" si="8"/>
        <v>0</v>
      </c>
      <c r="AC34" s="56">
        <f t="shared" ca="1" si="8"/>
        <v>0</v>
      </c>
      <c r="AD34" s="56">
        <f t="shared" ca="1" si="8"/>
        <v>0</v>
      </c>
      <c r="AE34" s="56">
        <f t="shared" ca="1" si="8"/>
        <v>0</v>
      </c>
      <c r="AF34" s="56">
        <f t="shared" ca="1" si="8"/>
        <v>0</v>
      </c>
      <c r="AG34" s="56">
        <f t="shared" ca="1" si="8"/>
        <v>0</v>
      </c>
      <c r="AH34" s="56">
        <f t="shared" ca="1" si="8"/>
        <v>0</v>
      </c>
      <c r="AI34" s="56">
        <f t="shared" ca="1" si="8"/>
        <v>0</v>
      </c>
      <c r="AJ34" s="56">
        <f t="shared" ca="1" si="8"/>
        <v>0</v>
      </c>
      <c r="AK34" s="56">
        <f t="shared" ca="1" si="8"/>
        <v>0</v>
      </c>
      <c r="AL34" s="56">
        <f t="shared" ca="1" si="8"/>
        <v>0</v>
      </c>
      <c r="AM34" s="56">
        <f t="shared" ca="1" si="8"/>
        <v>0</v>
      </c>
      <c r="AN34" s="56">
        <f t="shared" ca="1" si="8"/>
        <v>0</v>
      </c>
      <c r="AO34" s="56">
        <f t="shared" ca="1" si="8"/>
        <v>0</v>
      </c>
      <c r="AP34" s="56">
        <f t="shared" ca="1" si="8"/>
        <v>0</v>
      </c>
      <c r="AQ34" s="56">
        <f t="shared" ca="1" si="8"/>
        <v>0</v>
      </c>
      <c r="AR34" s="56">
        <f t="shared" ca="1" si="8"/>
        <v>0</v>
      </c>
      <c r="AS34" s="56">
        <f t="shared" ca="1" si="8"/>
        <v>0</v>
      </c>
      <c r="AT34" s="56">
        <f t="shared" ca="1" si="8"/>
        <v>0</v>
      </c>
      <c r="AU34" s="56">
        <f t="shared" ca="1" si="8"/>
        <v>0</v>
      </c>
      <c r="AV34" s="56">
        <f t="shared" ca="1" si="8"/>
        <v>0</v>
      </c>
      <c r="AW34" s="56">
        <f t="shared" ca="1" si="8"/>
        <v>0</v>
      </c>
      <c r="AX34" s="56">
        <f t="shared" ca="1" si="8"/>
        <v>0</v>
      </c>
    </row>
    <row r="35" spans="1:50" ht="15" customHeight="1" x14ac:dyDescent="0.25">
      <c r="A35" s="56"/>
      <c r="B35" s="56"/>
      <c r="C35" s="105"/>
      <c r="D35" s="105"/>
      <c r="E35" s="56" t="str">
        <f t="shared" ref="E35:AX35" si="9" xml:space="preserve"> E22</f>
        <v>SOC net cash flow before tax, after carried interest, including share of lender cashflows</v>
      </c>
      <c r="F35" s="56">
        <f t="shared" si="9"/>
        <v>0</v>
      </c>
      <c r="G35" s="56" t="str">
        <f t="shared" si="9"/>
        <v>US$ mn 2021</v>
      </c>
      <c r="H35" s="56">
        <f t="shared" si="9"/>
        <v>0</v>
      </c>
      <c r="I35" s="56">
        <f t="shared" ca="1" si="9"/>
        <v>3982.9846625612686</v>
      </c>
      <c r="J35" s="56">
        <f t="shared" si="9"/>
        <v>0</v>
      </c>
      <c r="K35" s="56">
        <f t="shared" ca="1" si="9"/>
        <v>0</v>
      </c>
      <c r="L35" s="56">
        <f t="shared" ca="1" si="9"/>
        <v>-7</v>
      </c>
      <c r="M35" s="56">
        <f t="shared" ca="1" si="9"/>
        <v>-42</v>
      </c>
      <c r="N35" s="56">
        <f t="shared" ca="1" si="9"/>
        <v>-168</v>
      </c>
      <c r="O35" s="56">
        <f t="shared" ca="1" si="9"/>
        <v>-168</v>
      </c>
      <c r="P35" s="56">
        <f t="shared" ca="1" si="9"/>
        <v>-294</v>
      </c>
      <c r="Q35" s="56">
        <f t="shared" ca="1" si="9"/>
        <v>107.35265407110511</v>
      </c>
      <c r="R35" s="56">
        <f t="shared" ca="1" si="9"/>
        <v>324.64477343830453</v>
      </c>
      <c r="S35" s="56">
        <f t="shared" ca="1" si="9"/>
        <v>365.28368248645455</v>
      </c>
      <c r="T35" s="56">
        <f t="shared" ca="1" si="9"/>
        <v>365.90336297007161</v>
      </c>
      <c r="U35" s="56">
        <f t="shared" ca="1" si="9"/>
        <v>366.50432331073785</v>
      </c>
      <c r="V35" s="56">
        <f t="shared" ca="1" si="9"/>
        <v>367.08705938469217</v>
      </c>
      <c r="W35" s="56">
        <f t="shared" ca="1" si="9"/>
        <v>357.59979613511689</v>
      </c>
      <c r="X35" s="56">
        <f t="shared" ca="1" si="9"/>
        <v>358.34462571015644</v>
      </c>
      <c r="Y35" s="56">
        <f t="shared" ca="1" si="9"/>
        <v>359.06878153941</v>
      </c>
      <c r="Z35" s="56">
        <f t="shared" ca="1" si="9"/>
        <v>359.7727879952327</v>
      </c>
      <c r="AA35" s="56">
        <f t="shared" ca="1" si="9"/>
        <v>270.82581772687712</v>
      </c>
      <c r="AB35" s="56">
        <f t="shared" ca="1" si="9"/>
        <v>248.53589475441893</v>
      </c>
      <c r="AC35" s="56">
        <f t="shared" ca="1" si="9"/>
        <v>211.98544956012856</v>
      </c>
      <c r="AD35" s="56">
        <f t="shared" ca="1" si="9"/>
        <v>126.56885661966672</v>
      </c>
      <c r="AE35" s="56">
        <f t="shared" ca="1" si="9"/>
        <v>92.174442204675259</v>
      </c>
      <c r="AF35" s="56">
        <f t="shared" ca="1" si="9"/>
        <v>102.89086574523206</v>
      </c>
      <c r="AG35" s="56">
        <f t="shared" ca="1" si="9"/>
        <v>79.931240883226394</v>
      </c>
      <c r="AH35" s="56">
        <f t="shared" ca="1" si="9"/>
        <v>60.57163552775063</v>
      </c>
      <c r="AI35" s="56">
        <f t="shared" ca="1" si="9"/>
        <v>45.101226726046271</v>
      </c>
      <c r="AJ35" s="56">
        <f t="shared" ca="1" si="9"/>
        <v>32.781902148148902</v>
      </c>
      <c r="AK35" s="56">
        <f t="shared" ca="1" si="9"/>
        <v>23.015518262544532</v>
      </c>
      <c r="AL35" s="56">
        <f t="shared" ca="1" si="9"/>
        <v>15.317364349638096</v>
      </c>
      <c r="AM35" s="56">
        <f t="shared" ca="1" si="9"/>
        <v>11.924564486059397</v>
      </c>
      <c r="AN35" s="56">
        <f t="shared" ca="1" si="9"/>
        <v>6.2074486901330133</v>
      </c>
      <c r="AO35" s="56">
        <f t="shared" ca="1" si="9"/>
        <v>2.5905878354412502</v>
      </c>
      <c r="AP35" s="56">
        <f t="shared" ca="1" si="9"/>
        <v>0</v>
      </c>
      <c r="AQ35" s="56">
        <f t="shared" ca="1" si="9"/>
        <v>0</v>
      </c>
      <c r="AR35" s="56">
        <f t="shared" ca="1" si="9"/>
        <v>0</v>
      </c>
      <c r="AS35" s="56">
        <f t="shared" ca="1" si="9"/>
        <v>0</v>
      </c>
      <c r="AT35" s="56">
        <f t="shared" ca="1" si="9"/>
        <v>0</v>
      </c>
      <c r="AU35" s="56">
        <f t="shared" ca="1" si="9"/>
        <v>0</v>
      </c>
      <c r="AV35" s="56">
        <f t="shared" ca="1" si="9"/>
        <v>0</v>
      </c>
      <c r="AW35" s="56">
        <f t="shared" ca="1" si="9"/>
        <v>0</v>
      </c>
      <c r="AX35" s="56">
        <f t="shared" ca="1" si="9"/>
        <v>0</v>
      </c>
    </row>
    <row r="36" spans="1:50" ht="15" customHeight="1" x14ac:dyDescent="0.25">
      <c r="A36" s="56"/>
      <c r="B36" s="56"/>
      <c r="C36" s="105"/>
      <c r="D36" s="105"/>
      <c r="E36" s="56"/>
      <c r="F36" s="56"/>
      <c r="G36" s="52"/>
      <c r="H36" s="52"/>
      <c r="I36" s="52"/>
      <c r="J36" s="52"/>
      <c r="K36" s="56"/>
      <c r="L36" s="56"/>
      <c r="M36" s="56"/>
      <c r="N36" s="56"/>
      <c r="O36" s="56"/>
      <c r="P36" s="56"/>
      <c r="Q36" s="56"/>
      <c r="R36" s="56"/>
      <c r="S36" s="56"/>
      <c r="T36" s="56"/>
      <c r="U36" s="56"/>
      <c r="V36" s="56"/>
      <c r="W36" s="56"/>
      <c r="X36" s="56"/>
      <c r="Y36" s="56"/>
      <c r="Z36" s="56"/>
      <c r="AA36" s="56"/>
      <c r="AB36" s="56"/>
      <c r="AC36" s="56"/>
      <c r="AD36" s="56"/>
      <c r="AE36" s="56"/>
      <c r="AF36" s="56"/>
      <c r="AG36" s="56"/>
      <c r="AH36" s="56"/>
      <c r="AI36" s="56"/>
      <c r="AJ36" s="56"/>
      <c r="AK36" s="56"/>
      <c r="AL36" s="56"/>
      <c r="AM36" s="56"/>
      <c r="AN36" s="56"/>
      <c r="AO36" s="56"/>
      <c r="AP36" s="56"/>
      <c r="AQ36" s="56"/>
      <c r="AR36" s="56"/>
      <c r="AS36" s="56"/>
      <c r="AT36" s="56"/>
      <c r="AU36" s="56"/>
      <c r="AV36" s="56"/>
      <c r="AW36" s="56"/>
      <c r="AX36" s="56"/>
    </row>
    <row r="37" spans="1:50" ht="15" customHeight="1" x14ac:dyDescent="0.25">
      <c r="A37" s="56"/>
      <c r="B37" s="56"/>
      <c r="C37" s="105"/>
      <c r="D37" s="105"/>
      <c r="E37" s="56"/>
      <c r="F37" s="56"/>
      <c r="G37" s="52"/>
      <c r="H37" s="52"/>
      <c r="I37" s="52"/>
      <c r="J37" s="52"/>
      <c r="K37" s="56"/>
      <c r="L37" s="56"/>
      <c r="M37" s="56"/>
      <c r="N37" s="56"/>
      <c r="O37" s="56"/>
      <c r="P37" s="56"/>
      <c r="Q37" s="56"/>
      <c r="R37" s="56"/>
      <c r="S37" s="56"/>
      <c r="T37" s="56"/>
      <c r="U37" s="56"/>
      <c r="V37" s="56"/>
      <c r="W37" s="56"/>
      <c r="X37" s="56"/>
      <c r="Y37" s="56"/>
      <c r="Z37" s="56"/>
      <c r="AA37" s="56"/>
      <c r="AB37" s="56"/>
      <c r="AC37" s="56"/>
      <c r="AD37" s="56"/>
      <c r="AE37" s="56"/>
      <c r="AF37" s="56"/>
      <c r="AG37" s="56"/>
      <c r="AH37" s="56"/>
      <c r="AI37" s="56"/>
      <c r="AJ37" s="56"/>
      <c r="AK37" s="56"/>
      <c r="AL37" s="56"/>
      <c r="AM37" s="56"/>
      <c r="AN37" s="56"/>
      <c r="AO37" s="56"/>
      <c r="AP37" s="56"/>
      <c r="AQ37" s="56"/>
      <c r="AR37" s="56"/>
      <c r="AS37" s="56"/>
      <c r="AT37" s="56"/>
      <c r="AU37" s="56"/>
      <c r="AV37" s="56"/>
      <c r="AW37" s="56"/>
      <c r="AX37" s="56"/>
    </row>
    <row r="38" spans="1:50" ht="15" customHeight="1" x14ac:dyDescent="0.25">
      <c r="A38" s="56"/>
      <c r="B38" s="56"/>
      <c r="C38" s="105"/>
      <c r="D38" s="105"/>
      <c r="E38" s="56"/>
      <c r="F38" s="56"/>
      <c r="G38" s="52"/>
      <c r="H38" s="52"/>
      <c r="I38" s="52"/>
      <c r="J38" s="52"/>
      <c r="K38" s="56"/>
      <c r="L38" s="56"/>
      <c r="M38" s="56"/>
      <c r="N38" s="56"/>
      <c r="O38" s="56"/>
      <c r="P38" s="56"/>
      <c r="Q38" s="56"/>
      <c r="R38" s="56"/>
      <c r="S38" s="56"/>
      <c r="T38" s="56"/>
      <c r="U38" s="56"/>
      <c r="V38" s="56"/>
      <c r="W38" s="56"/>
      <c r="X38" s="56"/>
      <c r="Y38" s="56"/>
      <c r="Z38" s="56"/>
      <c r="AA38" s="56"/>
      <c r="AB38" s="56"/>
      <c r="AC38" s="56"/>
      <c r="AD38" s="56"/>
      <c r="AE38" s="56"/>
      <c r="AF38" s="56"/>
      <c r="AG38" s="56"/>
      <c r="AH38" s="56"/>
      <c r="AI38" s="56"/>
      <c r="AJ38" s="56"/>
      <c r="AK38" s="56"/>
      <c r="AL38" s="56"/>
      <c r="AM38" s="56"/>
      <c r="AN38" s="56"/>
      <c r="AO38" s="56"/>
      <c r="AP38" s="56"/>
      <c r="AQ38" s="56"/>
      <c r="AR38" s="56"/>
      <c r="AS38" s="56"/>
      <c r="AT38" s="56"/>
      <c r="AU38" s="56"/>
      <c r="AV38" s="56"/>
      <c r="AW38" s="56"/>
      <c r="AX38" s="56"/>
    </row>
    <row r="39" spans="1:50" ht="15" customHeight="1" x14ac:dyDescent="0.25">
      <c r="A39" s="56"/>
      <c r="B39" s="56"/>
      <c r="C39" s="105"/>
      <c r="D39" s="105"/>
      <c r="E39" s="56"/>
      <c r="F39" s="56"/>
      <c r="G39" s="52"/>
      <c r="H39" s="52"/>
      <c r="I39" s="52"/>
      <c r="J39" s="52"/>
      <c r="K39" s="56"/>
      <c r="L39" s="56"/>
      <c r="M39" s="56"/>
      <c r="N39" s="56"/>
      <c r="O39" s="56"/>
      <c r="P39" s="56"/>
      <c r="Q39" s="56"/>
      <c r="R39" s="56"/>
      <c r="S39" s="56"/>
      <c r="T39" s="56"/>
      <c r="U39" s="56"/>
      <c r="V39" s="56"/>
      <c r="W39" s="56"/>
      <c r="X39" s="56"/>
      <c r="Y39" s="56"/>
      <c r="Z39" s="56"/>
      <c r="AA39" s="56"/>
      <c r="AB39" s="56"/>
      <c r="AC39" s="56"/>
      <c r="AD39" s="56"/>
      <c r="AE39" s="56"/>
      <c r="AF39" s="56"/>
      <c r="AG39" s="56"/>
      <c r="AH39" s="56"/>
      <c r="AI39" s="56"/>
      <c r="AJ39" s="56"/>
      <c r="AK39" s="56"/>
      <c r="AL39" s="56"/>
      <c r="AM39" s="56"/>
      <c r="AN39" s="56"/>
      <c r="AO39" s="56"/>
      <c r="AP39" s="56"/>
      <c r="AQ39" s="56"/>
      <c r="AR39" s="56"/>
      <c r="AS39" s="56"/>
      <c r="AT39" s="56"/>
      <c r="AU39" s="56"/>
      <c r="AV39" s="56"/>
      <c r="AW39" s="56"/>
      <c r="AX39" s="56"/>
    </row>
    <row r="40" spans="1:50" ht="15" customHeight="1" x14ac:dyDescent="0.25">
      <c r="A40" s="56"/>
      <c r="B40" s="56"/>
      <c r="C40" s="105"/>
      <c r="D40" s="105"/>
      <c r="E40" s="56"/>
      <c r="F40" s="56"/>
      <c r="G40" s="52"/>
      <c r="H40" s="52"/>
      <c r="I40" s="52"/>
      <c r="J40" s="52"/>
      <c r="K40" s="56"/>
      <c r="L40" s="56"/>
      <c r="M40" s="56"/>
      <c r="N40" s="56"/>
      <c r="O40" s="56"/>
      <c r="P40" s="56"/>
      <c r="Q40" s="56"/>
      <c r="R40" s="56"/>
      <c r="S40" s="56"/>
      <c r="T40" s="56"/>
      <c r="U40" s="56"/>
      <c r="V40" s="56"/>
      <c r="W40" s="56"/>
      <c r="X40" s="56"/>
      <c r="Y40" s="56"/>
      <c r="Z40" s="56"/>
      <c r="AA40" s="56"/>
      <c r="AB40" s="56"/>
      <c r="AC40" s="56"/>
      <c r="AD40" s="56"/>
      <c r="AE40" s="56"/>
      <c r="AF40" s="56"/>
      <c r="AG40" s="56"/>
      <c r="AH40" s="56"/>
      <c r="AI40" s="56"/>
      <c r="AJ40" s="56"/>
      <c r="AK40" s="56"/>
      <c r="AL40" s="56"/>
      <c r="AM40" s="56"/>
      <c r="AN40" s="56"/>
      <c r="AO40" s="56"/>
      <c r="AP40" s="56"/>
      <c r="AQ40" s="56"/>
      <c r="AR40" s="56"/>
      <c r="AS40" s="56"/>
      <c r="AT40" s="56"/>
      <c r="AU40" s="56"/>
      <c r="AV40" s="56"/>
      <c r="AW40" s="56"/>
      <c r="AX40" s="56"/>
    </row>
    <row r="41" spans="1:50" ht="15" customHeight="1" x14ac:dyDescent="0.25">
      <c r="A41" s="56"/>
      <c r="B41" s="56"/>
      <c r="C41" s="105"/>
      <c r="D41" s="105"/>
      <c r="E41" s="56"/>
      <c r="F41" s="56"/>
      <c r="G41" s="52"/>
      <c r="H41" s="52"/>
      <c r="I41" s="52"/>
      <c r="J41" s="52"/>
      <c r="K41" s="56"/>
      <c r="L41" s="56"/>
      <c r="M41" s="56"/>
      <c r="N41" s="56"/>
      <c r="O41" s="56"/>
      <c r="P41" s="56"/>
      <c r="Q41" s="56"/>
      <c r="R41" s="56"/>
      <c r="S41" s="56"/>
      <c r="T41" s="56"/>
      <c r="U41" s="56"/>
      <c r="V41" s="56"/>
      <c r="W41" s="56"/>
      <c r="X41" s="56"/>
      <c r="Y41" s="56"/>
      <c r="Z41" s="56"/>
      <c r="AA41" s="56"/>
      <c r="AB41" s="56"/>
      <c r="AC41" s="56"/>
      <c r="AD41" s="56"/>
      <c r="AE41" s="56"/>
      <c r="AF41" s="56"/>
      <c r="AG41" s="56"/>
      <c r="AH41" s="56"/>
      <c r="AI41" s="56"/>
      <c r="AJ41" s="56"/>
      <c r="AK41" s="56"/>
      <c r="AL41" s="56"/>
      <c r="AM41" s="56"/>
      <c r="AN41" s="56"/>
      <c r="AO41" s="56"/>
      <c r="AP41" s="56"/>
      <c r="AQ41" s="56"/>
      <c r="AR41" s="56"/>
      <c r="AS41" s="56"/>
      <c r="AT41" s="56"/>
      <c r="AU41" s="56"/>
      <c r="AV41" s="56"/>
      <c r="AW41" s="56"/>
      <c r="AX41" s="56"/>
    </row>
    <row r="42" spans="1:50" ht="15" customHeight="1" x14ac:dyDescent="0.25">
      <c r="A42" s="56"/>
      <c r="B42" s="56"/>
      <c r="C42" s="105"/>
      <c r="D42" s="105"/>
      <c r="E42" s="56"/>
      <c r="F42" s="56"/>
      <c r="G42" s="52"/>
      <c r="H42" s="52"/>
      <c r="I42" s="52"/>
      <c r="J42" s="52"/>
      <c r="K42" s="56"/>
      <c r="L42" s="56"/>
      <c r="M42" s="56"/>
      <c r="N42" s="56"/>
      <c r="O42" s="56"/>
      <c r="P42" s="56"/>
      <c r="Q42" s="56"/>
      <c r="R42" s="56"/>
      <c r="S42" s="56"/>
      <c r="T42" s="56"/>
      <c r="U42" s="56"/>
      <c r="V42" s="56"/>
      <c r="W42" s="56"/>
      <c r="X42" s="56"/>
      <c r="Y42" s="56"/>
      <c r="Z42" s="56"/>
      <c r="AA42" s="56"/>
      <c r="AB42" s="56"/>
      <c r="AC42" s="56"/>
      <c r="AD42" s="56"/>
      <c r="AE42" s="56"/>
      <c r="AF42" s="56"/>
      <c r="AG42" s="56"/>
      <c r="AH42" s="56"/>
      <c r="AI42" s="56"/>
      <c r="AJ42" s="56"/>
      <c r="AK42" s="56"/>
      <c r="AL42" s="56"/>
      <c r="AM42" s="56"/>
      <c r="AN42" s="56"/>
      <c r="AO42" s="56"/>
      <c r="AP42" s="56"/>
      <c r="AQ42" s="56"/>
      <c r="AR42" s="56"/>
      <c r="AS42" s="56"/>
      <c r="AT42" s="56"/>
      <c r="AU42" s="56"/>
      <c r="AV42" s="56"/>
      <c r="AW42" s="56"/>
      <c r="AX42" s="56"/>
    </row>
    <row r="43" spans="1:50" ht="15" customHeight="1" x14ac:dyDescent="0.25">
      <c r="A43" s="56"/>
      <c r="B43" s="56"/>
      <c r="C43" s="105"/>
      <c r="D43" s="105"/>
      <c r="E43" s="56"/>
      <c r="F43" s="56"/>
      <c r="G43" s="52"/>
      <c r="H43" s="52"/>
      <c r="I43" s="52"/>
      <c r="J43" s="52"/>
      <c r="K43" s="56"/>
      <c r="L43" s="56"/>
      <c r="M43" s="56"/>
      <c r="N43" s="56"/>
      <c r="O43" s="56"/>
      <c r="P43" s="56"/>
      <c r="Q43" s="56"/>
      <c r="R43" s="56"/>
      <c r="S43" s="56"/>
      <c r="T43" s="56"/>
      <c r="U43" s="56"/>
      <c r="V43" s="56"/>
      <c r="W43" s="56"/>
      <c r="X43" s="56"/>
      <c r="Y43" s="56"/>
      <c r="Z43" s="56"/>
      <c r="AA43" s="56"/>
      <c r="AB43" s="56"/>
      <c r="AC43" s="56"/>
      <c r="AD43" s="56"/>
      <c r="AE43" s="56"/>
      <c r="AF43" s="56"/>
      <c r="AG43" s="56"/>
      <c r="AH43" s="56"/>
      <c r="AI43" s="56"/>
      <c r="AJ43" s="56"/>
      <c r="AK43" s="56"/>
      <c r="AL43" s="56"/>
      <c r="AM43" s="56"/>
      <c r="AN43" s="56"/>
      <c r="AO43" s="56"/>
      <c r="AP43" s="56"/>
      <c r="AQ43" s="56"/>
      <c r="AR43" s="56"/>
      <c r="AS43" s="56"/>
      <c r="AT43" s="56"/>
      <c r="AU43" s="56"/>
      <c r="AV43" s="56"/>
      <c r="AW43" s="56"/>
      <c r="AX43" s="56"/>
    </row>
    <row r="44" spans="1:50" ht="15" customHeight="1" x14ac:dyDescent="0.25">
      <c r="A44" s="56"/>
      <c r="B44" s="56"/>
      <c r="C44" s="105"/>
      <c r="D44" s="105"/>
      <c r="E44" s="56"/>
      <c r="F44" s="56"/>
      <c r="G44" s="52"/>
      <c r="H44" s="52"/>
      <c r="I44" s="52"/>
      <c r="J44" s="52"/>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56"/>
      <c r="AU44" s="56"/>
      <c r="AV44" s="56"/>
      <c r="AW44" s="56"/>
      <c r="AX44" s="56"/>
    </row>
    <row r="45" spans="1:50" ht="15" customHeight="1" x14ac:dyDescent="0.25">
      <c r="A45" s="56"/>
      <c r="B45" s="56"/>
      <c r="C45" s="105"/>
      <c r="D45" s="105"/>
      <c r="E45" s="56"/>
      <c r="F45" s="56"/>
      <c r="G45" s="52"/>
      <c r="H45" s="52"/>
      <c r="I45" s="52"/>
      <c r="J45" s="52"/>
      <c r="K45" s="56"/>
      <c r="L45" s="56"/>
      <c r="M45" s="56"/>
      <c r="N45" s="56"/>
      <c r="O45" s="56"/>
      <c r="P45" s="56"/>
      <c r="Q45" s="56"/>
      <c r="R45" s="56"/>
      <c r="S45" s="56"/>
      <c r="T45" s="56"/>
      <c r="U45" s="56"/>
      <c r="V45" s="56"/>
      <c r="W45" s="56"/>
      <c r="X45" s="56"/>
      <c r="Y45" s="56"/>
      <c r="Z45" s="56"/>
      <c r="AA45" s="56"/>
      <c r="AB45" s="56"/>
      <c r="AC45" s="56"/>
      <c r="AD45" s="56"/>
      <c r="AE45" s="56"/>
      <c r="AF45" s="56"/>
      <c r="AG45" s="56"/>
      <c r="AH45" s="56"/>
      <c r="AI45" s="56"/>
      <c r="AJ45" s="56"/>
      <c r="AK45" s="56"/>
      <c r="AL45" s="56"/>
      <c r="AM45" s="56"/>
      <c r="AN45" s="56"/>
      <c r="AO45" s="56"/>
      <c r="AP45" s="56"/>
      <c r="AQ45" s="56"/>
      <c r="AR45" s="56"/>
      <c r="AS45" s="56"/>
      <c r="AT45" s="56"/>
      <c r="AU45" s="56"/>
      <c r="AV45" s="56"/>
      <c r="AW45" s="56"/>
      <c r="AX45" s="56"/>
    </row>
    <row r="46" spans="1:50" ht="15" customHeight="1" x14ac:dyDescent="0.25">
      <c r="A46" s="56"/>
      <c r="B46" s="56"/>
      <c r="C46" s="105"/>
      <c r="D46" s="105"/>
      <c r="E46" s="56"/>
      <c r="F46" s="56"/>
      <c r="G46" s="52"/>
      <c r="H46" s="52"/>
      <c r="I46" s="52"/>
      <c r="J46" s="52"/>
      <c r="K46" s="56"/>
      <c r="L46" s="56"/>
      <c r="M46" s="56"/>
      <c r="N46" s="56"/>
      <c r="O46" s="56"/>
      <c r="P46" s="56"/>
      <c r="Q46" s="56"/>
      <c r="R46" s="56"/>
      <c r="S46" s="56"/>
      <c r="T46" s="56"/>
      <c r="U46" s="56"/>
      <c r="V46" s="56"/>
      <c r="W46" s="56"/>
      <c r="X46" s="56"/>
      <c r="Y46" s="56"/>
      <c r="Z46" s="56"/>
      <c r="AA46" s="56"/>
      <c r="AB46" s="56"/>
      <c r="AC46" s="56"/>
      <c r="AD46" s="56"/>
      <c r="AE46" s="56"/>
      <c r="AF46" s="56"/>
      <c r="AG46" s="56"/>
      <c r="AH46" s="56"/>
      <c r="AI46" s="56"/>
      <c r="AJ46" s="56"/>
      <c r="AK46" s="56"/>
      <c r="AL46" s="56"/>
      <c r="AM46" s="56"/>
      <c r="AN46" s="56"/>
      <c r="AO46" s="56"/>
      <c r="AP46" s="56"/>
      <c r="AQ46" s="56"/>
      <c r="AR46" s="56"/>
      <c r="AS46" s="56"/>
      <c r="AT46" s="56"/>
      <c r="AU46" s="56"/>
      <c r="AV46" s="56"/>
      <c r="AW46" s="56"/>
      <c r="AX46" s="56"/>
    </row>
    <row r="47" spans="1:50" ht="15" customHeight="1" x14ac:dyDescent="0.25">
      <c r="A47" s="56"/>
      <c r="B47" s="56"/>
      <c r="C47" s="105"/>
      <c r="D47" s="105"/>
      <c r="E47" s="56"/>
      <c r="F47" s="56"/>
      <c r="G47" s="52"/>
      <c r="H47" s="52"/>
      <c r="I47" s="52"/>
      <c r="J47" s="52"/>
      <c r="K47" s="56"/>
      <c r="L47" s="56"/>
      <c r="M47" s="56"/>
      <c r="N47" s="56"/>
      <c r="O47" s="56"/>
      <c r="P47" s="56"/>
      <c r="Q47" s="56"/>
      <c r="R47" s="56"/>
      <c r="S47" s="56"/>
      <c r="T47" s="56"/>
      <c r="U47" s="56"/>
      <c r="V47" s="56"/>
      <c r="W47" s="56"/>
      <c r="X47" s="56"/>
      <c r="Y47" s="56"/>
      <c r="Z47" s="56"/>
      <c r="AA47" s="56"/>
      <c r="AB47" s="56"/>
      <c r="AC47" s="56"/>
      <c r="AD47" s="56"/>
      <c r="AE47" s="56"/>
      <c r="AF47" s="56"/>
      <c r="AG47" s="56"/>
      <c r="AH47" s="56"/>
      <c r="AI47" s="56"/>
      <c r="AJ47" s="56"/>
      <c r="AK47" s="56"/>
      <c r="AL47" s="56"/>
      <c r="AM47" s="56"/>
      <c r="AN47" s="56"/>
      <c r="AO47" s="56"/>
      <c r="AP47" s="56"/>
      <c r="AQ47" s="56"/>
      <c r="AR47" s="56"/>
      <c r="AS47" s="56"/>
      <c r="AT47" s="56"/>
      <c r="AU47" s="56"/>
      <c r="AV47" s="56"/>
      <c r="AW47" s="56"/>
      <c r="AX47" s="56"/>
    </row>
    <row r="48" spans="1:50" ht="15" customHeight="1" x14ac:dyDescent="0.25">
      <c r="A48" s="56"/>
      <c r="B48" s="56"/>
      <c r="C48" s="105"/>
      <c r="D48" s="105"/>
      <c r="E48" s="56"/>
      <c r="F48" s="56"/>
      <c r="G48" s="52"/>
      <c r="H48" s="52"/>
      <c r="I48" s="52"/>
      <c r="J48" s="52"/>
      <c r="K48" s="56"/>
      <c r="L48" s="56"/>
      <c r="M48" s="56"/>
      <c r="N48" s="56"/>
      <c r="O48" s="56"/>
      <c r="P48" s="56"/>
      <c r="Q48" s="56"/>
      <c r="R48" s="56"/>
      <c r="S48" s="56"/>
      <c r="T48" s="56"/>
      <c r="U48" s="56"/>
      <c r="V48" s="56"/>
      <c r="W48" s="56"/>
      <c r="X48" s="56"/>
      <c r="Y48" s="56"/>
      <c r="Z48" s="56"/>
      <c r="AA48" s="56"/>
      <c r="AB48" s="56"/>
      <c r="AC48" s="56"/>
      <c r="AD48" s="56"/>
      <c r="AE48" s="56"/>
      <c r="AF48" s="56"/>
      <c r="AG48" s="56"/>
      <c r="AH48" s="56"/>
      <c r="AI48" s="56"/>
      <c r="AJ48" s="56"/>
      <c r="AK48" s="56"/>
      <c r="AL48" s="56"/>
      <c r="AM48" s="56"/>
      <c r="AN48" s="56"/>
      <c r="AO48" s="56"/>
      <c r="AP48" s="56"/>
      <c r="AQ48" s="56"/>
      <c r="AR48" s="56"/>
      <c r="AS48" s="56"/>
      <c r="AT48" s="56"/>
      <c r="AU48" s="56"/>
      <c r="AV48" s="56"/>
      <c r="AW48" s="56"/>
      <c r="AX48" s="56"/>
    </row>
    <row r="49" spans="1:50" ht="15" customHeight="1" x14ac:dyDescent="0.25">
      <c r="A49" s="56"/>
      <c r="B49" s="56"/>
      <c r="C49" s="105"/>
      <c r="D49" s="105"/>
      <c r="E49" s="56"/>
      <c r="F49" s="56"/>
      <c r="G49" s="52"/>
      <c r="H49" s="52"/>
      <c r="I49" s="52"/>
      <c r="J49" s="52"/>
      <c r="K49" s="56"/>
      <c r="L49" s="56"/>
      <c r="M49" s="56"/>
      <c r="N49" s="56"/>
      <c r="O49" s="56"/>
      <c r="P49" s="56"/>
      <c r="Q49" s="56"/>
      <c r="R49" s="56"/>
      <c r="S49" s="56"/>
      <c r="T49" s="56"/>
      <c r="U49" s="56"/>
      <c r="V49" s="56"/>
      <c r="W49" s="56"/>
      <c r="X49" s="56"/>
      <c r="Y49" s="56"/>
      <c r="Z49" s="56"/>
      <c r="AA49" s="56"/>
      <c r="AB49" s="56"/>
      <c r="AC49" s="56"/>
      <c r="AD49" s="56"/>
      <c r="AE49" s="56"/>
      <c r="AF49" s="56"/>
      <c r="AG49" s="56"/>
      <c r="AH49" s="56"/>
      <c r="AI49" s="56"/>
      <c r="AJ49" s="56"/>
      <c r="AK49" s="56"/>
      <c r="AL49" s="56"/>
      <c r="AM49" s="56"/>
      <c r="AN49" s="56"/>
      <c r="AO49" s="56"/>
      <c r="AP49" s="56"/>
      <c r="AQ49" s="56"/>
      <c r="AR49" s="56"/>
      <c r="AS49" s="56"/>
      <c r="AT49" s="56"/>
      <c r="AU49" s="56"/>
      <c r="AV49" s="56"/>
      <c r="AW49" s="56"/>
      <c r="AX49" s="56"/>
    </row>
    <row r="50" spans="1:50" ht="15" customHeight="1" x14ac:dyDescent="0.25">
      <c r="A50" s="56"/>
      <c r="B50" s="56"/>
      <c r="C50" s="105"/>
      <c r="D50" s="105"/>
      <c r="E50" s="56"/>
      <c r="F50" s="56"/>
      <c r="G50" s="52"/>
      <c r="H50" s="52"/>
      <c r="I50" s="52"/>
      <c r="J50" s="52"/>
      <c r="K50" s="56"/>
      <c r="L50" s="56"/>
      <c r="M50" s="56"/>
      <c r="N50" s="56"/>
      <c r="O50" s="56"/>
      <c r="P50" s="56"/>
      <c r="Q50" s="56"/>
      <c r="R50" s="56"/>
      <c r="S50" s="56"/>
      <c r="T50" s="56"/>
      <c r="U50" s="56"/>
      <c r="V50" s="56"/>
      <c r="W50" s="56"/>
      <c r="X50" s="56"/>
      <c r="Y50" s="56"/>
      <c r="Z50" s="56"/>
      <c r="AA50" s="56"/>
      <c r="AB50" s="56"/>
      <c r="AC50" s="56"/>
      <c r="AD50" s="56"/>
      <c r="AE50" s="56"/>
      <c r="AF50" s="56"/>
      <c r="AG50" s="56"/>
      <c r="AH50" s="56"/>
      <c r="AI50" s="56"/>
      <c r="AJ50" s="56"/>
      <c r="AK50" s="56"/>
      <c r="AL50" s="56"/>
      <c r="AM50" s="56"/>
      <c r="AN50" s="56"/>
      <c r="AO50" s="56"/>
      <c r="AP50" s="56"/>
      <c r="AQ50" s="56"/>
      <c r="AR50" s="56"/>
      <c r="AS50" s="56"/>
      <c r="AT50" s="56"/>
      <c r="AU50" s="56"/>
      <c r="AV50" s="56"/>
      <c r="AW50" s="56"/>
      <c r="AX50" s="56"/>
    </row>
    <row r="51" spans="1:50" ht="15" customHeight="1" x14ac:dyDescent="0.25">
      <c r="A51" s="56"/>
      <c r="B51" s="56"/>
      <c r="C51" s="105"/>
      <c r="D51" s="105"/>
      <c r="E51" s="56"/>
      <c r="F51" s="56"/>
      <c r="G51" s="52"/>
      <c r="H51" s="52"/>
      <c r="I51" s="52"/>
      <c r="J51" s="52"/>
      <c r="K51" s="56"/>
      <c r="L51" s="56"/>
      <c r="M51" s="56"/>
      <c r="N51" s="56"/>
      <c r="O51" s="56"/>
      <c r="P51" s="56"/>
      <c r="Q51" s="56"/>
      <c r="R51" s="56"/>
      <c r="S51" s="56"/>
      <c r="T51" s="56"/>
      <c r="U51" s="56"/>
      <c r="V51" s="56"/>
      <c r="W51" s="56"/>
      <c r="X51" s="56"/>
      <c r="Y51" s="56"/>
      <c r="Z51" s="56"/>
      <c r="AA51" s="56"/>
      <c r="AB51" s="56"/>
      <c r="AC51" s="56"/>
      <c r="AD51" s="56"/>
      <c r="AE51" s="56"/>
      <c r="AF51" s="56"/>
      <c r="AG51" s="56"/>
      <c r="AH51" s="56"/>
      <c r="AI51" s="56"/>
      <c r="AJ51" s="56"/>
      <c r="AK51" s="56"/>
      <c r="AL51" s="56"/>
      <c r="AM51" s="56"/>
      <c r="AN51" s="56"/>
      <c r="AO51" s="56"/>
      <c r="AP51" s="56"/>
      <c r="AQ51" s="56"/>
      <c r="AR51" s="56"/>
      <c r="AS51" s="56"/>
      <c r="AT51" s="56"/>
      <c r="AU51" s="56"/>
      <c r="AV51" s="56"/>
      <c r="AW51" s="56"/>
      <c r="AX51" s="56"/>
    </row>
    <row r="52" spans="1:50" ht="15" customHeight="1" x14ac:dyDescent="0.25">
      <c r="A52" s="56"/>
      <c r="B52" s="56"/>
      <c r="C52" s="105"/>
      <c r="D52" s="105"/>
      <c r="E52" s="56"/>
      <c r="F52" s="56"/>
      <c r="G52" s="52"/>
      <c r="H52" s="52"/>
      <c r="I52" s="52"/>
      <c r="J52" s="52"/>
      <c r="K52" s="56"/>
      <c r="L52" s="56"/>
      <c r="M52" s="56"/>
      <c r="N52" s="56"/>
      <c r="O52" s="56"/>
      <c r="P52" s="56"/>
      <c r="Q52" s="56"/>
      <c r="R52" s="56"/>
      <c r="S52" s="56"/>
      <c r="T52" s="56"/>
      <c r="U52" s="56"/>
      <c r="V52" s="56"/>
      <c r="W52" s="56"/>
      <c r="X52" s="56"/>
      <c r="Y52" s="56"/>
      <c r="Z52" s="56"/>
      <c r="AA52" s="56"/>
      <c r="AB52" s="56"/>
      <c r="AC52" s="56"/>
      <c r="AD52" s="56"/>
      <c r="AE52" s="56"/>
      <c r="AF52" s="56"/>
      <c r="AG52" s="56"/>
      <c r="AH52" s="56"/>
      <c r="AI52" s="56"/>
      <c r="AJ52" s="56"/>
      <c r="AK52" s="56"/>
      <c r="AL52" s="56"/>
      <c r="AM52" s="56"/>
      <c r="AN52" s="56"/>
      <c r="AO52" s="56"/>
      <c r="AP52" s="56"/>
      <c r="AQ52" s="56"/>
      <c r="AR52" s="56"/>
      <c r="AS52" s="56"/>
      <c r="AT52" s="56"/>
      <c r="AU52" s="56"/>
      <c r="AV52" s="56"/>
      <c r="AW52" s="56"/>
      <c r="AX52" s="56"/>
    </row>
    <row r="53" spans="1:50" ht="15" customHeight="1" x14ac:dyDescent="0.25">
      <c r="A53" s="56"/>
      <c r="B53" s="56"/>
      <c r="C53" s="105"/>
      <c r="D53" s="105"/>
      <c r="E53" s="56"/>
      <c r="F53" s="56"/>
      <c r="G53" s="52"/>
      <c r="H53" s="52"/>
      <c r="I53" s="52"/>
      <c r="J53" s="52"/>
      <c r="K53" s="56"/>
      <c r="L53" s="56"/>
      <c r="M53" s="56"/>
      <c r="N53" s="56"/>
      <c r="O53" s="56"/>
      <c r="P53" s="56"/>
      <c r="Q53" s="56"/>
      <c r="R53" s="56"/>
      <c r="S53" s="56"/>
      <c r="T53" s="56"/>
      <c r="U53" s="56"/>
      <c r="V53" s="56"/>
      <c r="W53" s="56"/>
      <c r="X53" s="56"/>
      <c r="Y53" s="56"/>
      <c r="Z53" s="56"/>
      <c r="AA53" s="56"/>
      <c r="AB53" s="56"/>
      <c r="AC53" s="56"/>
      <c r="AD53" s="56"/>
      <c r="AE53" s="56"/>
      <c r="AF53" s="56"/>
      <c r="AG53" s="56"/>
      <c r="AH53" s="56"/>
      <c r="AI53" s="56"/>
      <c r="AJ53" s="56"/>
      <c r="AK53" s="56"/>
      <c r="AL53" s="56"/>
      <c r="AM53" s="56"/>
      <c r="AN53" s="56"/>
      <c r="AO53" s="56"/>
      <c r="AP53" s="56"/>
      <c r="AQ53" s="56"/>
      <c r="AR53" s="56"/>
      <c r="AS53" s="56"/>
      <c r="AT53" s="56"/>
      <c r="AU53" s="56"/>
      <c r="AV53" s="56"/>
      <c r="AW53" s="56"/>
      <c r="AX53" s="56"/>
    </row>
    <row r="54" spans="1:50" ht="15" customHeight="1" x14ac:dyDescent="0.25">
      <c r="A54" s="56"/>
      <c r="B54" s="56"/>
      <c r="C54" s="105"/>
      <c r="D54" s="105"/>
      <c r="E54" s="56"/>
      <c r="F54" s="56"/>
      <c r="G54" s="52"/>
      <c r="H54" s="52"/>
      <c r="I54" s="52"/>
      <c r="J54" s="52"/>
      <c r="K54" s="56"/>
      <c r="L54" s="56"/>
      <c r="M54" s="56"/>
      <c r="N54" s="56"/>
      <c r="O54" s="56"/>
      <c r="P54" s="56"/>
      <c r="Q54" s="56"/>
      <c r="R54" s="56"/>
      <c r="S54" s="56"/>
      <c r="T54" s="56"/>
      <c r="U54" s="56"/>
      <c r="V54" s="56"/>
      <c r="W54" s="56"/>
      <c r="X54" s="56"/>
      <c r="Y54" s="56"/>
      <c r="Z54" s="56"/>
      <c r="AA54" s="56"/>
      <c r="AB54" s="56"/>
      <c r="AC54" s="56"/>
      <c r="AD54" s="56"/>
      <c r="AE54" s="56"/>
      <c r="AF54" s="56"/>
      <c r="AG54" s="56"/>
      <c r="AH54" s="56"/>
      <c r="AI54" s="56"/>
      <c r="AJ54" s="56"/>
      <c r="AK54" s="56"/>
      <c r="AL54" s="56"/>
      <c r="AM54" s="56"/>
      <c r="AN54" s="56"/>
      <c r="AO54" s="56"/>
      <c r="AP54" s="56"/>
      <c r="AQ54" s="56"/>
      <c r="AR54" s="56"/>
      <c r="AS54" s="56"/>
      <c r="AT54" s="56"/>
      <c r="AU54" s="56"/>
      <c r="AV54" s="56"/>
      <c r="AW54" s="56"/>
      <c r="AX54" s="56"/>
    </row>
    <row r="55" spans="1:50" ht="15" customHeight="1" x14ac:dyDescent="0.25">
      <c r="A55" s="56"/>
      <c r="B55" s="56"/>
      <c r="C55" s="105"/>
      <c r="D55" s="105"/>
      <c r="E55" s="56"/>
      <c r="F55" s="56"/>
      <c r="G55" s="52"/>
      <c r="H55" s="52"/>
      <c r="I55" s="52"/>
      <c r="J55" s="52"/>
      <c r="K55" s="56"/>
      <c r="L55" s="56"/>
      <c r="M55" s="56"/>
      <c r="N55" s="56"/>
      <c r="O55" s="56"/>
      <c r="P55" s="56"/>
      <c r="Q55" s="56"/>
      <c r="R55" s="56"/>
      <c r="S55" s="56"/>
      <c r="T55" s="56"/>
      <c r="U55" s="56"/>
      <c r="V55" s="56"/>
      <c r="W55" s="56"/>
      <c r="X55" s="56"/>
      <c r="Y55" s="56"/>
      <c r="Z55" s="56"/>
      <c r="AA55" s="56"/>
      <c r="AB55" s="56"/>
      <c r="AC55" s="56"/>
      <c r="AD55" s="56"/>
      <c r="AE55" s="56"/>
      <c r="AF55" s="56"/>
      <c r="AG55" s="56"/>
      <c r="AH55" s="56"/>
      <c r="AI55" s="56"/>
      <c r="AJ55" s="56"/>
      <c r="AK55" s="56"/>
      <c r="AL55" s="56"/>
      <c r="AM55" s="56"/>
      <c r="AN55" s="56"/>
      <c r="AO55" s="56"/>
      <c r="AP55" s="56"/>
      <c r="AQ55" s="56"/>
      <c r="AR55" s="56"/>
      <c r="AS55" s="56"/>
      <c r="AT55" s="56"/>
      <c r="AU55" s="56"/>
      <c r="AV55" s="56"/>
      <c r="AW55" s="56"/>
      <c r="AX55" s="56"/>
    </row>
    <row r="56" spans="1:50" ht="15" customHeight="1" x14ac:dyDescent="0.25">
      <c r="A56" s="56"/>
      <c r="B56" s="56"/>
      <c r="C56" s="105"/>
      <c r="D56" s="105"/>
      <c r="E56" s="56"/>
      <c r="F56" s="56"/>
      <c r="G56" s="52"/>
      <c r="H56" s="52"/>
      <c r="I56" s="52"/>
      <c r="J56" s="52"/>
      <c r="K56" s="56"/>
      <c r="L56" s="56"/>
      <c r="M56" s="56"/>
      <c r="N56" s="56"/>
      <c r="O56" s="56"/>
      <c r="P56" s="56"/>
      <c r="Q56" s="56"/>
      <c r="R56" s="56"/>
      <c r="S56" s="56"/>
      <c r="T56" s="56"/>
      <c r="U56" s="56"/>
      <c r="V56" s="56"/>
      <c r="W56" s="56"/>
      <c r="X56" s="56"/>
      <c r="Y56" s="56"/>
      <c r="Z56" s="56"/>
      <c r="AA56" s="56"/>
      <c r="AB56" s="56"/>
      <c r="AC56" s="56"/>
      <c r="AD56" s="56"/>
      <c r="AE56" s="56"/>
      <c r="AF56" s="56"/>
      <c r="AG56" s="56"/>
      <c r="AH56" s="56"/>
      <c r="AI56" s="56"/>
      <c r="AJ56" s="56"/>
      <c r="AK56" s="56"/>
      <c r="AL56" s="56"/>
      <c r="AM56" s="56"/>
      <c r="AN56" s="56"/>
      <c r="AO56" s="56"/>
      <c r="AP56" s="56"/>
      <c r="AQ56" s="56"/>
      <c r="AR56" s="56"/>
      <c r="AS56" s="56"/>
      <c r="AT56" s="56"/>
      <c r="AU56" s="56"/>
      <c r="AV56" s="56"/>
      <c r="AW56" s="56"/>
      <c r="AX56" s="56"/>
    </row>
    <row r="57" spans="1:50" ht="15" customHeight="1" x14ac:dyDescent="0.25">
      <c r="A57" s="56"/>
      <c r="B57" s="56"/>
      <c r="C57" s="105"/>
      <c r="D57" s="105"/>
      <c r="E57" s="56"/>
      <c r="F57" s="56"/>
      <c r="G57" s="52"/>
      <c r="H57" s="52"/>
      <c r="I57" s="52"/>
      <c r="J57" s="52"/>
      <c r="K57" s="56"/>
      <c r="L57" s="56"/>
      <c r="M57" s="56"/>
      <c r="N57" s="56"/>
      <c r="O57" s="56"/>
      <c r="P57" s="56"/>
      <c r="Q57" s="56"/>
      <c r="R57" s="56"/>
      <c r="S57" s="56"/>
      <c r="T57" s="56"/>
      <c r="U57" s="56"/>
      <c r="V57" s="56"/>
      <c r="W57" s="56"/>
      <c r="X57" s="56"/>
      <c r="Y57" s="56"/>
      <c r="Z57" s="56"/>
      <c r="AA57" s="56"/>
      <c r="AB57" s="56"/>
      <c r="AC57" s="56"/>
      <c r="AD57" s="56"/>
      <c r="AE57" s="56"/>
      <c r="AF57" s="56"/>
      <c r="AG57" s="56"/>
      <c r="AH57" s="56"/>
      <c r="AI57" s="56"/>
      <c r="AJ57" s="56"/>
      <c r="AK57" s="56"/>
      <c r="AL57" s="56"/>
      <c r="AM57" s="56"/>
      <c r="AN57" s="56"/>
      <c r="AO57" s="56"/>
      <c r="AP57" s="56"/>
      <c r="AQ57" s="56"/>
      <c r="AR57" s="56"/>
      <c r="AS57" s="56"/>
      <c r="AT57" s="56"/>
      <c r="AU57" s="56"/>
      <c r="AV57" s="56"/>
      <c r="AW57" s="56"/>
      <c r="AX57" s="56"/>
    </row>
    <row r="58" spans="1:50" ht="15" customHeight="1" x14ac:dyDescent="0.25">
      <c r="A58" s="56"/>
      <c r="B58" s="56"/>
      <c r="C58" s="105"/>
      <c r="D58" s="105"/>
      <c r="E58" s="56"/>
      <c r="F58" s="56"/>
      <c r="G58" s="52"/>
      <c r="H58" s="52"/>
      <c r="I58" s="52"/>
      <c r="J58" s="52"/>
      <c r="K58" s="56"/>
      <c r="L58" s="56"/>
      <c r="M58" s="56"/>
      <c r="N58" s="56"/>
      <c r="O58" s="56"/>
      <c r="P58" s="56"/>
      <c r="Q58" s="56"/>
      <c r="R58" s="56"/>
      <c r="S58" s="56"/>
      <c r="T58" s="56"/>
      <c r="U58" s="56"/>
      <c r="V58" s="56"/>
      <c r="W58" s="56"/>
      <c r="X58" s="56"/>
      <c r="Y58" s="56"/>
      <c r="Z58" s="56"/>
      <c r="AA58" s="56"/>
      <c r="AB58" s="56"/>
      <c r="AC58" s="56"/>
      <c r="AD58" s="56"/>
      <c r="AE58" s="56"/>
      <c r="AF58" s="56"/>
      <c r="AG58" s="56"/>
      <c r="AH58" s="56"/>
      <c r="AI58" s="56"/>
      <c r="AJ58" s="56"/>
      <c r="AK58" s="56"/>
      <c r="AL58" s="56"/>
      <c r="AM58" s="56"/>
      <c r="AN58" s="56"/>
      <c r="AO58" s="56"/>
      <c r="AP58" s="56"/>
      <c r="AQ58" s="56"/>
      <c r="AR58" s="56"/>
      <c r="AS58" s="56"/>
      <c r="AT58" s="56"/>
      <c r="AU58" s="56"/>
      <c r="AV58" s="56"/>
      <c r="AW58" s="56"/>
      <c r="AX58" s="56"/>
    </row>
    <row r="59" spans="1:50" ht="15" customHeight="1" x14ac:dyDescent="0.25">
      <c r="A59" s="56"/>
      <c r="B59" s="56"/>
      <c r="C59" s="105"/>
      <c r="D59" s="105"/>
      <c r="E59" s="56"/>
      <c r="F59" s="56"/>
      <c r="G59" s="52"/>
      <c r="H59" s="52"/>
      <c r="I59" s="52"/>
      <c r="J59" s="52"/>
      <c r="K59" s="56"/>
      <c r="L59" s="56"/>
      <c r="M59" s="56"/>
      <c r="N59" s="56"/>
      <c r="O59" s="56"/>
      <c r="P59" s="56"/>
      <c r="Q59" s="56"/>
      <c r="R59" s="56"/>
      <c r="S59" s="56"/>
      <c r="T59" s="56"/>
      <c r="U59" s="56"/>
      <c r="V59" s="56"/>
      <c r="W59" s="56"/>
      <c r="X59" s="56"/>
      <c r="Y59" s="56"/>
      <c r="Z59" s="56"/>
      <c r="AA59" s="56"/>
      <c r="AB59" s="56"/>
      <c r="AC59" s="56"/>
      <c r="AD59" s="56"/>
      <c r="AE59" s="56"/>
      <c r="AF59" s="56"/>
      <c r="AG59" s="56"/>
      <c r="AH59" s="56"/>
      <c r="AI59" s="56"/>
      <c r="AJ59" s="56"/>
      <c r="AK59" s="56"/>
      <c r="AL59" s="56"/>
      <c r="AM59" s="56"/>
      <c r="AN59" s="56"/>
      <c r="AO59" s="56"/>
      <c r="AP59" s="56"/>
      <c r="AQ59" s="56"/>
      <c r="AR59" s="56"/>
      <c r="AS59" s="56"/>
      <c r="AT59" s="56"/>
      <c r="AU59" s="56"/>
      <c r="AV59" s="56"/>
      <c r="AW59" s="56"/>
      <c r="AX59" s="56"/>
    </row>
    <row r="60" spans="1:50" ht="15" customHeight="1" x14ac:dyDescent="0.25">
      <c r="A60" s="56"/>
      <c r="B60" s="56"/>
      <c r="C60" s="105"/>
      <c r="D60" s="105"/>
      <c r="E60" s="56"/>
      <c r="F60" s="56"/>
      <c r="G60" s="52"/>
      <c r="H60" s="52"/>
      <c r="I60" s="52"/>
      <c r="J60" s="52"/>
      <c r="K60" s="56"/>
      <c r="L60" s="56"/>
      <c r="M60" s="56"/>
      <c r="N60" s="56"/>
      <c r="O60" s="56"/>
      <c r="P60" s="56"/>
      <c r="Q60" s="56"/>
      <c r="R60" s="56"/>
      <c r="S60" s="56"/>
      <c r="T60" s="56"/>
      <c r="U60" s="56"/>
      <c r="V60" s="56"/>
      <c r="W60" s="56"/>
      <c r="X60" s="56"/>
      <c r="Y60" s="56"/>
      <c r="Z60" s="56"/>
      <c r="AA60" s="56"/>
      <c r="AB60" s="56"/>
      <c r="AC60" s="56"/>
      <c r="AD60" s="56"/>
      <c r="AE60" s="56"/>
      <c r="AF60" s="56"/>
      <c r="AG60" s="56"/>
      <c r="AH60" s="56"/>
      <c r="AI60" s="56"/>
      <c r="AJ60" s="56"/>
      <c r="AK60" s="56"/>
      <c r="AL60" s="56"/>
      <c r="AM60" s="56"/>
      <c r="AN60" s="56"/>
      <c r="AO60" s="56"/>
      <c r="AP60" s="56"/>
      <c r="AQ60" s="56"/>
      <c r="AR60" s="56"/>
      <c r="AS60" s="56"/>
      <c r="AT60" s="56"/>
      <c r="AU60" s="56"/>
      <c r="AV60" s="56"/>
      <c r="AW60" s="56"/>
      <c r="AX60" s="56"/>
    </row>
    <row r="61" spans="1:50" ht="15" customHeight="1" x14ac:dyDescent="0.25">
      <c r="A61" s="56"/>
      <c r="B61" s="56"/>
      <c r="C61" s="105"/>
      <c r="D61" s="105"/>
      <c r="E61" s="56"/>
      <c r="F61" s="56"/>
      <c r="G61" s="52" t="s">
        <v>52</v>
      </c>
      <c r="H61" s="52"/>
      <c r="I61" s="52"/>
      <c r="J61" s="52"/>
      <c r="K61" s="56"/>
      <c r="L61" s="56"/>
      <c r="M61" s="56"/>
      <c r="N61" s="56"/>
      <c r="O61" s="56"/>
      <c r="P61" s="56"/>
      <c r="Q61" s="56"/>
      <c r="R61" s="56"/>
      <c r="S61" s="56"/>
      <c r="T61" s="56"/>
      <c r="U61" s="56"/>
      <c r="V61" s="56"/>
      <c r="W61" s="56"/>
      <c r="X61" s="56"/>
      <c r="Y61" s="56"/>
      <c r="Z61" s="56"/>
      <c r="AA61" s="56"/>
      <c r="AB61" s="56"/>
      <c r="AC61" s="56"/>
      <c r="AD61" s="56"/>
      <c r="AE61" s="56"/>
      <c r="AF61" s="56"/>
      <c r="AG61" s="56"/>
      <c r="AH61" s="56"/>
      <c r="AI61" s="56"/>
      <c r="AJ61" s="56"/>
      <c r="AK61" s="56"/>
      <c r="AL61" s="56"/>
      <c r="AM61" s="56"/>
      <c r="AN61" s="56"/>
      <c r="AO61" s="56"/>
      <c r="AP61" s="56"/>
      <c r="AQ61" s="56"/>
      <c r="AR61" s="56"/>
      <c r="AS61" s="56"/>
      <c r="AT61" s="56"/>
      <c r="AU61" s="56"/>
      <c r="AV61" s="56"/>
      <c r="AW61" s="56"/>
      <c r="AX61" s="56"/>
    </row>
    <row r="62" spans="1:50" ht="15" customHeight="1" x14ac:dyDescent="0.25">
      <c r="A62" s="48"/>
      <c r="B62" s="48"/>
      <c r="C62" s="48"/>
      <c r="D62" s="48"/>
      <c r="E62" s="56" t="str">
        <f t="shared" ref="E62:E69" si="10" xml:space="preserve"> E12</f>
        <v>Bonuses</v>
      </c>
      <c r="F62" s="56">
        <f t="shared" ref="F62:F69" ca="1" si="11" xml:space="preserve"> SUM( K12:AX12)</f>
        <v>56.192271301325711</v>
      </c>
      <c r="G62" s="249">
        <f t="shared" ref="G62:G69" ca="1" si="12" xml:space="preserve"> F62 / $F$72</f>
        <v>2.8040910624255555E-3</v>
      </c>
      <c r="H62" s="48"/>
      <c r="I62" s="48"/>
      <c r="J62" s="48"/>
      <c r="K62" s="48"/>
      <c r="L62" s="48"/>
      <c r="M62" s="48"/>
      <c r="N62" s="48"/>
      <c r="O62" s="48"/>
      <c r="P62" s="48"/>
      <c r="Q62" s="48"/>
      <c r="R62" s="48"/>
      <c r="S62" s="48"/>
      <c r="T62" s="48"/>
      <c r="U62" s="48"/>
      <c r="V62" s="48"/>
      <c r="W62" s="48"/>
      <c r="X62" s="48"/>
      <c r="Y62" s="48"/>
      <c r="Z62" s="48"/>
      <c r="AA62" s="48"/>
      <c r="AB62" s="48"/>
      <c r="AC62" s="48"/>
      <c r="AD62" s="48"/>
      <c r="AE62" s="48"/>
      <c r="AF62" s="48"/>
      <c r="AG62" s="48"/>
      <c r="AH62" s="48"/>
      <c r="AI62" s="48"/>
      <c r="AJ62" s="48"/>
      <c r="AK62" s="48"/>
      <c r="AL62" s="48"/>
      <c r="AM62" s="48"/>
      <c r="AN62" s="48"/>
      <c r="AO62" s="48"/>
      <c r="AP62" s="48"/>
      <c r="AQ62" s="48"/>
      <c r="AR62" s="48"/>
      <c r="AS62" s="48"/>
      <c r="AT62" s="48"/>
      <c r="AU62" s="48"/>
      <c r="AV62" s="48"/>
      <c r="AW62" s="48"/>
      <c r="AX62" s="48"/>
    </row>
    <row r="63" spans="1:50" ht="15" customHeight="1" x14ac:dyDescent="0.25">
      <c r="A63" s="56"/>
      <c r="B63" s="56"/>
      <c r="C63" s="105"/>
      <c r="D63" s="105"/>
      <c r="E63" s="56" t="str">
        <f t="shared" si="10"/>
        <v>Royalty</v>
      </c>
      <c r="F63" s="56">
        <f t="shared" ca="1" si="11"/>
        <v>8820.6047726449069</v>
      </c>
      <c r="G63" s="249">
        <f t="shared" ca="1" si="12"/>
        <v>0.44016336117700677</v>
      </c>
      <c r="H63" s="52"/>
      <c r="I63" s="52"/>
      <c r="J63" s="52"/>
      <c r="K63" s="56"/>
      <c r="L63" s="56"/>
      <c r="M63" s="56"/>
      <c r="N63" s="56"/>
      <c r="O63" s="56"/>
      <c r="P63" s="56"/>
      <c r="Q63" s="56"/>
      <c r="R63" s="56"/>
      <c r="S63" s="56"/>
      <c r="T63" s="56"/>
      <c r="U63" s="56"/>
      <c r="V63" s="56"/>
      <c r="W63" s="56"/>
      <c r="X63" s="56"/>
      <c r="Y63" s="56"/>
      <c r="Z63" s="56"/>
      <c r="AA63" s="56"/>
      <c r="AB63" s="56"/>
      <c r="AC63" s="56"/>
      <c r="AD63" s="56"/>
      <c r="AE63" s="56"/>
      <c r="AF63" s="56"/>
      <c r="AG63" s="56"/>
      <c r="AH63" s="56"/>
      <c r="AI63" s="56"/>
      <c r="AJ63" s="56"/>
      <c r="AK63" s="56"/>
      <c r="AL63" s="56"/>
      <c r="AM63" s="56"/>
      <c r="AN63" s="56"/>
      <c r="AO63" s="56"/>
      <c r="AP63" s="56"/>
      <c r="AQ63" s="56"/>
      <c r="AR63" s="56"/>
      <c r="AS63" s="56"/>
      <c r="AT63" s="56"/>
      <c r="AU63" s="56"/>
      <c r="AV63" s="56"/>
      <c r="AW63" s="56"/>
      <c r="AX63" s="56"/>
    </row>
    <row r="64" spans="1:50" ht="15" customHeight="1" x14ac:dyDescent="0.25">
      <c r="A64" s="56"/>
      <c r="B64" s="56"/>
      <c r="C64" s="105"/>
      <c r="D64" s="105"/>
      <c r="E64" s="56" t="str">
        <f t="shared" si="10"/>
        <v>Carbon tax</v>
      </c>
      <c r="F64" s="56">
        <f t="shared" ca="1" si="11"/>
        <v>788.47391027310312</v>
      </c>
      <c r="G64" s="249">
        <f t="shared" ca="1" si="12"/>
        <v>3.9346205333052199E-2</v>
      </c>
      <c r="H64" s="52"/>
      <c r="I64" s="52"/>
      <c r="J64" s="52"/>
      <c r="K64" s="56"/>
      <c r="L64" s="56"/>
      <c r="M64" s="56"/>
      <c r="N64" s="56"/>
      <c r="O64" s="56"/>
      <c r="P64" s="56"/>
      <c r="Q64" s="56"/>
      <c r="R64" s="56"/>
      <c r="S64" s="56"/>
      <c r="T64" s="56"/>
      <c r="U64" s="56"/>
      <c r="V64" s="56"/>
      <c r="W64" s="56"/>
      <c r="X64" s="56"/>
      <c r="Y64" s="56"/>
      <c r="Z64" s="56"/>
      <c r="AA64" s="56"/>
      <c r="AB64" s="56"/>
      <c r="AC64" s="56"/>
      <c r="AD64" s="56"/>
      <c r="AE64" s="56"/>
      <c r="AF64" s="56"/>
      <c r="AG64" s="56"/>
      <c r="AH64" s="56"/>
      <c r="AI64" s="56"/>
      <c r="AJ64" s="56"/>
      <c r="AK64" s="56"/>
      <c r="AL64" s="56"/>
      <c r="AM64" s="56"/>
      <c r="AN64" s="56"/>
      <c r="AO64" s="56"/>
      <c r="AP64" s="56"/>
      <c r="AQ64" s="56"/>
      <c r="AR64" s="56"/>
      <c r="AS64" s="56"/>
      <c r="AT64" s="56"/>
      <c r="AU64" s="56"/>
      <c r="AV64" s="56"/>
      <c r="AW64" s="56"/>
      <c r="AX64" s="56"/>
    </row>
    <row r="65" spans="1:50" ht="15" customHeight="1" x14ac:dyDescent="0.25">
      <c r="A65" s="48"/>
      <c r="B65" s="48"/>
      <c r="C65" s="48"/>
      <c r="D65" s="48"/>
      <c r="E65" s="56" t="str">
        <f t="shared" si="10"/>
        <v>PSC: Government profit oil</v>
      </c>
      <c r="F65" s="56">
        <f t="shared" ca="1" si="11"/>
        <v>0</v>
      </c>
      <c r="G65" s="249">
        <f t="shared" ca="1" si="12"/>
        <v>0</v>
      </c>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48"/>
      <c r="AI65" s="48"/>
      <c r="AJ65" s="48"/>
      <c r="AK65" s="48"/>
      <c r="AL65" s="48"/>
      <c r="AM65" s="48"/>
      <c r="AN65" s="48"/>
      <c r="AO65" s="48"/>
      <c r="AP65" s="48"/>
      <c r="AQ65" s="48"/>
      <c r="AR65" s="48"/>
      <c r="AS65" s="48"/>
      <c r="AT65" s="48"/>
      <c r="AU65" s="48"/>
      <c r="AV65" s="48"/>
      <c r="AW65" s="48"/>
      <c r="AX65" s="48"/>
    </row>
    <row r="66" spans="1:50" ht="15" customHeight="1" x14ac:dyDescent="0.25">
      <c r="A66" s="48"/>
      <c r="B66" s="48"/>
      <c r="C66" s="48"/>
      <c r="D66" s="48"/>
      <c r="E66" s="56" t="str">
        <f t="shared" si="10"/>
        <v>CIT paid: IOC</v>
      </c>
      <c r="F66" s="56">
        <f t="shared" ca="1" si="11"/>
        <v>5284.9099061807456</v>
      </c>
      <c r="G66" s="249">
        <f t="shared" ca="1" si="12"/>
        <v>0.26372610130276197</v>
      </c>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48"/>
      <c r="AI66" s="48"/>
      <c r="AJ66" s="48"/>
      <c r="AK66" s="48"/>
      <c r="AL66" s="48"/>
      <c r="AM66" s="48"/>
      <c r="AN66" s="48"/>
      <c r="AO66" s="48"/>
      <c r="AP66" s="48"/>
      <c r="AQ66" s="48"/>
      <c r="AR66" s="48"/>
      <c r="AS66" s="48"/>
      <c r="AT66" s="48"/>
      <c r="AU66" s="48"/>
      <c r="AV66" s="48"/>
      <c r="AW66" s="48"/>
      <c r="AX66" s="48"/>
    </row>
    <row r="67" spans="1:50" ht="15" customHeight="1" x14ac:dyDescent="0.25">
      <c r="A67" s="48"/>
      <c r="B67" s="48"/>
      <c r="C67" s="48"/>
      <c r="D67" s="48"/>
      <c r="E67" s="56" t="str">
        <f t="shared" si="10"/>
        <v>Resource rent tax: IOC</v>
      </c>
      <c r="F67" s="56">
        <f t="shared" ca="1" si="11"/>
        <v>0</v>
      </c>
      <c r="G67" s="249">
        <f t="shared" ca="1" si="12"/>
        <v>0</v>
      </c>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48"/>
      <c r="AI67" s="48"/>
      <c r="AJ67" s="48"/>
      <c r="AK67" s="48"/>
      <c r="AL67" s="48"/>
      <c r="AM67" s="48"/>
      <c r="AN67" s="48"/>
      <c r="AO67" s="48"/>
      <c r="AP67" s="48"/>
      <c r="AQ67" s="48"/>
      <c r="AR67" s="48"/>
      <c r="AS67" s="48"/>
      <c r="AT67" s="48"/>
      <c r="AU67" s="48"/>
      <c r="AV67" s="48"/>
      <c r="AW67" s="48"/>
      <c r="AX67" s="48"/>
    </row>
    <row r="68" spans="1:50" ht="15" customHeight="1" x14ac:dyDescent="0.25">
      <c r="A68" s="48"/>
      <c r="B68" s="48"/>
      <c r="C68" s="48"/>
      <c r="D68" s="48"/>
      <c r="E68" s="56" t="str">
        <f t="shared" si="10"/>
        <v>Dividend withholding tax</v>
      </c>
      <c r="F68" s="56">
        <f t="shared" ca="1" si="11"/>
        <v>1013.9780597960219</v>
      </c>
      <c r="G68" s="249">
        <f t="shared" ca="1" si="12"/>
        <v>5.0599250557479256E-2</v>
      </c>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48"/>
      <c r="AI68" s="48"/>
      <c r="AJ68" s="48"/>
      <c r="AK68" s="48"/>
      <c r="AL68" s="48"/>
      <c r="AM68" s="48"/>
      <c r="AN68" s="48"/>
      <c r="AO68" s="48"/>
      <c r="AP68" s="48"/>
      <c r="AQ68" s="48"/>
      <c r="AR68" s="48"/>
      <c r="AS68" s="48"/>
      <c r="AT68" s="48"/>
      <c r="AU68" s="48"/>
      <c r="AV68" s="48"/>
      <c r="AW68" s="48"/>
      <c r="AX68" s="48"/>
    </row>
    <row r="69" spans="1:50" ht="15" customHeight="1" x14ac:dyDescent="0.25">
      <c r="A69" s="48"/>
      <c r="B69" s="48"/>
      <c r="C69" s="48"/>
      <c r="D69" s="48"/>
      <c r="E69" s="56" t="str">
        <f t="shared" si="10"/>
        <v>Interest withholding tax</v>
      </c>
      <c r="F69" s="56">
        <f t="shared" ca="1" si="11"/>
        <v>92.245313806865923</v>
      </c>
      <c r="G69" s="249">
        <f t="shared" ca="1" si="12"/>
        <v>4.6031999420242499E-3</v>
      </c>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48"/>
      <c r="AI69" s="48"/>
      <c r="AJ69" s="48"/>
      <c r="AK69" s="48"/>
      <c r="AL69" s="48"/>
      <c r="AM69" s="48"/>
      <c r="AN69" s="48"/>
      <c r="AO69" s="48"/>
      <c r="AP69" s="48"/>
      <c r="AQ69" s="48"/>
      <c r="AR69" s="48"/>
      <c r="AS69" s="48"/>
      <c r="AT69" s="48"/>
      <c r="AU69" s="48"/>
      <c r="AV69" s="48"/>
      <c r="AW69" s="48"/>
      <c r="AX69" s="48"/>
    </row>
    <row r="70" spans="1:50" ht="15" customHeight="1" x14ac:dyDescent="0.25">
      <c r="A70" s="48"/>
      <c r="B70" s="48"/>
      <c r="C70" s="48"/>
      <c r="D70" s="48"/>
      <c r="E70" s="56" t="str">
        <f xml:space="preserve"> E20</f>
        <v>VAT cashflow: government</v>
      </c>
      <c r="F70" s="56">
        <f ca="1" xml:space="preserve"> SUM( K20:AX20)</f>
        <v>0</v>
      </c>
      <c r="G70" s="249">
        <f ca="1" xml:space="preserve"> F70 / $F$72</f>
        <v>0</v>
      </c>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c r="AV70" s="48"/>
      <c r="AW70" s="48"/>
      <c r="AX70" s="48"/>
    </row>
    <row r="71" spans="1:50" ht="15" customHeight="1" x14ac:dyDescent="0.25">
      <c r="A71" s="48"/>
      <c r="B71" s="48"/>
      <c r="C71" s="48"/>
      <c r="D71" s="48"/>
      <c r="E71" s="56" t="str">
        <f xml:space="preserve"> E22</f>
        <v>SOC net cash flow before tax, after carried interest, including share of lender cashflows</v>
      </c>
      <c r="F71" s="56">
        <f ca="1" xml:space="preserve"> SUM( K22:AX22)</f>
        <v>3982.9846625612686</v>
      </c>
      <c r="G71" s="249">
        <f ca="1" xml:space="preserve"> F71 / $F$72</f>
        <v>0.19875779062524965</v>
      </c>
      <c r="H71" s="48"/>
      <c r="I71" s="48"/>
      <c r="J71" s="48"/>
      <c r="K71" s="48"/>
      <c r="L71" s="48"/>
      <c r="M71" s="48"/>
      <c r="N71" s="48"/>
      <c r="O71" s="48"/>
      <c r="P71" s="48"/>
      <c r="Q71" s="48"/>
      <c r="R71" s="48"/>
      <c r="S71" s="48"/>
      <c r="T71" s="48"/>
      <c r="U71" s="48"/>
      <c r="V71" s="48"/>
      <c r="W71" s="48"/>
      <c r="X71" s="48"/>
      <c r="Y71" s="48"/>
      <c r="Z71" s="48"/>
      <c r="AA71" s="48"/>
      <c r="AB71" s="48"/>
      <c r="AC71" s="48"/>
      <c r="AD71" s="48"/>
      <c r="AE71" s="48"/>
      <c r="AF71" s="48"/>
      <c r="AG71" s="48"/>
      <c r="AH71" s="48"/>
      <c r="AI71" s="48"/>
      <c r="AJ71" s="48"/>
      <c r="AK71" s="48"/>
      <c r="AL71" s="48"/>
      <c r="AM71" s="48"/>
      <c r="AN71" s="48"/>
      <c r="AO71" s="48"/>
      <c r="AP71" s="48"/>
      <c r="AQ71" s="48"/>
      <c r="AR71" s="48"/>
      <c r="AS71" s="48"/>
      <c r="AT71" s="48"/>
      <c r="AU71" s="48"/>
      <c r="AV71" s="48"/>
      <c r="AW71" s="48"/>
      <c r="AX71" s="48"/>
    </row>
    <row r="72" spans="1:50" ht="15" customHeight="1" x14ac:dyDescent="0.25">
      <c r="A72" s="48"/>
      <c r="B72" s="48"/>
      <c r="C72" s="48"/>
      <c r="D72" s="48"/>
      <c r="E72" s="56" t="str">
        <f xml:space="preserve"> E23</f>
        <v>Government revenues including participation</v>
      </c>
      <c r="F72" s="56">
        <f ca="1" xml:space="preserve"> SUM( K23:AX23)</f>
        <v>20039.388896564244</v>
      </c>
      <c r="G72" s="65">
        <f ca="1" xml:space="preserve"> F72 / $F$72</f>
        <v>1</v>
      </c>
      <c r="H72" s="48"/>
      <c r="I72" s="48"/>
      <c r="J72" s="48"/>
      <c r="K72" s="48"/>
      <c r="L72" s="48"/>
      <c r="M72" s="48"/>
      <c r="N72" s="48"/>
      <c r="O72" s="48"/>
      <c r="P72" s="48"/>
      <c r="Q72" s="48"/>
      <c r="R72" s="48"/>
      <c r="S72" s="48"/>
      <c r="T72" s="48"/>
      <c r="U72" s="48"/>
      <c r="V72" s="48"/>
      <c r="W72" s="48"/>
      <c r="X72" s="48"/>
      <c r="Y72" s="48"/>
      <c r="Z72" s="48"/>
      <c r="AA72" s="48"/>
      <c r="AB72" s="48"/>
      <c r="AC72" s="48"/>
      <c r="AD72" s="48"/>
      <c r="AE72" s="48"/>
      <c r="AF72" s="48"/>
      <c r="AG72" s="48"/>
      <c r="AH72" s="48"/>
      <c r="AI72" s="48"/>
      <c r="AJ72" s="48"/>
      <c r="AK72" s="48"/>
      <c r="AL72" s="48"/>
      <c r="AM72" s="48"/>
      <c r="AN72" s="48"/>
      <c r="AO72" s="48"/>
      <c r="AP72" s="48"/>
      <c r="AQ72" s="48"/>
      <c r="AR72" s="48"/>
      <c r="AS72" s="48"/>
      <c r="AT72" s="48"/>
      <c r="AU72" s="48"/>
      <c r="AV72" s="48"/>
      <c r="AW72" s="48"/>
      <c r="AX72" s="48"/>
    </row>
    <row r="73" spans="1:50" x14ac:dyDescent="0.25">
      <c r="A73" s="48"/>
      <c r="B73" s="48"/>
      <c r="C73" s="48"/>
      <c r="D73" s="48"/>
      <c r="E73" s="56"/>
      <c r="F73" s="48"/>
      <c r="G73" s="48"/>
      <c r="H73" s="48"/>
      <c r="I73" s="48"/>
      <c r="J73" s="48"/>
      <c r="K73" s="48"/>
      <c r="L73" s="48"/>
      <c r="M73" s="48"/>
      <c r="N73" s="48"/>
      <c r="O73" s="48"/>
      <c r="P73" s="48"/>
      <c r="Q73" s="48"/>
      <c r="R73" s="48"/>
      <c r="S73" s="48"/>
      <c r="T73" s="48"/>
      <c r="U73" s="48"/>
      <c r="V73" s="48"/>
      <c r="W73" s="48"/>
      <c r="X73" s="48"/>
      <c r="Y73" s="48"/>
      <c r="Z73" s="48"/>
      <c r="AA73" s="48"/>
      <c r="AB73" s="48"/>
      <c r="AC73" s="48"/>
      <c r="AD73" s="48"/>
      <c r="AE73" s="48"/>
      <c r="AF73" s="48"/>
      <c r="AG73" s="48"/>
      <c r="AH73" s="48"/>
      <c r="AI73" s="48"/>
      <c r="AJ73" s="48"/>
      <c r="AK73" s="48"/>
      <c r="AL73" s="48"/>
      <c r="AM73" s="48"/>
      <c r="AN73" s="48"/>
      <c r="AO73" s="48"/>
      <c r="AP73" s="48"/>
      <c r="AQ73" s="48"/>
      <c r="AR73" s="48"/>
      <c r="AS73" s="48"/>
      <c r="AT73" s="48"/>
      <c r="AU73" s="48"/>
      <c r="AV73" s="48"/>
      <c r="AW73" s="48"/>
      <c r="AX73" s="48"/>
    </row>
    <row r="74" spans="1:50" ht="15" customHeight="1" x14ac:dyDescent="0.25">
      <c r="A74" s="99" t="str">
        <f xml:space="preserve"> Translate!E$756</f>
        <v>Project revenues and costs</v>
      </c>
      <c r="B74" s="99"/>
      <c r="C74" s="99"/>
      <c r="D74" s="99"/>
      <c r="E74" s="101"/>
      <c r="F74" s="99"/>
      <c r="G74" s="99"/>
      <c r="H74" s="99"/>
      <c r="I74" s="99"/>
      <c r="J74" s="99"/>
      <c r="K74" s="99"/>
      <c r="L74" s="99"/>
      <c r="M74" s="99"/>
      <c r="N74" s="99"/>
      <c r="O74" s="99"/>
      <c r="P74" s="99"/>
      <c r="Q74" s="99"/>
      <c r="R74" s="99"/>
      <c r="S74" s="99"/>
      <c r="T74" s="99"/>
      <c r="U74" s="99"/>
      <c r="V74" s="99"/>
      <c r="W74" s="99"/>
      <c r="X74" s="99"/>
      <c r="Y74" s="99"/>
      <c r="Z74" s="99"/>
      <c r="AA74" s="99"/>
      <c r="AB74" s="99"/>
      <c r="AC74" s="99"/>
      <c r="AD74" s="99"/>
      <c r="AE74" s="99"/>
      <c r="AF74" s="99"/>
      <c r="AG74" s="99"/>
      <c r="AH74" s="99"/>
      <c r="AI74" s="99"/>
      <c r="AJ74" s="99"/>
      <c r="AK74" s="99"/>
      <c r="AL74" s="99"/>
      <c r="AM74" s="99"/>
      <c r="AN74" s="99"/>
      <c r="AO74" s="99"/>
      <c r="AP74" s="99"/>
      <c r="AQ74" s="99"/>
      <c r="AR74" s="99"/>
      <c r="AS74" s="99"/>
      <c r="AT74" s="99"/>
      <c r="AU74" s="99"/>
      <c r="AV74" s="99"/>
      <c r="AW74" s="99"/>
      <c r="AX74" s="99"/>
    </row>
    <row r="75" spans="1:50" ht="15" customHeight="1" x14ac:dyDescent="0.25">
      <c r="A75" s="89"/>
      <c r="B75" s="89"/>
      <c r="C75" s="89"/>
      <c r="D75" s="89"/>
      <c r="E75" s="89"/>
      <c r="F75" s="89"/>
      <c r="G75" s="89"/>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89"/>
      <c r="AH75" s="89"/>
      <c r="AI75" s="89"/>
      <c r="AJ75" s="89"/>
      <c r="AK75" s="89"/>
      <c r="AL75" s="89"/>
      <c r="AM75" s="89"/>
      <c r="AN75" s="89"/>
      <c r="AO75" s="89"/>
      <c r="AP75" s="89"/>
      <c r="AQ75" s="89"/>
      <c r="AR75" s="89"/>
      <c r="AS75" s="89"/>
      <c r="AT75" s="89"/>
      <c r="AU75" s="89"/>
      <c r="AV75" s="89"/>
      <c r="AW75" s="89"/>
      <c r="AX75" s="89"/>
    </row>
    <row r="76" spans="1:50" ht="15" customHeight="1" x14ac:dyDescent="0.25">
      <c r="A76" s="130"/>
      <c r="B76" s="131"/>
      <c r="C76" s="133"/>
      <c r="D76" s="133"/>
      <c r="E76" s="134" t="str">
        <f xml:space="preserve"> Translate!E$640</f>
        <v>Chart title</v>
      </c>
      <c r="F76" s="298" t="str">
        <f xml:space="preserve"> A74</f>
        <v>Project revenues and costs</v>
      </c>
      <c r="G76" s="134"/>
      <c r="H76" s="134"/>
      <c r="I76" s="134"/>
      <c r="J76" s="134"/>
      <c r="K76" s="143"/>
      <c r="L76" s="133"/>
      <c r="M76" s="144"/>
      <c r="N76" s="144"/>
      <c r="O76" s="144"/>
      <c r="P76" s="143"/>
      <c r="Q76" s="143"/>
      <c r="R76" s="143"/>
      <c r="S76" s="143"/>
      <c r="T76" s="143"/>
      <c r="U76" s="143"/>
      <c r="V76" s="143"/>
      <c r="W76" s="143"/>
      <c r="X76" s="143"/>
      <c r="Y76" s="143"/>
      <c r="Z76" s="143"/>
      <c r="AA76" s="143"/>
      <c r="AB76" s="143"/>
      <c r="AC76" s="143"/>
      <c r="AD76" s="143"/>
      <c r="AE76" s="143"/>
      <c r="AF76" s="143"/>
      <c r="AG76" s="143"/>
      <c r="AH76" s="143"/>
      <c r="AI76" s="143"/>
      <c r="AJ76" s="143"/>
      <c r="AK76" s="143"/>
      <c r="AL76" s="143"/>
      <c r="AM76" s="143"/>
      <c r="AN76" s="143"/>
      <c r="AO76" s="143"/>
      <c r="AP76" s="143"/>
      <c r="AQ76" s="143"/>
      <c r="AR76" s="143"/>
      <c r="AS76" s="143"/>
      <c r="AT76" s="143"/>
      <c r="AU76" s="143"/>
      <c r="AV76" s="143"/>
      <c r="AW76" s="143"/>
      <c r="AX76" s="143"/>
    </row>
    <row r="77" spans="1:50" ht="15" customHeight="1" x14ac:dyDescent="0.25">
      <c r="A77" s="48"/>
      <c r="B77" s="48"/>
      <c r="C77" s="48"/>
      <c r="D77" s="48"/>
      <c r="E77" s="134" t="str">
        <f xml:space="preserve"> Translate!E$643</f>
        <v>Horizontal axis</v>
      </c>
      <c r="F77" s="63" t="str">
        <f xml:space="preserve"> G81</f>
        <v>Year</v>
      </c>
      <c r="G77" s="48"/>
      <c r="H77" s="48"/>
      <c r="I77" s="48"/>
      <c r="J77" s="48"/>
      <c r="K77" s="48"/>
      <c r="L77" s="48"/>
      <c r="M77" s="48"/>
      <c r="N77" s="48"/>
      <c r="O77" s="48"/>
      <c r="P77" s="48"/>
      <c r="Q77" s="48"/>
      <c r="R77" s="48"/>
      <c r="S77" s="48"/>
      <c r="T77" s="48"/>
      <c r="U77" s="48"/>
      <c r="V77" s="48"/>
      <c r="W77" s="48"/>
      <c r="X77" s="48"/>
      <c r="Y77" s="48"/>
      <c r="Z77" s="48"/>
      <c r="AA77" s="48"/>
      <c r="AB77" s="48"/>
      <c r="AC77" s="48"/>
      <c r="AD77" s="48"/>
      <c r="AE77" s="48"/>
      <c r="AF77" s="48"/>
      <c r="AG77" s="48"/>
      <c r="AH77" s="48"/>
      <c r="AI77" s="48"/>
      <c r="AJ77" s="48"/>
      <c r="AK77" s="48"/>
      <c r="AL77" s="48"/>
      <c r="AM77" s="48"/>
      <c r="AN77" s="48"/>
      <c r="AO77" s="48"/>
      <c r="AP77" s="48"/>
      <c r="AQ77" s="48"/>
      <c r="AR77" s="48"/>
      <c r="AS77" s="48"/>
      <c r="AT77" s="48"/>
      <c r="AU77" s="48"/>
      <c r="AV77" s="48"/>
      <c r="AW77" s="48"/>
      <c r="AX77" s="48"/>
    </row>
    <row r="78" spans="1:50" ht="15" customHeight="1" x14ac:dyDescent="0.25">
      <c r="A78" s="48"/>
      <c r="B78" s="48"/>
      <c r="C78" s="48"/>
      <c r="D78" s="48"/>
      <c r="E78" s="134" t="str">
        <f xml:space="preserve"> Translate!E$641</f>
        <v>Vertical axis 1</v>
      </c>
      <c r="F78" s="63" t="str">
        <f xml:space="preserve"> G83</f>
        <v>US$ mn 2021</v>
      </c>
      <c r="G78" s="48"/>
      <c r="H78" s="48"/>
      <c r="I78" s="48"/>
      <c r="J78" s="48"/>
      <c r="K78" s="48"/>
      <c r="L78" s="48"/>
      <c r="M78" s="48"/>
      <c r="N78" s="48"/>
      <c r="O78" s="48"/>
      <c r="P78" s="48"/>
      <c r="Q78" s="48"/>
      <c r="R78" s="48"/>
      <c r="S78" s="48"/>
      <c r="T78" s="48"/>
      <c r="U78" s="48"/>
      <c r="V78" s="48"/>
      <c r="W78" s="48"/>
      <c r="X78" s="48"/>
      <c r="Y78" s="48"/>
      <c r="Z78" s="48"/>
      <c r="AA78" s="48"/>
      <c r="AB78" s="48"/>
      <c r="AC78" s="48"/>
      <c r="AD78" s="48"/>
      <c r="AE78" s="48"/>
      <c r="AF78" s="48"/>
      <c r="AG78" s="48"/>
      <c r="AH78" s="48"/>
      <c r="AI78" s="48"/>
      <c r="AJ78" s="48"/>
      <c r="AK78" s="48"/>
      <c r="AL78" s="48"/>
      <c r="AM78" s="48"/>
      <c r="AN78" s="48"/>
      <c r="AO78" s="48"/>
      <c r="AP78" s="48"/>
      <c r="AQ78" s="48"/>
      <c r="AR78" s="48"/>
      <c r="AS78" s="48"/>
      <c r="AT78" s="48"/>
      <c r="AU78" s="48"/>
      <c r="AV78" s="48"/>
      <c r="AW78" s="48"/>
      <c r="AX78" s="48"/>
    </row>
    <row r="79" spans="1:50" ht="15" customHeight="1" x14ac:dyDescent="0.25">
      <c r="A79" s="48"/>
      <c r="B79" s="48"/>
      <c r="C79" s="48"/>
      <c r="D79" s="48"/>
      <c r="E79" s="134" t="str">
        <f xml:space="preserve"> Translate!E$642</f>
        <v>Vertical axis 2</v>
      </c>
      <c r="F79" s="63"/>
      <c r="G79" s="48"/>
      <c r="H79" s="48"/>
      <c r="I79" s="48"/>
      <c r="J79" s="48"/>
      <c r="K79" s="48"/>
      <c r="L79" s="48"/>
      <c r="M79" s="48"/>
      <c r="N79" s="48"/>
      <c r="O79" s="48"/>
      <c r="P79" s="48"/>
      <c r="Q79" s="48"/>
      <c r="R79" s="48"/>
      <c r="S79" s="48"/>
      <c r="T79" s="48"/>
      <c r="U79" s="48"/>
      <c r="V79" s="48"/>
      <c r="W79" s="48"/>
      <c r="X79" s="48"/>
      <c r="Y79" s="48"/>
      <c r="Z79" s="48"/>
      <c r="AA79" s="48"/>
      <c r="AB79" s="48"/>
      <c r="AC79" s="48"/>
      <c r="AD79" s="48"/>
      <c r="AE79" s="48"/>
      <c r="AF79" s="48"/>
      <c r="AG79" s="48"/>
      <c r="AH79" s="48"/>
      <c r="AI79" s="48"/>
      <c r="AJ79" s="48"/>
      <c r="AK79" s="48"/>
      <c r="AL79" s="48"/>
      <c r="AM79" s="48"/>
      <c r="AN79" s="48"/>
      <c r="AO79" s="48"/>
      <c r="AP79" s="48"/>
      <c r="AQ79" s="48"/>
      <c r="AR79" s="48"/>
      <c r="AS79" s="48"/>
      <c r="AT79" s="48"/>
      <c r="AU79" s="48"/>
      <c r="AV79" s="48"/>
      <c r="AW79" s="48"/>
      <c r="AX79" s="48"/>
    </row>
    <row r="80" spans="1:50" ht="15" customHeight="1" x14ac:dyDescent="0.25">
      <c r="A80" s="48"/>
      <c r="B80" s="48"/>
      <c r="C80" s="48"/>
      <c r="D80" s="48"/>
      <c r="E80" s="48"/>
      <c r="F80" s="48"/>
      <c r="G80" s="48"/>
      <c r="H80" s="48"/>
      <c r="I80" s="48"/>
      <c r="J80" s="48"/>
      <c r="K80" s="48"/>
      <c r="L80" s="48"/>
      <c r="M80" s="48"/>
      <c r="N80" s="48"/>
      <c r="O80" s="48"/>
      <c r="P80" s="48"/>
      <c r="Q80" s="48"/>
      <c r="R80" s="48"/>
      <c r="S80" s="48"/>
      <c r="T80" s="48"/>
      <c r="U80" s="48"/>
      <c r="V80" s="48"/>
      <c r="W80" s="48"/>
      <c r="X80" s="48"/>
      <c r="Y80" s="48"/>
      <c r="Z80" s="48"/>
      <c r="AA80" s="48"/>
      <c r="AB80" s="48"/>
      <c r="AC80" s="48"/>
      <c r="AD80" s="48"/>
      <c r="AE80" s="48"/>
      <c r="AF80" s="48"/>
      <c r="AG80" s="48"/>
      <c r="AH80" s="48"/>
      <c r="AI80" s="48"/>
      <c r="AJ80" s="48"/>
      <c r="AK80" s="48"/>
      <c r="AL80" s="48"/>
      <c r="AM80" s="48"/>
      <c r="AN80" s="48"/>
      <c r="AO80" s="48"/>
      <c r="AP80" s="48"/>
      <c r="AQ80" s="48"/>
      <c r="AR80" s="48"/>
      <c r="AS80" s="48"/>
      <c r="AT80" s="48"/>
      <c r="AU80" s="48"/>
      <c r="AV80" s="48"/>
      <c r="AW80" s="48"/>
      <c r="AX80" s="48"/>
    </row>
    <row r="81" spans="1:50" s="741" customFormat="1" ht="15" customHeight="1" x14ac:dyDescent="0.25">
      <c r="A81" s="890"/>
      <c r="B81" s="890"/>
      <c r="C81" s="890"/>
      <c r="D81" s="890"/>
      <c r="E81" s="890" t="str">
        <f xml:space="preserve"> ProjectCashflows!E$34</f>
        <v>Model calendar years</v>
      </c>
      <c r="F81" s="890">
        <f xml:space="preserve"> ProjectCashflows!F$34</f>
        <v>0</v>
      </c>
      <c r="G81" s="890" t="str">
        <f xml:space="preserve"> ProjectCashflows!G$34</f>
        <v>Year</v>
      </c>
      <c r="H81" s="890">
        <f xml:space="preserve"> ProjectCashflows!H$34</f>
        <v>0</v>
      </c>
      <c r="I81" s="890">
        <f xml:space="preserve"> ProjectCashflows!I$34</f>
        <v>0</v>
      </c>
      <c r="J81" s="890">
        <f xml:space="preserve"> ProjectCashflows!J$34</f>
        <v>0</v>
      </c>
      <c r="K81" s="890">
        <f xml:space="preserve"> ProjectCashflows!K$34</f>
        <v>2021</v>
      </c>
      <c r="L81" s="890">
        <f xml:space="preserve"> ProjectCashflows!L$34</f>
        <v>2022</v>
      </c>
      <c r="M81" s="890">
        <f xml:space="preserve"> ProjectCashflows!M$34</f>
        <v>2023</v>
      </c>
      <c r="N81" s="890">
        <f xml:space="preserve"> ProjectCashflows!N$34</f>
        <v>2024</v>
      </c>
      <c r="O81" s="890">
        <f xml:space="preserve"> ProjectCashflows!O$34</f>
        <v>2025</v>
      </c>
      <c r="P81" s="890">
        <f xml:space="preserve"> ProjectCashflows!P$34</f>
        <v>2026</v>
      </c>
      <c r="Q81" s="890">
        <f xml:space="preserve"> ProjectCashflows!Q$34</f>
        <v>2027</v>
      </c>
      <c r="R81" s="890">
        <f xml:space="preserve"> ProjectCashflows!R$34</f>
        <v>2028</v>
      </c>
      <c r="S81" s="890">
        <f xml:space="preserve"> ProjectCashflows!S$34</f>
        <v>2029</v>
      </c>
      <c r="T81" s="890">
        <f xml:space="preserve"> ProjectCashflows!T$34</f>
        <v>2030</v>
      </c>
      <c r="U81" s="890">
        <f xml:space="preserve"> ProjectCashflows!U$34</f>
        <v>2031</v>
      </c>
      <c r="V81" s="890">
        <f xml:space="preserve"> ProjectCashflows!V$34</f>
        <v>2032</v>
      </c>
      <c r="W81" s="890">
        <f xml:space="preserve"> ProjectCashflows!W$34</f>
        <v>2033</v>
      </c>
      <c r="X81" s="890">
        <f xml:space="preserve"> ProjectCashflows!X$34</f>
        <v>2034</v>
      </c>
      <c r="Y81" s="890">
        <f xml:space="preserve"> ProjectCashflows!Y$34</f>
        <v>2035</v>
      </c>
      <c r="Z81" s="890">
        <f xml:space="preserve"> ProjectCashflows!Z$34</f>
        <v>2036</v>
      </c>
      <c r="AA81" s="890">
        <f xml:space="preserve"> ProjectCashflows!AA$34</f>
        <v>2037</v>
      </c>
      <c r="AB81" s="890">
        <f xml:space="preserve"> ProjectCashflows!AB$34</f>
        <v>2038</v>
      </c>
      <c r="AC81" s="890">
        <f xml:space="preserve"> ProjectCashflows!AC$34</f>
        <v>2039</v>
      </c>
      <c r="AD81" s="890">
        <f xml:space="preserve"> ProjectCashflows!AD$34</f>
        <v>2040</v>
      </c>
      <c r="AE81" s="890">
        <f xml:space="preserve"> ProjectCashflows!AE$34</f>
        <v>2041</v>
      </c>
      <c r="AF81" s="890">
        <f xml:space="preserve"> ProjectCashflows!AF$34</f>
        <v>2042</v>
      </c>
      <c r="AG81" s="890">
        <f xml:space="preserve"> ProjectCashflows!AG$34</f>
        <v>2043</v>
      </c>
      <c r="AH81" s="890">
        <f xml:space="preserve"> ProjectCashflows!AH$34</f>
        <v>2044</v>
      </c>
      <c r="AI81" s="890">
        <f xml:space="preserve"> ProjectCashflows!AI$34</f>
        <v>2045</v>
      </c>
      <c r="AJ81" s="890">
        <f xml:space="preserve"> ProjectCashflows!AJ$34</f>
        <v>2046</v>
      </c>
      <c r="AK81" s="890">
        <f xml:space="preserve"> ProjectCashflows!AK$34</f>
        <v>2047</v>
      </c>
      <c r="AL81" s="890">
        <f xml:space="preserve"> ProjectCashflows!AL$34</f>
        <v>2048</v>
      </c>
      <c r="AM81" s="890">
        <f xml:space="preserve"> ProjectCashflows!AM$34</f>
        <v>2049</v>
      </c>
      <c r="AN81" s="890">
        <f xml:space="preserve"> ProjectCashflows!AN$34</f>
        <v>2050</v>
      </c>
      <c r="AO81" s="890">
        <f xml:space="preserve"> ProjectCashflows!AO$34</f>
        <v>2051</v>
      </c>
      <c r="AP81" s="890">
        <f xml:space="preserve"> ProjectCashflows!AP$34</f>
        <v>2052</v>
      </c>
      <c r="AQ81" s="890">
        <f xml:space="preserve"> ProjectCashflows!AQ$34</f>
        <v>2053</v>
      </c>
      <c r="AR81" s="890">
        <f xml:space="preserve"> ProjectCashflows!AR$34</f>
        <v>2054</v>
      </c>
      <c r="AS81" s="890">
        <f xml:space="preserve"> ProjectCashflows!AS$34</f>
        <v>2055</v>
      </c>
      <c r="AT81" s="890">
        <f xml:space="preserve"> ProjectCashflows!AT$34</f>
        <v>2056</v>
      </c>
      <c r="AU81" s="890">
        <f xml:space="preserve"> ProjectCashflows!AU$34</f>
        <v>2057</v>
      </c>
      <c r="AV81" s="890">
        <f xml:space="preserve"> ProjectCashflows!AV$34</f>
        <v>2058</v>
      </c>
      <c r="AW81" s="890">
        <f xml:space="preserve"> ProjectCashflows!AW$34</f>
        <v>2059</v>
      </c>
      <c r="AX81" s="890">
        <f xml:space="preserve"> ProjectCashflows!AX$34</f>
        <v>2060</v>
      </c>
    </row>
    <row r="82" spans="1:50" ht="15" customHeight="1" x14ac:dyDescent="0.25">
      <c r="A82" s="48"/>
      <c r="B82" s="48"/>
      <c r="C82" s="48"/>
      <c r="D82" s="48"/>
      <c r="E82" s="48"/>
      <c r="F82" s="48"/>
      <c r="G82" s="48"/>
      <c r="H82" s="48"/>
      <c r="I82" s="48"/>
      <c r="J82" s="48"/>
      <c r="K82" s="48"/>
      <c r="L82" s="48"/>
      <c r="M82" s="48"/>
      <c r="N82" s="48"/>
      <c r="O82" s="48"/>
      <c r="P82" s="48"/>
      <c r="Q82" s="48"/>
      <c r="R82" s="48"/>
      <c r="S82" s="48"/>
      <c r="T82" s="48"/>
      <c r="U82" s="48"/>
      <c r="V82" s="48"/>
      <c r="W82" s="48"/>
      <c r="X82" s="48"/>
      <c r="Y82" s="48"/>
      <c r="Z82" s="48"/>
      <c r="AA82" s="48"/>
      <c r="AB82" s="48"/>
      <c r="AC82" s="48"/>
      <c r="AD82" s="48"/>
      <c r="AE82" s="48"/>
      <c r="AF82" s="48"/>
      <c r="AG82" s="48"/>
      <c r="AH82" s="48"/>
      <c r="AI82" s="48"/>
      <c r="AJ82" s="48"/>
      <c r="AK82" s="48"/>
      <c r="AL82" s="48"/>
      <c r="AM82" s="48"/>
      <c r="AN82" s="48"/>
      <c r="AO82" s="48"/>
      <c r="AP82" s="48"/>
      <c r="AQ82" s="48"/>
      <c r="AR82" s="48"/>
      <c r="AS82" s="48"/>
      <c r="AT82" s="48"/>
      <c r="AU82" s="48"/>
      <c r="AV82" s="48"/>
      <c r="AW82" s="48"/>
      <c r="AX82" s="48"/>
    </row>
    <row r="83" spans="1:50" ht="15" customHeight="1" x14ac:dyDescent="0.25">
      <c r="A83" s="222"/>
      <c r="B83" s="222"/>
      <c r="C83" s="222"/>
      <c r="D83" s="222"/>
      <c r="E83" s="222" t="str">
        <f xml:space="preserve"> ProjectCashflows!E$156</f>
        <v>Oil revenues net, after ELT</v>
      </c>
      <c r="F83" s="222">
        <f xml:space="preserve"> ProjectCashflows!F$156</f>
        <v>0</v>
      </c>
      <c r="G83" s="222" t="str">
        <f xml:space="preserve"> ProjectCashflows!G$156</f>
        <v>US$ mn 2021</v>
      </c>
      <c r="H83" s="222">
        <f xml:space="preserve"> ProjectCashflows!H$156</f>
        <v>0</v>
      </c>
      <c r="I83" s="222">
        <f ca="1" xml:space="preserve"> ProjectCashflows!I$156</f>
        <v>44103.023863224538</v>
      </c>
      <c r="J83" s="222">
        <f xml:space="preserve"> ProjectCashflows!J$156</f>
        <v>0</v>
      </c>
      <c r="K83" s="222">
        <f ca="1" xml:space="preserve"> ProjectCashflows!K$156</f>
        <v>0</v>
      </c>
      <c r="L83" s="222">
        <f ca="1" xml:space="preserve"> ProjectCashflows!L$156</f>
        <v>0</v>
      </c>
      <c r="M83" s="222">
        <f ca="1" xml:space="preserve"> ProjectCashflows!M$156</f>
        <v>0</v>
      </c>
      <c r="N83" s="222">
        <f ca="1" xml:space="preserve"> ProjectCashflows!N$156</f>
        <v>0</v>
      </c>
      <c r="O83" s="222">
        <f ca="1" xml:space="preserve"> ProjectCashflows!O$156</f>
        <v>191.65835816431044</v>
      </c>
      <c r="P83" s="222">
        <f ca="1" xml:space="preserve"> ProjectCashflows!P$156</f>
        <v>1505.625</v>
      </c>
      <c r="Q83" s="222">
        <f ca="1" xml:space="preserve"> ProjectCashflows!Q$156</f>
        <v>3011.25</v>
      </c>
      <c r="R83" s="222">
        <f ca="1" xml:space="preserve"> ProjectCashflows!R$156</f>
        <v>3011.25</v>
      </c>
      <c r="S83" s="222">
        <f ca="1" xml:space="preserve"> ProjectCashflows!S$156</f>
        <v>3011.25</v>
      </c>
      <c r="T83" s="222">
        <f ca="1" xml:space="preserve"> ProjectCashflows!T$156</f>
        <v>3011.25</v>
      </c>
      <c r="U83" s="222">
        <f ca="1" xml:space="preserve"> ProjectCashflows!U$156</f>
        <v>3011.25</v>
      </c>
      <c r="V83" s="222">
        <f ca="1" xml:space="preserve"> ProjectCashflows!V$156</f>
        <v>3011.25</v>
      </c>
      <c r="W83" s="222">
        <f ca="1" xml:space="preserve"> ProjectCashflows!W$156</f>
        <v>3011.25</v>
      </c>
      <c r="X83" s="222">
        <f ca="1" xml:space="preserve"> ProjectCashflows!X$156</f>
        <v>3011.25</v>
      </c>
      <c r="Y83" s="222">
        <f ca="1" xml:space="preserve"> ProjectCashflows!Y$156</f>
        <v>3011.25</v>
      </c>
      <c r="Z83" s="222">
        <f ca="1" xml:space="preserve"> ProjectCashflows!Z$156</f>
        <v>3011.25</v>
      </c>
      <c r="AA83" s="222">
        <f ca="1" xml:space="preserve"> ProjectCashflows!AA$156</f>
        <v>2439.1125000000006</v>
      </c>
      <c r="AB83" s="222">
        <f ca="1" xml:space="preserve"> ProjectCashflows!AB$156</f>
        <v>1975.6811250000005</v>
      </c>
      <c r="AC83" s="222">
        <f ca="1" xml:space="preserve"> ProjectCashflows!AC$156</f>
        <v>1600.3017112500004</v>
      </c>
      <c r="AD83" s="222">
        <f ca="1" xml:space="preserve"> ProjectCashflows!AD$156</f>
        <v>1296.2443861125007</v>
      </c>
      <c r="AE83" s="222">
        <f ca="1" xml:space="preserve"> ProjectCashflows!AE$156</f>
        <v>1049.9579527511255</v>
      </c>
      <c r="AF83" s="222">
        <f ca="1" xml:space="preserve"> ProjectCashflows!AF$156</f>
        <v>850.46594172841174</v>
      </c>
      <c r="AG83" s="222">
        <f ca="1" xml:space="preserve"> ProjectCashflows!AG$156</f>
        <v>688.87741280001364</v>
      </c>
      <c r="AH83" s="222">
        <f ca="1" xml:space="preserve"> ProjectCashflows!AH$156</f>
        <v>557.99070436801105</v>
      </c>
      <c r="AI83" s="222">
        <f ca="1" xml:space="preserve"> ProjectCashflows!AI$156</f>
        <v>451.972470538089</v>
      </c>
      <c r="AJ83" s="222">
        <f ca="1" xml:space="preserve"> ProjectCashflows!AJ$156</f>
        <v>366.09770113585205</v>
      </c>
      <c r="AK83" s="222">
        <f ca="1" xml:space="preserve"> ProjectCashflows!AK$156</f>
        <v>296.53913792004022</v>
      </c>
      <c r="AL83" s="222">
        <f ca="1" xml:space="preserve"> ProjectCashflows!AL$156</f>
        <v>240.19670171523254</v>
      </c>
      <c r="AM83" s="222">
        <f ca="1" xml:space="preserve"> ProjectCashflows!AM$156</f>
        <v>194.55932838933836</v>
      </c>
      <c r="AN83" s="222">
        <f ca="1" xml:space="preserve"> ProjectCashflows!AN$156</f>
        <v>157.59305599536407</v>
      </c>
      <c r="AO83" s="222">
        <f ca="1" xml:space="preserve"> ProjectCashflows!AO$156</f>
        <v>127.65037535624494</v>
      </c>
      <c r="AP83" s="222">
        <f ca="1" xml:space="preserve"> ProjectCashflows!AP$156</f>
        <v>0</v>
      </c>
      <c r="AQ83" s="222">
        <f ca="1" xml:space="preserve"> ProjectCashflows!AQ$156</f>
        <v>0</v>
      </c>
      <c r="AR83" s="222">
        <f ca="1" xml:space="preserve"> ProjectCashflows!AR$156</f>
        <v>0</v>
      </c>
      <c r="AS83" s="222">
        <f ca="1" xml:space="preserve"> ProjectCashflows!AS$156</f>
        <v>0</v>
      </c>
      <c r="AT83" s="222">
        <f ca="1" xml:space="preserve"> ProjectCashflows!AT$156</f>
        <v>0</v>
      </c>
      <c r="AU83" s="222">
        <f ca="1" xml:space="preserve"> ProjectCashflows!AU$156</f>
        <v>0</v>
      </c>
      <c r="AV83" s="222">
        <f ca="1" xml:space="preserve"> ProjectCashflows!AV$156</f>
        <v>0</v>
      </c>
      <c r="AW83" s="222">
        <f ca="1" xml:space="preserve"> ProjectCashflows!AW$156</f>
        <v>0</v>
      </c>
      <c r="AX83" s="222">
        <f ca="1" xml:space="preserve"> ProjectCashflows!AX$156</f>
        <v>0</v>
      </c>
    </row>
    <row r="84" spans="1:50" ht="15" customHeight="1" x14ac:dyDescent="0.25">
      <c r="A84" s="222"/>
      <c r="B84" s="222"/>
      <c r="C84" s="222"/>
      <c r="D84" s="222"/>
      <c r="E84" s="222" t="str">
        <f xml:space="preserve"> ProjectCashflows!E$158</f>
        <v>Exploration costs, after ELT</v>
      </c>
      <c r="F84" s="222">
        <f xml:space="preserve"> ProjectCashflows!F$158</f>
        <v>0</v>
      </c>
      <c r="G84" s="222" t="str">
        <f xml:space="preserve"> ProjectCashflows!G$158</f>
        <v>US$ mn 2021</v>
      </c>
      <c r="H84" s="222">
        <f xml:space="preserve"> ProjectCashflows!H$158</f>
        <v>0</v>
      </c>
      <c r="I84" s="222">
        <f ca="1" xml:space="preserve"> ProjectCashflows!I$158</f>
        <v>420</v>
      </c>
      <c r="J84" s="222">
        <f xml:space="preserve"> ProjectCashflows!J$158</f>
        <v>0</v>
      </c>
      <c r="K84" s="222">
        <f ca="1" xml:space="preserve"> ProjectCashflows!K$158</f>
        <v>420</v>
      </c>
      <c r="L84" s="222">
        <f ca="1" xml:space="preserve"> ProjectCashflows!L$158</f>
        <v>0</v>
      </c>
      <c r="M84" s="222">
        <f ca="1" xml:space="preserve"> ProjectCashflows!M$158</f>
        <v>0</v>
      </c>
      <c r="N84" s="222">
        <f ca="1" xml:space="preserve"> ProjectCashflows!N$158</f>
        <v>0</v>
      </c>
      <c r="O84" s="222">
        <f ca="1" xml:space="preserve"> ProjectCashflows!O$158</f>
        <v>0</v>
      </c>
      <c r="P84" s="222">
        <f ca="1" xml:space="preserve"> ProjectCashflows!P$158</f>
        <v>0</v>
      </c>
      <c r="Q84" s="222">
        <f ca="1" xml:space="preserve"> ProjectCashflows!Q$158</f>
        <v>0</v>
      </c>
      <c r="R84" s="222">
        <f ca="1" xml:space="preserve"> ProjectCashflows!R$158</f>
        <v>0</v>
      </c>
      <c r="S84" s="222">
        <f ca="1" xml:space="preserve"> ProjectCashflows!S$158</f>
        <v>0</v>
      </c>
      <c r="T84" s="222">
        <f ca="1" xml:space="preserve"> ProjectCashflows!T$158</f>
        <v>0</v>
      </c>
      <c r="U84" s="222">
        <f ca="1" xml:space="preserve"> ProjectCashflows!U$158</f>
        <v>0</v>
      </c>
      <c r="V84" s="222">
        <f ca="1" xml:space="preserve"> ProjectCashflows!V$158</f>
        <v>0</v>
      </c>
      <c r="W84" s="222">
        <f ca="1" xml:space="preserve"> ProjectCashflows!W$158</f>
        <v>0</v>
      </c>
      <c r="X84" s="222">
        <f ca="1" xml:space="preserve"> ProjectCashflows!X$158</f>
        <v>0</v>
      </c>
      <c r="Y84" s="222">
        <f ca="1" xml:space="preserve"> ProjectCashflows!Y$158</f>
        <v>0</v>
      </c>
      <c r="Z84" s="222">
        <f ca="1" xml:space="preserve"> ProjectCashflows!Z$158</f>
        <v>0</v>
      </c>
      <c r="AA84" s="222">
        <f ca="1" xml:space="preserve"> ProjectCashflows!AA$158</f>
        <v>0</v>
      </c>
      <c r="AB84" s="222">
        <f ca="1" xml:space="preserve"> ProjectCashflows!AB$158</f>
        <v>0</v>
      </c>
      <c r="AC84" s="222">
        <f ca="1" xml:space="preserve"> ProjectCashflows!AC$158</f>
        <v>0</v>
      </c>
      <c r="AD84" s="222">
        <f ca="1" xml:space="preserve"> ProjectCashflows!AD$158</f>
        <v>0</v>
      </c>
      <c r="AE84" s="222">
        <f ca="1" xml:space="preserve"> ProjectCashflows!AE$158</f>
        <v>0</v>
      </c>
      <c r="AF84" s="222">
        <f ca="1" xml:space="preserve"> ProjectCashflows!AF$158</f>
        <v>0</v>
      </c>
      <c r="AG84" s="222">
        <f ca="1" xml:space="preserve"> ProjectCashflows!AG$158</f>
        <v>0</v>
      </c>
      <c r="AH84" s="222">
        <f ca="1" xml:space="preserve"> ProjectCashflows!AH$158</f>
        <v>0</v>
      </c>
      <c r="AI84" s="222">
        <f ca="1" xml:space="preserve"> ProjectCashflows!AI$158</f>
        <v>0</v>
      </c>
      <c r="AJ84" s="222">
        <f ca="1" xml:space="preserve"> ProjectCashflows!AJ$158</f>
        <v>0</v>
      </c>
      <c r="AK84" s="222">
        <f ca="1" xml:space="preserve"> ProjectCashflows!AK$158</f>
        <v>0</v>
      </c>
      <c r="AL84" s="222">
        <f ca="1" xml:space="preserve"> ProjectCashflows!AL$158</f>
        <v>0</v>
      </c>
      <c r="AM84" s="222">
        <f ca="1" xml:space="preserve"> ProjectCashflows!AM$158</f>
        <v>0</v>
      </c>
      <c r="AN84" s="222">
        <f ca="1" xml:space="preserve"> ProjectCashflows!AN$158</f>
        <v>0</v>
      </c>
      <c r="AO84" s="222">
        <f ca="1" xml:space="preserve"> ProjectCashflows!AO$158</f>
        <v>0</v>
      </c>
      <c r="AP84" s="222">
        <f ca="1" xml:space="preserve"> ProjectCashflows!AP$158</f>
        <v>0</v>
      </c>
      <c r="AQ84" s="222">
        <f ca="1" xml:space="preserve"> ProjectCashflows!AQ$158</f>
        <v>0</v>
      </c>
      <c r="AR84" s="222">
        <f ca="1" xml:space="preserve"> ProjectCashflows!AR$158</f>
        <v>0</v>
      </c>
      <c r="AS84" s="222">
        <f ca="1" xml:space="preserve"> ProjectCashflows!AS$158</f>
        <v>0</v>
      </c>
      <c r="AT84" s="222">
        <f ca="1" xml:space="preserve"> ProjectCashflows!AT$158</f>
        <v>0</v>
      </c>
      <c r="AU84" s="222">
        <f ca="1" xml:space="preserve"> ProjectCashflows!AU$158</f>
        <v>0</v>
      </c>
      <c r="AV84" s="222">
        <f ca="1" xml:space="preserve"> ProjectCashflows!AV$158</f>
        <v>0</v>
      </c>
      <c r="AW84" s="222">
        <f ca="1" xml:space="preserve"> ProjectCashflows!AW$158</f>
        <v>0</v>
      </c>
      <c r="AX84" s="222">
        <f ca="1" xml:space="preserve"> ProjectCashflows!AX$158</f>
        <v>0</v>
      </c>
    </row>
    <row r="85" spans="1:50" ht="15" customHeight="1" x14ac:dyDescent="0.25">
      <c r="A85" s="222"/>
      <c r="B85" s="222"/>
      <c r="C85" s="222"/>
      <c r="D85" s="222"/>
      <c r="E85" s="222" t="str">
        <f xml:space="preserve"> ProjectCashflows!E159</f>
        <v>Development costs, after ELT</v>
      </c>
      <c r="F85" s="222">
        <f xml:space="preserve"> ProjectCashflows!F159</f>
        <v>0</v>
      </c>
      <c r="G85" s="222" t="str">
        <f xml:space="preserve"> ProjectCashflows!G159</f>
        <v>US$ mn 2021</v>
      </c>
      <c r="H85" s="222">
        <f xml:space="preserve"> ProjectCashflows!H159</f>
        <v>0</v>
      </c>
      <c r="I85" s="222">
        <f ca="1" xml:space="preserve"> ProjectCashflows!I159</f>
        <v>9050</v>
      </c>
      <c r="J85" s="222">
        <f xml:space="preserve"> ProjectCashflows!J159</f>
        <v>0</v>
      </c>
      <c r="K85" s="222">
        <f ca="1" xml:space="preserve"> ProjectCashflows!K159</f>
        <v>0</v>
      </c>
      <c r="L85" s="222">
        <f ca="1" xml:space="preserve"> ProjectCashflows!L159</f>
        <v>50</v>
      </c>
      <c r="M85" s="222">
        <f ca="1" xml:space="preserve"> ProjectCashflows!M159</f>
        <v>300</v>
      </c>
      <c r="N85" s="222">
        <f ca="1" xml:space="preserve"> ProjectCashflows!N159</f>
        <v>1200</v>
      </c>
      <c r="O85" s="222">
        <f ca="1" xml:space="preserve"> ProjectCashflows!O159</f>
        <v>1200</v>
      </c>
      <c r="P85" s="222">
        <f ca="1" xml:space="preserve"> ProjectCashflows!P159</f>
        <v>2100</v>
      </c>
      <c r="Q85" s="222">
        <f ca="1" xml:space="preserve"> ProjectCashflows!Q159</f>
        <v>1100</v>
      </c>
      <c r="R85" s="222">
        <f ca="1" xml:space="preserve"> ProjectCashflows!R159</f>
        <v>450</v>
      </c>
      <c r="S85" s="222">
        <f ca="1" xml:space="preserve"> ProjectCashflows!S159</f>
        <v>250</v>
      </c>
      <c r="T85" s="222">
        <f ca="1" xml:space="preserve"> ProjectCashflows!T159</f>
        <v>250</v>
      </c>
      <c r="U85" s="222">
        <f ca="1" xml:space="preserve"> ProjectCashflows!U159</f>
        <v>250</v>
      </c>
      <c r="V85" s="222">
        <f ca="1" xml:space="preserve"> ProjectCashflows!V159</f>
        <v>250</v>
      </c>
      <c r="W85" s="222">
        <f ca="1" xml:space="preserve"> ProjectCashflows!W159</f>
        <v>250</v>
      </c>
      <c r="X85" s="222">
        <f ca="1" xml:space="preserve"> ProjectCashflows!X159</f>
        <v>250</v>
      </c>
      <c r="Y85" s="222">
        <f ca="1" xml:space="preserve"> ProjectCashflows!Y159</f>
        <v>250</v>
      </c>
      <c r="Z85" s="222">
        <f ca="1" xml:space="preserve"> ProjectCashflows!Z159</f>
        <v>250</v>
      </c>
      <c r="AA85" s="222">
        <f ca="1" xml:space="preserve"> ProjectCashflows!AA159</f>
        <v>250</v>
      </c>
      <c r="AB85" s="222">
        <f ca="1" xml:space="preserve"> ProjectCashflows!AB159</f>
        <v>0</v>
      </c>
      <c r="AC85" s="222">
        <f ca="1" xml:space="preserve"> ProjectCashflows!AC159</f>
        <v>0</v>
      </c>
      <c r="AD85" s="222">
        <f ca="1" xml:space="preserve"> ProjectCashflows!AD159</f>
        <v>200</v>
      </c>
      <c r="AE85" s="222">
        <f ca="1" xml:space="preserve"> ProjectCashflows!AE159</f>
        <v>200</v>
      </c>
      <c r="AF85" s="222">
        <f ca="1" xml:space="preserve"> ProjectCashflows!AF159</f>
        <v>0</v>
      </c>
      <c r="AG85" s="222">
        <f ca="1" xml:space="preserve"> ProjectCashflows!AG159</f>
        <v>0</v>
      </c>
      <c r="AH85" s="222">
        <f ca="1" xml:space="preserve"> ProjectCashflows!AH159</f>
        <v>0</v>
      </c>
      <c r="AI85" s="222">
        <f ca="1" xml:space="preserve"> ProjectCashflows!AI159</f>
        <v>0</v>
      </c>
      <c r="AJ85" s="222">
        <f ca="1" xml:space="preserve"> ProjectCashflows!AJ159</f>
        <v>0</v>
      </c>
      <c r="AK85" s="222">
        <f ca="1" xml:space="preserve"> ProjectCashflows!AK159</f>
        <v>0</v>
      </c>
      <c r="AL85" s="222">
        <f ca="1" xml:space="preserve"> ProjectCashflows!AL159</f>
        <v>0</v>
      </c>
      <c r="AM85" s="222">
        <f ca="1" xml:space="preserve"> ProjectCashflows!AM159</f>
        <v>0</v>
      </c>
      <c r="AN85" s="222">
        <f ca="1" xml:space="preserve"> ProjectCashflows!AN159</f>
        <v>0</v>
      </c>
      <c r="AO85" s="222">
        <f ca="1" xml:space="preserve"> ProjectCashflows!AO159</f>
        <v>0</v>
      </c>
      <c r="AP85" s="222">
        <f ca="1" xml:space="preserve"> ProjectCashflows!AP159</f>
        <v>0</v>
      </c>
      <c r="AQ85" s="222">
        <f ca="1" xml:space="preserve"> ProjectCashflows!AQ159</f>
        <v>0</v>
      </c>
      <c r="AR85" s="222">
        <f ca="1" xml:space="preserve"> ProjectCashflows!AR159</f>
        <v>0</v>
      </c>
      <c r="AS85" s="222">
        <f ca="1" xml:space="preserve"> ProjectCashflows!AS159</f>
        <v>0</v>
      </c>
      <c r="AT85" s="222">
        <f ca="1" xml:space="preserve"> ProjectCashflows!AT159</f>
        <v>0</v>
      </c>
      <c r="AU85" s="222">
        <f ca="1" xml:space="preserve"> ProjectCashflows!AU159</f>
        <v>0</v>
      </c>
      <c r="AV85" s="222">
        <f ca="1" xml:space="preserve"> ProjectCashflows!AV159</f>
        <v>0</v>
      </c>
      <c r="AW85" s="222">
        <f ca="1" xml:space="preserve"> ProjectCashflows!AW159</f>
        <v>0</v>
      </c>
      <c r="AX85" s="222">
        <f ca="1" xml:space="preserve"> ProjectCashflows!AX159</f>
        <v>0</v>
      </c>
    </row>
    <row r="86" spans="1:50" ht="15" customHeight="1" x14ac:dyDescent="0.25">
      <c r="A86" s="222"/>
      <c r="B86" s="222"/>
      <c r="C86" s="222"/>
      <c r="D86" s="222"/>
      <c r="E86" s="222" t="str">
        <f xml:space="preserve"> ProjectCashflows!E160</f>
        <v>Replacement capital costs, after ELT</v>
      </c>
      <c r="F86" s="222">
        <f xml:space="preserve"> ProjectCashflows!F160</f>
        <v>0</v>
      </c>
      <c r="G86" s="222" t="str">
        <f xml:space="preserve"> ProjectCashflows!G160</f>
        <v>US$ mn 2021</v>
      </c>
      <c r="H86" s="222">
        <f xml:space="preserve"> ProjectCashflows!H160</f>
        <v>0</v>
      </c>
      <c r="I86" s="222">
        <f ca="1" xml:space="preserve"> ProjectCashflows!I160</f>
        <v>0</v>
      </c>
      <c r="J86" s="222">
        <f xml:space="preserve"> ProjectCashflows!J160</f>
        <v>0</v>
      </c>
      <c r="K86" s="222">
        <f ca="1" xml:space="preserve"> ProjectCashflows!K160</f>
        <v>0</v>
      </c>
      <c r="L86" s="222">
        <f ca="1" xml:space="preserve"> ProjectCashflows!L160</f>
        <v>0</v>
      </c>
      <c r="M86" s="222">
        <f ca="1" xml:space="preserve"> ProjectCashflows!M160</f>
        <v>0</v>
      </c>
      <c r="N86" s="222">
        <f ca="1" xml:space="preserve"> ProjectCashflows!N160</f>
        <v>0</v>
      </c>
      <c r="O86" s="222">
        <f ca="1" xml:space="preserve"> ProjectCashflows!O160</f>
        <v>0</v>
      </c>
      <c r="P86" s="222">
        <f ca="1" xml:space="preserve"> ProjectCashflows!P160</f>
        <v>0</v>
      </c>
      <c r="Q86" s="222">
        <f ca="1" xml:space="preserve"> ProjectCashflows!Q160</f>
        <v>0</v>
      </c>
      <c r="R86" s="222">
        <f ca="1" xml:space="preserve"> ProjectCashflows!R160</f>
        <v>0</v>
      </c>
      <c r="S86" s="222">
        <f ca="1" xml:space="preserve"> ProjectCashflows!S160</f>
        <v>0</v>
      </c>
      <c r="T86" s="222">
        <f ca="1" xml:space="preserve"> ProjectCashflows!T160</f>
        <v>0</v>
      </c>
      <c r="U86" s="222">
        <f ca="1" xml:space="preserve"> ProjectCashflows!U160</f>
        <v>0</v>
      </c>
      <c r="V86" s="222">
        <f ca="1" xml:space="preserve"> ProjectCashflows!V160</f>
        <v>0</v>
      </c>
      <c r="W86" s="222">
        <f ca="1" xml:space="preserve"> ProjectCashflows!W160</f>
        <v>0</v>
      </c>
      <c r="X86" s="222">
        <f ca="1" xml:space="preserve"> ProjectCashflows!X160</f>
        <v>0</v>
      </c>
      <c r="Y86" s="222">
        <f ca="1" xml:space="preserve"> ProjectCashflows!Y160</f>
        <v>0</v>
      </c>
      <c r="Z86" s="222">
        <f ca="1" xml:space="preserve"> ProjectCashflows!Z160</f>
        <v>0</v>
      </c>
      <c r="AA86" s="222">
        <f ca="1" xml:space="preserve"> ProjectCashflows!AA160</f>
        <v>0</v>
      </c>
      <c r="AB86" s="222">
        <f ca="1" xml:space="preserve"> ProjectCashflows!AB160</f>
        <v>0</v>
      </c>
      <c r="AC86" s="222">
        <f ca="1" xml:space="preserve"> ProjectCashflows!AC160</f>
        <v>0</v>
      </c>
      <c r="AD86" s="222">
        <f ca="1" xml:space="preserve"> ProjectCashflows!AD160</f>
        <v>0</v>
      </c>
      <c r="AE86" s="222">
        <f ca="1" xml:space="preserve"> ProjectCashflows!AE160</f>
        <v>0</v>
      </c>
      <c r="AF86" s="222">
        <f ca="1" xml:space="preserve"> ProjectCashflows!AF160</f>
        <v>0</v>
      </c>
      <c r="AG86" s="222">
        <f ca="1" xml:space="preserve"> ProjectCashflows!AG160</f>
        <v>0</v>
      </c>
      <c r="AH86" s="222">
        <f ca="1" xml:space="preserve"> ProjectCashflows!AH160</f>
        <v>0</v>
      </c>
      <c r="AI86" s="222">
        <f ca="1" xml:space="preserve"> ProjectCashflows!AI160</f>
        <v>0</v>
      </c>
      <c r="AJ86" s="222">
        <f ca="1" xml:space="preserve"> ProjectCashflows!AJ160</f>
        <v>0</v>
      </c>
      <c r="AK86" s="222">
        <f ca="1" xml:space="preserve"> ProjectCashflows!AK160</f>
        <v>0</v>
      </c>
      <c r="AL86" s="222">
        <f ca="1" xml:space="preserve"> ProjectCashflows!AL160</f>
        <v>0</v>
      </c>
      <c r="AM86" s="222">
        <f ca="1" xml:space="preserve"> ProjectCashflows!AM160</f>
        <v>0</v>
      </c>
      <c r="AN86" s="222">
        <f ca="1" xml:space="preserve"> ProjectCashflows!AN160</f>
        <v>0</v>
      </c>
      <c r="AO86" s="222">
        <f ca="1" xml:space="preserve"> ProjectCashflows!AO160</f>
        <v>0</v>
      </c>
      <c r="AP86" s="222">
        <f ca="1" xml:space="preserve"> ProjectCashflows!AP160</f>
        <v>0</v>
      </c>
      <c r="AQ86" s="222">
        <f ca="1" xml:space="preserve"> ProjectCashflows!AQ160</f>
        <v>0</v>
      </c>
      <c r="AR86" s="222">
        <f ca="1" xml:space="preserve"> ProjectCashflows!AR160</f>
        <v>0</v>
      </c>
      <c r="AS86" s="222">
        <f ca="1" xml:space="preserve"> ProjectCashflows!AS160</f>
        <v>0</v>
      </c>
      <c r="AT86" s="222">
        <f ca="1" xml:space="preserve"> ProjectCashflows!AT160</f>
        <v>0</v>
      </c>
      <c r="AU86" s="222">
        <f ca="1" xml:space="preserve"> ProjectCashflows!AU160</f>
        <v>0</v>
      </c>
      <c r="AV86" s="222">
        <f ca="1" xml:space="preserve"> ProjectCashflows!AV160</f>
        <v>0</v>
      </c>
      <c r="AW86" s="222">
        <f ca="1" xml:space="preserve"> ProjectCashflows!AW160</f>
        <v>0</v>
      </c>
      <c r="AX86" s="222">
        <f ca="1" xml:space="preserve"> ProjectCashflows!AX160</f>
        <v>0</v>
      </c>
    </row>
    <row r="87" spans="1:50" ht="15" customHeight="1" x14ac:dyDescent="0.25">
      <c r="A87" s="222"/>
      <c r="B87" s="222"/>
      <c r="C87" s="222"/>
      <c r="D87" s="222"/>
      <c r="E87" s="222" t="str">
        <f xml:space="preserve"> ProjectCashflows!E161</f>
        <v>Operating costs, after ELT</v>
      </c>
      <c r="F87" s="222">
        <f xml:space="preserve"> ProjectCashflows!F161</f>
        <v>0</v>
      </c>
      <c r="G87" s="222" t="str">
        <f xml:space="preserve"> ProjectCashflows!G161</f>
        <v>US$ mn 2021</v>
      </c>
      <c r="H87" s="222">
        <f xml:space="preserve"> ProjectCashflows!H161</f>
        <v>0</v>
      </c>
      <c r="I87" s="222">
        <f ca="1" xml:space="preserve"> ProjectCashflows!I161</f>
        <v>4601</v>
      </c>
      <c r="J87" s="222">
        <f xml:space="preserve"> ProjectCashflows!J161</f>
        <v>0</v>
      </c>
      <c r="K87" s="222">
        <f ca="1" xml:space="preserve"> ProjectCashflows!K161</f>
        <v>0</v>
      </c>
      <c r="L87" s="222">
        <f ca="1" xml:space="preserve"> ProjectCashflows!L161</f>
        <v>0</v>
      </c>
      <c r="M87" s="222">
        <f ca="1" xml:space="preserve"> ProjectCashflows!M161</f>
        <v>0</v>
      </c>
      <c r="N87" s="222">
        <f ca="1" xml:space="preserve"> ProjectCashflows!N161</f>
        <v>0</v>
      </c>
      <c r="O87" s="222">
        <f ca="1" xml:space="preserve"> ProjectCashflows!O161</f>
        <v>50</v>
      </c>
      <c r="P87" s="222">
        <f ca="1" xml:space="preserve"> ProjectCashflows!P161</f>
        <v>180</v>
      </c>
      <c r="Q87" s="222">
        <f ca="1" xml:space="preserve"> ProjectCashflows!Q161</f>
        <v>260</v>
      </c>
      <c r="R87" s="222">
        <f ca="1" xml:space="preserve"> ProjectCashflows!R161</f>
        <v>260</v>
      </c>
      <c r="S87" s="222">
        <f ca="1" xml:space="preserve"> ProjectCashflows!S161</f>
        <v>260</v>
      </c>
      <c r="T87" s="222">
        <f ca="1" xml:space="preserve"> ProjectCashflows!T161</f>
        <v>260</v>
      </c>
      <c r="U87" s="222">
        <f ca="1" xml:space="preserve"> ProjectCashflows!U161</f>
        <v>260</v>
      </c>
      <c r="V87" s="222">
        <f ca="1" xml:space="preserve"> ProjectCashflows!V161</f>
        <v>260</v>
      </c>
      <c r="W87" s="222">
        <f ca="1" xml:space="preserve"> ProjectCashflows!W161</f>
        <v>260</v>
      </c>
      <c r="X87" s="222">
        <f ca="1" xml:space="preserve"> ProjectCashflows!X161</f>
        <v>260</v>
      </c>
      <c r="Y87" s="222">
        <f ca="1" xml:space="preserve"> ProjectCashflows!Y161</f>
        <v>260</v>
      </c>
      <c r="Z87" s="222">
        <f ca="1" xml:space="preserve"> ProjectCashflows!Z161</f>
        <v>260</v>
      </c>
      <c r="AA87" s="222">
        <f ca="1" xml:space="preserve"> ProjectCashflows!AA161</f>
        <v>260</v>
      </c>
      <c r="AB87" s="222">
        <f ca="1" xml:space="preserve"> ProjectCashflows!AB161</f>
        <v>260</v>
      </c>
      <c r="AC87" s="222">
        <f ca="1" xml:space="preserve"> ProjectCashflows!AC161</f>
        <v>150</v>
      </c>
      <c r="AD87" s="222">
        <f ca="1" xml:space="preserve"> ProjectCashflows!AD161</f>
        <v>140</v>
      </c>
      <c r="AE87" s="222">
        <f ca="1" xml:space="preserve"> ProjectCashflows!AE161</f>
        <v>120</v>
      </c>
      <c r="AF87" s="222">
        <f ca="1" xml:space="preserve"> ProjectCashflows!AF161</f>
        <v>111</v>
      </c>
      <c r="AG87" s="222">
        <f ca="1" xml:space="preserve"> ProjectCashflows!AG161</f>
        <v>100</v>
      </c>
      <c r="AH87" s="222">
        <f ca="1" xml:space="preserve"> ProjectCashflows!AH161</f>
        <v>95</v>
      </c>
      <c r="AI87" s="222">
        <f ca="1" xml:space="preserve"> ProjectCashflows!AI161</f>
        <v>90</v>
      </c>
      <c r="AJ87" s="222">
        <f ca="1" xml:space="preserve"> ProjectCashflows!AJ161</f>
        <v>85</v>
      </c>
      <c r="AK87" s="222">
        <f ca="1" xml:space="preserve"> ProjectCashflows!AK161</f>
        <v>80</v>
      </c>
      <c r="AL87" s="222">
        <f ca="1" xml:space="preserve"> ProjectCashflows!AL161</f>
        <v>75</v>
      </c>
      <c r="AM87" s="222">
        <f ca="1" xml:space="preserve"> ProjectCashflows!AM161</f>
        <v>70</v>
      </c>
      <c r="AN87" s="222">
        <f ca="1" xml:space="preserve"> ProjectCashflows!AN161</f>
        <v>70</v>
      </c>
      <c r="AO87" s="222">
        <f ca="1" xml:space="preserve"> ProjectCashflows!AO161</f>
        <v>65</v>
      </c>
      <c r="AP87" s="222">
        <f ca="1" xml:space="preserve"> ProjectCashflows!AP161</f>
        <v>0</v>
      </c>
      <c r="AQ87" s="222">
        <f ca="1" xml:space="preserve"> ProjectCashflows!AQ161</f>
        <v>0</v>
      </c>
      <c r="AR87" s="222">
        <f ca="1" xml:space="preserve"> ProjectCashflows!AR161</f>
        <v>0</v>
      </c>
      <c r="AS87" s="222">
        <f ca="1" xml:space="preserve"> ProjectCashflows!AS161</f>
        <v>0</v>
      </c>
      <c r="AT87" s="222">
        <f ca="1" xml:space="preserve"> ProjectCashflows!AT161</f>
        <v>0</v>
      </c>
      <c r="AU87" s="222">
        <f ca="1" xml:space="preserve"> ProjectCashflows!AU161</f>
        <v>0</v>
      </c>
      <c r="AV87" s="222">
        <f ca="1" xml:space="preserve"> ProjectCashflows!AV161</f>
        <v>0</v>
      </c>
      <c r="AW87" s="222">
        <f ca="1" xml:space="preserve"> ProjectCashflows!AW161</f>
        <v>0</v>
      </c>
      <c r="AX87" s="222">
        <f ca="1" xml:space="preserve"> ProjectCashflows!AX161</f>
        <v>0</v>
      </c>
    </row>
    <row r="88" spans="1:50" ht="15" customHeight="1" x14ac:dyDescent="0.25">
      <c r="A88" s="222"/>
      <c r="B88" s="222"/>
      <c r="C88" s="222"/>
      <c r="D88" s="222"/>
      <c r="E88" s="222" t="str">
        <f xml:space="preserve"> ProjectCashflows!E162</f>
        <v>Decommissioning costs, after ELT</v>
      </c>
      <c r="F88" s="222">
        <f xml:space="preserve"> ProjectCashflows!F162</f>
        <v>0</v>
      </c>
      <c r="G88" s="222" t="str">
        <f xml:space="preserve"> ProjectCashflows!G162</f>
        <v>US$ mn 2021</v>
      </c>
      <c r="H88" s="222">
        <f xml:space="preserve"> ProjectCashflows!H162</f>
        <v>0</v>
      </c>
      <c r="I88" s="222">
        <f ca="1" xml:space="preserve"> ProjectCashflows!I162</f>
        <v>750</v>
      </c>
      <c r="J88" s="222">
        <f xml:space="preserve"> ProjectCashflows!J162</f>
        <v>0</v>
      </c>
      <c r="K88" s="222">
        <f ca="1" xml:space="preserve"> ProjectCashflows!K162</f>
        <v>0</v>
      </c>
      <c r="L88" s="222">
        <f ca="1" xml:space="preserve"> ProjectCashflows!L162</f>
        <v>0</v>
      </c>
      <c r="M88" s="222">
        <f ca="1" xml:space="preserve"> ProjectCashflows!M162</f>
        <v>0</v>
      </c>
      <c r="N88" s="222">
        <f ca="1" xml:space="preserve"> ProjectCashflows!N162</f>
        <v>0</v>
      </c>
      <c r="O88" s="222">
        <f ca="1" xml:space="preserve"> ProjectCashflows!O162</f>
        <v>0</v>
      </c>
      <c r="P88" s="222">
        <f ca="1" xml:space="preserve"> ProjectCashflows!P162</f>
        <v>0</v>
      </c>
      <c r="Q88" s="222">
        <f ca="1" xml:space="preserve"> ProjectCashflows!Q162</f>
        <v>0</v>
      </c>
      <c r="R88" s="222">
        <f ca="1" xml:space="preserve"> ProjectCashflows!R162</f>
        <v>0</v>
      </c>
      <c r="S88" s="222">
        <f ca="1" xml:space="preserve"> ProjectCashflows!S162</f>
        <v>0</v>
      </c>
      <c r="T88" s="222">
        <f ca="1" xml:space="preserve"> ProjectCashflows!T162</f>
        <v>0</v>
      </c>
      <c r="U88" s="222">
        <f ca="1" xml:space="preserve"> ProjectCashflows!U162</f>
        <v>0</v>
      </c>
      <c r="V88" s="222">
        <f ca="1" xml:space="preserve"> ProjectCashflows!V162</f>
        <v>0</v>
      </c>
      <c r="W88" s="222">
        <f ca="1" xml:space="preserve"> ProjectCashflows!W162</f>
        <v>0</v>
      </c>
      <c r="X88" s="222">
        <f ca="1" xml:space="preserve"> ProjectCashflows!X162</f>
        <v>0</v>
      </c>
      <c r="Y88" s="222">
        <f ca="1" xml:space="preserve"> ProjectCashflows!Y162</f>
        <v>0</v>
      </c>
      <c r="Z88" s="222">
        <f ca="1" xml:space="preserve"> ProjectCashflows!Z162</f>
        <v>0</v>
      </c>
      <c r="AA88" s="222">
        <f ca="1" xml:space="preserve"> ProjectCashflows!AA162</f>
        <v>0</v>
      </c>
      <c r="AB88" s="222">
        <f ca="1" xml:space="preserve"> ProjectCashflows!AB162</f>
        <v>0</v>
      </c>
      <c r="AC88" s="222">
        <f ca="1" xml:space="preserve"> ProjectCashflows!AC162</f>
        <v>0</v>
      </c>
      <c r="AD88" s="222">
        <f ca="1" xml:space="preserve"> ProjectCashflows!AD162</f>
        <v>0</v>
      </c>
      <c r="AE88" s="222">
        <f ca="1" xml:space="preserve"> ProjectCashflows!AE162</f>
        <v>0</v>
      </c>
      <c r="AF88" s="222">
        <f ca="1" xml:space="preserve"> ProjectCashflows!AF162</f>
        <v>0</v>
      </c>
      <c r="AG88" s="222">
        <f ca="1" xml:space="preserve"> ProjectCashflows!AG162</f>
        <v>0</v>
      </c>
      <c r="AH88" s="222">
        <f ca="1" xml:space="preserve"> ProjectCashflows!AH162</f>
        <v>0</v>
      </c>
      <c r="AI88" s="222">
        <f ca="1" xml:space="preserve"> ProjectCashflows!AI162</f>
        <v>0</v>
      </c>
      <c r="AJ88" s="222">
        <f ca="1" xml:space="preserve"> ProjectCashflows!AJ162</f>
        <v>0</v>
      </c>
      <c r="AK88" s="222">
        <f ca="1" xml:space="preserve"> ProjectCashflows!AK162</f>
        <v>0</v>
      </c>
      <c r="AL88" s="222">
        <f ca="1" xml:space="preserve"> ProjectCashflows!AL162</f>
        <v>250</v>
      </c>
      <c r="AM88" s="222">
        <f ca="1" xml:space="preserve"> ProjectCashflows!AM162</f>
        <v>0</v>
      </c>
      <c r="AN88" s="222">
        <f ca="1" xml:space="preserve"> ProjectCashflows!AN162</f>
        <v>0</v>
      </c>
      <c r="AO88" s="222">
        <f ca="1" xml:space="preserve"> ProjectCashflows!AO162</f>
        <v>0</v>
      </c>
      <c r="AP88" s="222">
        <f ca="1" xml:space="preserve"> ProjectCashflows!AP162</f>
        <v>250</v>
      </c>
      <c r="AQ88" s="222">
        <f ca="1" xml:space="preserve"> ProjectCashflows!AQ162</f>
        <v>250</v>
      </c>
      <c r="AR88" s="222">
        <f ca="1" xml:space="preserve"> ProjectCashflows!AR162</f>
        <v>0</v>
      </c>
      <c r="AS88" s="222">
        <f ca="1" xml:space="preserve"> ProjectCashflows!AS162</f>
        <v>0</v>
      </c>
      <c r="AT88" s="222">
        <f ca="1" xml:space="preserve"> ProjectCashflows!AT162</f>
        <v>0</v>
      </c>
      <c r="AU88" s="222">
        <f ca="1" xml:space="preserve"> ProjectCashflows!AU162</f>
        <v>0</v>
      </c>
      <c r="AV88" s="222">
        <f ca="1" xml:space="preserve"> ProjectCashflows!AV162</f>
        <v>0</v>
      </c>
      <c r="AW88" s="222">
        <f ca="1" xml:space="preserve"> ProjectCashflows!AW162</f>
        <v>0</v>
      </c>
      <c r="AX88" s="222">
        <f ca="1" xml:space="preserve"> ProjectCashflows!AX162</f>
        <v>0</v>
      </c>
    </row>
    <row r="89" spans="1:50" ht="15" customHeight="1" x14ac:dyDescent="0.25">
      <c r="A89" s="222"/>
      <c r="B89" s="222"/>
      <c r="C89" s="222"/>
      <c r="D89" s="222"/>
      <c r="E89" s="222" t="str">
        <f xml:space="preserve"> ProjectCashflows!E163</f>
        <v>Project costs, after ELT</v>
      </c>
      <c r="F89" s="222">
        <f xml:space="preserve"> ProjectCashflows!F163</f>
        <v>0</v>
      </c>
      <c r="G89" s="222" t="str">
        <f xml:space="preserve"> ProjectCashflows!G163</f>
        <v>US$ mn 2021</v>
      </c>
      <c r="H89" s="222">
        <f xml:space="preserve"> ProjectCashflows!H163</f>
        <v>0</v>
      </c>
      <c r="I89" s="222">
        <f ca="1" xml:space="preserve"> ProjectCashflows!I163</f>
        <v>14821</v>
      </c>
      <c r="J89" s="222">
        <f xml:space="preserve"> ProjectCashflows!J163</f>
        <v>0</v>
      </c>
      <c r="K89" s="222">
        <f ca="1" xml:space="preserve"> ProjectCashflows!K163</f>
        <v>420</v>
      </c>
      <c r="L89" s="222">
        <f ca="1" xml:space="preserve"> ProjectCashflows!L163</f>
        <v>50</v>
      </c>
      <c r="M89" s="222">
        <f ca="1" xml:space="preserve"> ProjectCashflows!M163</f>
        <v>300</v>
      </c>
      <c r="N89" s="222">
        <f ca="1" xml:space="preserve"> ProjectCashflows!N163</f>
        <v>1200</v>
      </c>
      <c r="O89" s="222">
        <f ca="1" xml:space="preserve"> ProjectCashflows!O163</f>
        <v>1250</v>
      </c>
      <c r="P89" s="222">
        <f ca="1" xml:space="preserve"> ProjectCashflows!P163</f>
        <v>2280</v>
      </c>
      <c r="Q89" s="222">
        <f ca="1" xml:space="preserve"> ProjectCashflows!Q163</f>
        <v>1360</v>
      </c>
      <c r="R89" s="222">
        <f ca="1" xml:space="preserve"> ProjectCashflows!R163</f>
        <v>710</v>
      </c>
      <c r="S89" s="222">
        <f ca="1" xml:space="preserve"> ProjectCashflows!S163</f>
        <v>510</v>
      </c>
      <c r="T89" s="222">
        <f ca="1" xml:space="preserve"> ProjectCashflows!T163</f>
        <v>510</v>
      </c>
      <c r="U89" s="222">
        <f ca="1" xml:space="preserve"> ProjectCashflows!U163</f>
        <v>510</v>
      </c>
      <c r="V89" s="222">
        <f ca="1" xml:space="preserve"> ProjectCashflows!V163</f>
        <v>510</v>
      </c>
      <c r="W89" s="222">
        <f ca="1" xml:space="preserve"> ProjectCashflows!W163</f>
        <v>510</v>
      </c>
      <c r="X89" s="222">
        <f ca="1" xml:space="preserve"> ProjectCashflows!X163</f>
        <v>510</v>
      </c>
      <c r="Y89" s="222">
        <f ca="1" xml:space="preserve"> ProjectCashflows!Y163</f>
        <v>510</v>
      </c>
      <c r="Z89" s="222">
        <f ca="1" xml:space="preserve"> ProjectCashflows!Z163</f>
        <v>510</v>
      </c>
      <c r="AA89" s="222">
        <f ca="1" xml:space="preserve"> ProjectCashflows!AA163</f>
        <v>510</v>
      </c>
      <c r="AB89" s="222">
        <f ca="1" xml:space="preserve"> ProjectCashflows!AB163</f>
        <v>260</v>
      </c>
      <c r="AC89" s="222">
        <f ca="1" xml:space="preserve"> ProjectCashflows!AC163</f>
        <v>150</v>
      </c>
      <c r="AD89" s="222">
        <f ca="1" xml:space="preserve"> ProjectCashflows!AD163</f>
        <v>340</v>
      </c>
      <c r="AE89" s="222">
        <f ca="1" xml:space="preserve"> ProjectCashflows!AE163</f>
        <v>320</v>
      </c>
      <c r="AF89" s="222">
        <f ca="1" xml:space="preserve"> ProjectCashflows!AF163</f>
        <v>111</v>
      </c>
      <c r="AG89" s="222">
        <f ca="1" xml:space="preserve"> ProjectCashflows!AG163</f>
        <v>100</v>
      </c>
      <c r="AH89" s="222">
        <f ca="1" xml:space="preserve"> ProjectCashflows!AH163</f>
        <v>95</v>
      </c>
      <c r="AI89" s="222">
        <f ca="1" xml:space="preserve"> ProjectCashflows!AI163</f>
        <v>90</v>
      </c>
      <c r="AJ89" s="222">
        <f ca="1" xml:space="preserve"> ProjectCashflows!AJ163</f>
        <v>85</v>
      </c>
      <c r="AK89" s="222">
        <f ca="1" xml:space="preserve"> ProjectCashflows!AK163</f>
        <v>80</v>
      </c>
      <c r="AL89" s="222">
        <f ca="1" xml:space="preserve"> ProjectCashflows!AL163</f>
        <v>325</v>
      </c>
      <c r="AM89" s="222">
        <f ca="1" xml:space="preserve"> ProjectCashflows!AM163</f>
        <v>70</v>
      </c>
      <c r="AN89" s="222">
        <f ca="1" xml:space="preserve"> ProjectCashflows!AN163</f>
        <v>70</v>
      </c>
      <c r="AO89" s="222">
        <f ca="1" xml:space="preserve"> ProjectCashflows!AO163</f>
        <v>65</v>
      </c>
      <c r="AP89" s="222">
        <f ca="1" xml:space="preserve"> ProjectCashflows!AP163</f>
        <v>250</v>
      </c>
      <c r="AQ89" s="222">
        <f ca="1" xml:space="preserve"> ProjectCashflows!AQ163</f>
        <v>250</v>
      </c>
      <c r="AR89" s="222">
        <f ca="1" xml:space="preserve"> ProjectCashflows!AR163</f>
        <v>0</v>
      </c>
      <c r="AS89" s="222">
        <f ca="1" xml:space="preserve"> ProjectCashflows!AS163</f>
        <v>0</v>
      </c>
      <c r="AT89" s="222">
        <f ca="1" xml:space="preserve"> ProjectCashflows!AT163</f>
        <v>0</v>
      </c>
      <c r="AU89" s="222">
        <f ca="1" xml:space="preserve"> ProjectCashflows!AU163</f>
        <v>0</v>
      </c>
      <c r="AV89" s="222">
        <f ca="1" xml:space="preserve"> ProjectCashflows!AV163</f>
        <v>0</v>
      </c>
      <c r="AW89" s="222">
        <f ca="1" xml:space="preserve"> ProjectCashflows!AW163</f>
        <v>0</v>
      </c>
      <c r="AX89" s="222">
        <f ca="1" xml:space="preserve"> ProjectCashflows!AX163</f>
        <v>0</v>
      </c>
    </row>
    <row r="90" spans="1:50" ht="15" customHeight="1" x14ac:dyDescent="0.25">
      <c r="A90" s="139"/>
      <c r="B90" s="139"/>
      <c r="C90" s="300"/>
      <c r="D90" s="300"/>
      <c r="E90" s="40" t="str">
        <f xml:space="preserve"> ProjectCashflows!E$167</f>
        <v>Project cashflows: real after ELT</v>
      </c>
      <c r="F90" s="40">
        <f xml:space="preserve"> ProjectCashflows!F$167</f>
        <v>0</v>
      </c>
      <c r="G90" s="40" t="str">
        <f xml:space="preserve"> ProjectCashflows!G$167</f>
        <v>US$ mn 2021</v>
      </c>
      <c r="H90" s="40">
        <f xml:space="preserve"> ProjectCashflows!H$167</f>
        <v>0</v>
      </c>
      <c r="I90" s="40">
        <f ca="1" xml:space="preserve"> ProjectCashflows!I$167</f>
        <v>29282.023863224538</v>
      </c>
      <c r="J90" s="40">
        <f xml:space="preserve"> ProjectCashflows!J$167</f>
        <v>0</v>
      </c>
      <c r="K90" s="40">
        <f ca="1" xml:space="preserve"> ProjectCashflows!K$167</f>
        <v>-420</v>
      </c>
      <c r="L90" s="40">
        <f ca="1" xml:space="preserve"> ProjectCashflows!L$167</f>
        <v>-50</v>
      </c>
      <c r="M90" s="40">
        <f ca="1" xml:space="preserve"> ProjectCashflows!M$167</f>
        <v>-300</v>
      </c>
      <c r="N90" s="40">
        <f ca="1" xml:space="preserve"> ProjectCashflows!N$167</f>
        <v>-1200</v>
      </c>
      <c r="O90" s="40">
        <f ca="1" xml:space="preserve"> ProjectCashflows!O$167</f>
        <v>-1058.3416418356896</v>
      </c>
      <c r="P90" s="40">
        <f ca="1" xml:space="preserve"> ProjectCashflows!P$167</f>
        <v>-774.375</v>
      </c>
      <c r="Q90" s="40">
        <f ca="1" xml:space="preserve"> ProjectCashflows!Q$167</f>
        <v>1651.25</v>
      </c>
      <c r="R90" s="40">
        <f ca="1" xml:space="preserve"> ProjectCashflows!R$167</f>
        <v>2301.25</v>
      </c>
      <c r="S90" s="40">
        <f ca="1" xml:space="preserve"> ProjectCashflows!S$167</f>
        <v>2501.25</v>
      </c>
      <c r="T90" s="40">
        <f ca="1" xml:space="preserve"> ProjectCashflows!T$167</f>
        <v>2501.25</v>
      </c>
      <c r="U90" s="40">
        <f ca="1" xml:space="preserve"> ProjectCashflows!U$167</f>
        <v>2501.25</v>
      </c>
      <c r="V90" s="40">
        <f ca="1" xml:space="preserve"> ProjectCashflows!V$167</f>
        <v>2501.25</v>
      </c>
      <c r="W90" s="40">
        <f ca="1" xml:space="preserve"> ProjectCashflows!W$167</f>
        <v>2501.25</v>
      </c>
      <c r="X90" s="40">
        <f ca="1" xml:space="preserve"> ProjectCashflows!X$167</f>
        <v>2501.25</v>
      </c>
      <c r="Y90" s="40">
        <f ca="1" xml:space="preserve"> ProjectCashflows!Y$167</f>
        <v>2501.25</v>
      </c>
      <c r="Z90" s="40">
        <f ca="1" xml:space="preserve"> ProjectCashflows!Z$167</f>
        <v>2501.25</v>
      </c>
      <c r="AA90" s="40">
        <f ca="1" xml:space="preserve"> ProjectCashflows!AA$167</f>
        <v>1929.1125000000006</v>
      </c>
      <c r="AB90" s="40">
        <f ca="1" xml:space="preserve"> ProjectCashflows!AB$167</f>
        <v>1715.6811250000005</v>
      </c>
      <c r="AC90" s="40">
        <f ca="1" xml:space="preserve"> ProjectCashflows!AC$167</f>
        <v>1450.3017112500004</v>
      </c>
      <c r="AD90" s="40">
        <f ca="1" xml:space="preserve"> ProjectCashflows!AD$167</f>
        <v>956.24438611250071</v>
      </c>
      <c r="AE90" s="40">
        <f ca="1" xml:space="preserve"> ProjectCashflows!AE$167</f>
        <v>729.9579527511255</v>
      </c>
      <c r="AF90" s="40">
        <f ca="1" xml:space="preserve"> ProjectCashflows!AF$167</f>
        <v>739.46594172841174</v>
      </c>
      <c r="AG90" s="40">
        <f ca="1" xml:space="preserve"> ProjectCashflows!AG$167</f>
        <v>588.87741280001364</v>
      </c>
      <c r="AH90" s="40">
        <f ca="1" xml:space="preserve"> ProjectCashflows!AH$167</f>
        <v>462.99070436801105</v>
      </c>
      <c r="AI90" s="40">
        <f ca="1" xml:space="preserve"> ProjectCashflows!AI$167</f>
        <v>361.972470538089</v>
      </c>
      <c r="AJ90" s="40">
        <f ca="1" xml:space="preserve"> ProjectCashflows!AJ$167</f>
        <v>281.09770113585205</v>
      </c>
      <c r="AK90" s="40">
        <f ca="1" xml:space="preserve"> ProjectCashflows!AK$167</f>
        <v>216.53913792004022</v>
      </c>
      <c r="AL90" s="40">
        <f ca="1" xml:space="preserve"> ProjectCashflows!AL$167</f>
        <v>-84.803298284767465</v>
      </c>
      <c r="AM90" s="40">
        <f ca="1" xml:space="preserve"> ProjectCashflows!AM$167</f>
        <v>124.55932838933836</v>
      </c>
      <c r="AN90" s="40">
        <f ca="1" xml:space="preserve"> ProjectCashflows!AN$167</f>
        <v>87.593055995364068</v>
      </c>
      <c r="AO90" s="40">
        <f ca="1" xml:space="preserve"> ProjectCashflows!AO$167</f>
        <v>62.650375356244936</v>
      </c>
      <c r="AP90" s="40">
        <f ca="1" xml:space="preserve"> ProjectCashflows!AP$167</f>
        <v>-250</v>
      </c>
      <c r="AQ90" s="40">
        <f ca="1" xml:space="preserve"> ProjectCashflows!AQ$167</f>
        <v>-250</v>
      </c>
      <c r="AR90" s="40">
        <f ca="1" xml:space="preserve"> ProjectCashflows!AR$167</f>
        <v>0</v>
      </c>
      <c r="AS90" s="40">
        <f ca="1" xml:space="preserve"> ProjectCashflows!AS$167</f>
        <v>0</v>
      </c>
      <c r="AT90" s="40">
        <f ca="1" xml:space="preserve"> ProjectCashflows!AT$167</f>
        <v>0</v>
      </c>
      <c r="AU90" s="40">
        <f ca="1" xml:space="preserve"> ProjectCashflows!AU$167</f>
        <v>0</v>
      </c>
      <c r="AV90" s="40">
        <f ca="1" xml:space="preserve"> ProjectCashflows!AV$167</f>
        <v>0</v>
      </c>
      <c r="AW90" s="40">
        <f ca="1" xml:space="preserve"> ProjectCashflows!AW$167</f>
        <v>0</v>
      </c>
      <c r="AX90" s="40">
        <f ca="1" xml:space="preserve"> ProjectCashflows!AX$167</f>
        <v>0</v>
      </c>
    </row>
    <row r="91" spans="1:50" ht="15" customHeight="1" x14ac:dyDescent="0.25">
      <c r="A91" s="89"/>
      <c r="B91" s="89"/>
      <c r="C91" s="301"/>
      <c r="D91" s="301"/>
      <c r="E91" s="3" t="str">
        <f xml:space="preserve"> Translate!E$755 &amp; A74</f>
        <v>Check: Project revenues and costs</v>
      </c>
      <c r="F91" s="157">
        <f ca="1" xml:space="preserve"> IF( ABS( SUM( K91:AX91)) &gt; CHK_TOL, 1, 0)</f>
        <v>0</v>
      </c>
      <c r="G91" s="3" t="str">
        <f xml:space="preserve"> G90</f>
        <v>US$ mn 2021</v>
      </c>
      <c r="K91" s="3">
        <f ca="1" xml:space="preserve"> K83 - K89 - K90</f>
        <v>0</v>
      </c>
      <c r="L91" s="3">
        <f t="shared" ref="L91:AC91" ca="1" si="13" xml:space="preserve"> L83 - L89 - L90</f>
        <v>0</v>
      </c>
      <c r="M91" s="3">
        <f t="shared" ca="1" si="13"/>
        <v>0</v>
      </c>
      <c r="N91" s="3">
        <f t="shared" ca="1" si="13"/>
        <v>0</v>
      </c>
      <c r="O91" s="3">
        <f t="shared" ca="1" si="13"/>
        <v>0</v>
      </c>
      <c r="P91" s="3">
        <f t="shared" ca="1" si="13"/>
        <v>0</v>
      </c>
      <c r="Q91" s="3">
        <f t="shared" ca="1" si="13"/>
        <v>0</v>
      </c>
      <c r="R91" s="3">
        <f t="shared" ca="1" si="13"/>
        <v>0</v>
      </c>
      <c r="S91" s="3">
        <f t="shared" ca="1" si="13"/>
        <v>0</v>
      </c>
      <c r="T91" s="3">
        <f t="shared" ca="1" si="13"/>
        <v>0</v>
      </c>
      <c r="U91" s="3">
        <f t="shared" ca="1" si="13"/>
        <v>0</v>
      </c>
      <c r="V91" s="3">
        <f t="shared" ca="1" si="13"/>
        <v>0</v>
      </c>
      <c r="W91" s="3">
        <f t="shared" ca="1" si="13"/>
        <v>0</v>
      </c>
      <c r="X91" s="3">
        <f t="shared" ca="1" si="13"/>
        <v>0</v>
      </c>
      <c r="Y91" s="3">
        <f t="shared" ca="1" si="13"/>
        <v>0</v>
      </c>
      <c r="Z91" s="3">
        <f t="shared" ca="1" si="13"/>
        <v>0</v>
      </c>
      <c r="AA91" s="3">
        <f t="shared" ca="1" si="13"/>
        <v>0</v>
      </c>
      <c r="AB91" s="3">
        <f t="shared" ca="1" si="13"/>
        <v>0</v>
      </c>
      <c r="AC91" s="3">
        <f t="shared" ca="1" si="13"/>
        <v>0</v>
      </c>
      <c r="AD91" s="3">
        <f t="shared" ref="AD91:AX91" ca="1" si="14" xml:space="preserve"> AD83 - AD89 - AD90</f>
        <v>0</v>
      </c>
      <c r="AE91" s="3">
        <f t="shared" ca="1" si="14"/>
        <v>0</v>
      </c>
      <c r="AF91" s="3">
        <f t="shared" ca="1" si="14"/>
        <v>0</v>
      </c>
      <c r="AG91" s="3">
        <f t="shared" ca="1" si="14"/>
        <v>0</v>
      </c>
      <c r="AH91" s="3">
        <f t="shared" ca="1" si="14"/>
        <v>0</v>
      </c>
      <c r="AI91" s="3">
        <f t="shared" ca="1" si="14"/>
        <v>0</v>
      </c>
      <c r="AJ91" s="3">
        <f t="shared" ca="1" si="14"/>
        <v>0</v>
      </c>
      <c r="AK91" s="3">
        <f t="shared" ca="1" si="14"/>
        <v>0</v>
      </c>
      <c r="AL91" s="3">
        <f t="shared" ca="1" si="14"/>
        <v>0</v>
      </c>
      <c r="AM91" s="3">
        <f t="shared" ca="1" si="14"/>
        <v>0</v>
      </c>
      <c r="AN91" s="3">
        <f t="shared" ca="1" si="14"/>
        <v>0</v>
      </c>
      <c r="AO91" s="3">
        <f t="shared" ca="1" si="14"/>
        <v>0</v>
      </c>
      <c r="AP91" s="3">
        <f t="shared" ca="1" si="14"/>
        <v>0</v>
      </c>
      <c r="AQ91" s="3">
        <f t="shared" ca="1" si="14"/>
        <v>0</v>
      </c>
      <c r="AR91" s="3">
        <f t="shared" ca="1" si="14"/>
        <v>0</v>
      </c>
      <c r="AS91" s="3">
        <f t="shared" ca="1" si="14"/>
        <v>0</v>
      </c>
      <c r="AT91" s="3">
        <f t="shared" ca="1" si="14"/>
        <v>0</v>
      </c>
      <c r="AU91" s="3">
        <f t="shared" ca="1" si="14"/>
        <v>0</v>
      </c>
      <c r="AV91" s="3">
        <f t="shared" ca="1" si="14"/>
        <v>0</v>
      </c>
      <c r="AW91" s="3">
        <f t="shared" ca="1" si="14"/>
        <v>0</v>
      </c>
      <c r="AX91" s="3">
        <f t="shared" ca="1" si="14"/>
        <v>0</v>
      </c>
    </row>
    <row r="92" spans="1:50" ht="15" customHeight="1" x14ac:dyDescent="0.25">
      <c r="A92" s="89"/>
      <c r="B92" s="89"/>
      <c r="C92" s="301"/>
      <c r="D92" s="301"/>
      <c r="F92" s="89"/>
      <c r="G92" s="89"/>
      <c r="H92" s="89"/>
      <c r="I92" s="89"/>
      <c r="J92" s="89"/>
      <c r="K92" s="89"/>
      <c r="L92" s="301"/>
      <c r="M92" s="301"/>
      <c r="N92" s="301"/>
      <c r="O92" s="301"/>
      <c r="P92" s="301"/>
      <c r="Q92" s="301"/>
      <c r="R92" s="301"/>
      <c r="S92" s="301"/>
      <c r="T92" s="301"/>
      <c r="U92" s="301"/>
      <c r="V92" s="301"/>
      <c r="W92" s="301"/>
      <c r="X92" s="301"/>
      <c r="Y92" s="89"/>
      <c r="Z92" s="89"/>
      <c r="AA92" s="89"/>
      <c r="AB92" s="89"/>
      <c r="AC92" s="89"/>
      <c r="AD92" s="89"/>
      <c r="AE92" s="89"/>
      <c r="AF92" s="89"/>
      <c r="AG92" s="89"/>
      <c r="AH92" s="89"/>
      <c r="AI92" s="89"/>
      <c r="AJ92" s="89"/>
      <c r="AK92" s="89"/>
      <c r="AL92" s="89"/>
      <c r="AM92" s="89"/>
      <c r="AN92" s="89"/>
      <c r="AO92" s="89"/>
      <c r="AP92" s="89"/>
      <c r="AQ92" s="89"/>
      <c r="AR92" s="89"/>
      <c r="AS92" s="89"/>
      <c r="AT92" s="89"/>
      <c r="AU92" s="89"/>
      <c r="AV92" s="89"/>
      <c r="AW92" s="89"/>
      <c r="AX92" s="89"/>
    </row>
    <row r="93" spans="1:50" ht="15" customHeight="1" x14ac:dyDescent="0.25">
      <c r="A93" s="89"/>
      <c r="B93" s="89"/>
      <c r="C93" s="301"/>
      <c r="D93" s="301"/>
      <c r="F93" s="89"/>
      <c r="G93" s="89"/>
      <c r="H93" s="89"/>
      <c r="I93" s="89"/>
      <c r="J93" s="89"/>
      <c r="K93" s="89"/>
      <c r="L93" s="301"/>
      <c r="M93" s="301"/>
      <c r="N93" s="301"/>
      <c r="O93" s="301"/>
      <c r="P93" s="301"/>
      <c r="Q93" s="301"/>
      <c r="R93" s="301"/>
      <c r="S93" s="301"/>
      <c r="T93" s="301"/>
      <c r="U93" s="301"/>
      <c r="V93" s="301"/>
      <c r="W93" s="301"/>
      <c r="X93" s="301"/>
      <c r="Y93" s="89"/>
      <c r="Z93" s="89"/>
      <c r="AA93" s="89"/>
      <c r="AB93" s="89"/>
      <c r="AC93" s="89"/>
      <c r="AD93" s="89"/>
      <c r="AE93" s="89"/>
      <c r="AF93" s="89"/>
      <c r="AG93" s="89"/>
      <c r="AH93" s="89"/>
      <c r="AI93" s="89"/>
      <c r="AJ93" s="89"/>
      <c r="AK93" s="89"/>
      <c r="AL93" s="89"/>
      <c r="AM93" s="89"/>
      <c r="AN93" s="89"/>
      <c r="AO93" s="89"/>
      <c r="AP93" s="89"/>
      <c r="AQ93" s="89"/>
      <c r="AR93" s="89"/>
      <c r="AS93" s="89"/>
      <c r="AT93" s="89"/>
      <c r="AU93" s="89"/>
      <c r="AV93" s="89"/>
      <c r="AW93" s="89"/>
      <c r="AX93" s="89"/>
    </row>
    <row r="94" spans="1:50" ht="15" customHeight="1" x14ac:dyDescent="0.25">
      <c r="A94" s="89"/>
      <c r="B94" s="89"/>
      <c r="C94" s="301"/>
      <c r="D94" s="301"/>
      <c r="E94" s="89"/>
      <c r="F94" s="89"/>
      <c r="G94" s="89"/>
      <c r="H94" s="89"/>
      <c r="I94" s="89"/>
      <c r="J94" s="89"/>
      <c r="K94" s="89"/>
      <c r="L94" s="301"/>
      <c r="M94" s="301"/>
      <c r="N94" s="301"/>
      <c r="O94" s="301"/>
      <c r="P94" s="301"/>
      <c r="Q94" s="301"/>
      <c r="R94" s="301"/>
      <c r="S94" s="301"/>
      <c r="T94" s="301"/>
      <c r="U94" s="301"/>
      <c r="V94" s="301"/>
      <c r="W94" s="301"/>
      <c r="X94" s="301"/>
      <c r="Y94" s="89"/>
      <c r="Z94" s="89"/>
      <c r="AA94" s="89"/>
      <c r="AB94" s="89"/>
      <c r="AC94" s="89"/>
      <c r="AD94" s="89"/>
      <c r="AE94" s="89"/>
      <c r="AF94" s="89"/>
      <c r="AG94" s="89"/>
      <c r="AH94" s="89"/>
      <c r="AI94" s="89"/>
      <c r="AJ94" s="89"/>
      <c r="AK94" s="89"/>
      <c r="AL94" s="89"/>
      <c r="AM94" s="89"/>
      <c r="AN94" s="89"/>
      <c r="AO94" s="89"/>
      <c r="AP94" s="89"/>
      <c r="AQ94" s="89"/>
      <c r="AR94" s="89"/>
      <c r="AS94" s="89"/>
      <c r="AT94" s="89"/>
      <c r="AU94" s="89"/>
      <c r="AV94" s="89"/>
      <c r="AW94" s="89"/>
      <c r="AX94" s="89"/>
    </row>
    <row r="95" spans="1:50" ht="15" customHeight="1" x14ac:dyDescent="0.25">
      <c r="A95" s="89"/>
      <c r="B95" s="89"/>
      <c r="C95" s="301"/>
      <c r="D95" s="301"/>
      <c r="E95" s="89"/>
      <c r="F95" s="89"/>
      <c r="G95" s="89"/>
      <c r="H95" s="89"/>
      <c r="I95" s="89"/>
      <c r="J95" s="89"/>
      <c r="K95" s="89"/>
      <c r="L95" s="301"/>
      <c r="M95" s="301"/>
      <c r="N95" s="301"/>
      <c r="O95" s="301"/>
      <c r="P95" s="301"/>
      <c r="Q95" s="301"/>
      <c r="R95" s="301"/>
      <c r="S95" s="301"/>
      <c r="T95" s="301"/>
      <c r="U95" s="301"/>
      <c r="V95" s="301"/>
      <c r="W95" s="301"/>
      <c r="X95" s="301"/>
      <c r="Y95" s="89"/>
      <c r="Z95" s="89"/>
      <c r="AA95" s="89"/>
      <c r="AB95" s="89"/>
      <c r="AC95" s="89"/>
      <c r="AD95" s="89"/>
      <c r="AE95" s="89"/>
      <c r="AF95" s="89"/>
      <c r="AG95" s="89"/>
      <c r="AH95" s="89"/>
      <c r="AI95" s="89"/>
      <c r="AJ95" s="89"/>
      <c r="AK95" s="89"/>
      <c r="AL95" s="89"/>
      <c r="AM95" s="89"/>
      <c r="AN95" s="89"/>
      <c r="AO95" s="89"/>
      <c r="AP95" s="89"/>
      <c r="AQ95" s="89"/>
      <c r="AR95" s="89"/>
      <c r="AS95" s="89"/>
      <c r="AT95" s="89"/>
      <c r="AU95" s="89"/>
      <c r="AV95" s="89"/>
      <c r="AW95" s="89"/>
      <c r="AX95" s="89"/>
    </row>
    <row r="96" spans="1:50" ht="15" customHeight="1" x14ac:dyDescent="0.25">
      <c r="A96" s="89"/>
      <c r="B96" s="89"/>
      <c r="C96" s="301"/>
      <c r="D96" s="301"/>
      <c r="E96" s="89"/>
      <c r="F96" s="89"/>
      <c r="G96" s="89"/>
      <c r="H96" s="89"/>
      <c r="I96" s="89"/>
      <c r="J96" s="89"/>
      <c r="K96" s="89"/>
      <c r="L96" s="301"/>
      <c r="M96" s="301"/>
      <c r="N96" s="301"/>
      <c r="O96" s="301"/>
      <c r="P96" s="301"/>
      <c r="Q96" s="301"/>
      <c r="R96" s="301"/>
      <c r="S96" s="301"/>
      <c r="T96" s="301"/>
      <c r="U96" s="301"/>
      <c r="V96" s="301"/>
      <c r="W96" s="301"/>
      <c r="X96" s="301"/>
      <c r="Y96" s="89"/>
      <c r="Z96" s="89"/>
      <c r="AA96" s="89"/>
      <c r="AB96" s="89"/>
      <c r="AC96" s="89"/>
      <c r="AD96" s="89"/>
      <c r="AE96" s="89"/>
      <c r="AF96" s="89"/>
      <c r="AG96" s="89"/>
      <c r="AH96" s="89"/>
      <c r="AI96" s="89"/>
      <c r="AJ96" s="89"/>
      <c r="AK96" s="89"/>
      <c r="AL96" s="89"/>
      <c r="AM96" s="89"/>
      <c r="AN96" s="89"/>
      <c r="AO96" s="89"/>
      <c r="AP96" s="89"/>
      <c r="AQ96" s="89"/>
      <c r="AR96" s="89"/>
      <c r="AS96" s="89"/>
      <c r="AT96" s="89"/>
      <c r="AU96" s="89"/>
      <c r="AV96" s="89"/>
      <c r="AW96" s="89"/>
      <c r="AX96" s="89"/>
    </row>
    <row r="97" spans="1:50" ht="15" customHeight="1" x14ac:dyDescent="0.25">
      <c r="A97" s="89"/>
      <c r="B97" s="89"/>
      <c r="C97" s="301"/>
      <c r="D97" s="301"/>
      <c r="E97" s="89"/>
      <c r="F97" s="89"/>
      <c r="G97" s="89"/>
      <c r="H97" s="89"/>
      <c r="I97" s="89"/>
      <c r="J97" s="89"/>
      <c r="K97" s="89"/>
      <c r="L97" s="301"/>
      <c r="M97" s="301"/>
      <c r="N97" s="301"/>
      <c r="O97" s="301"/>
      <c r="P97" s="301"/>
      <c r="Q97" s="301"/>
      <c r="R97" s="301"/>
      <c r="S97" s="301"/>
      <c r="T97" s="301"/>
      <c r="U97" s="301"/>
      <c r="V97" s="301"/>
      <c r="W97" s="301"/>
      <c r="X97" s="301"/>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row>
    <row r="98" spans="1:50" ht="15" customHeight="1" x14ac:dyDescent="0.25">
      <c r="A98" s="89"/>
      <c r="B98" s="89"/>
      <c r="C98" s="301"/>
      <c r="D98" s="301"/>
      <c r="E98" s="89"/>
      <c r="F98" s="89"/>
      <c r="G98" s="89"/>
      <c r="H98" s="89"/>
      <c r="I98" s="89"/>
      <c r="J98" s="89"/>
      <c r="K98" s="89"/>
      <c r="L98" s="301"/>
      <c r="M98" s="301"/>
      <c r="N98" s="301"/>
      <c r="O98" s="301"/>
      <c r="P98" s="301"/>
      <c r="Q98" s="301"/>
      <c r="R98" s="301"/>
      <c r="S98" s="301"/>
      <c r="T98" s="301"/>
      <c r="U98" s="301"/>
      <c r="V98" s="301"/>
      <c r="W98" s="301"/>
      <c r="X98" s="301"/>
      <c r="Y98" s="89"/>
      <c r="Z98" s="89"/>
      <c r="AA98" s="89"/>
      <c r="AB98" s="89"/>
      <c r="AC98" s="89"/>
      <c r="AD98" s="89"/>
      <c r="AE98" s="89"/>
      <c r="AF98" s="89"/>
      <c r="AG98" s="89"/>
      <c r="AH98" s="89"/>
      <c r="AI98" s="89"/>
      <c r="AJ98" s="89"/>
      <c r="AK98" s="89"/>
      <c r="AL98" s="89"/>
      <c r="AM98" s="89"/>
      <c r="AN98" s="89"/>
      <c r="AO98" s="89"/>
      <c r="AP98" s="89"/>
      <c r="AQ98" s="89"/>
      <c r="AR98" s="89"/>
      <c r="AS98" s="89"/>
      <c r="AT98" s="89"/>
      <c r="AU98" s="89"/>
      <c r="AV98" s="89"/>
      <c r="AW98" s="89"/>
      <c r="AX98" s="89"/>
    </row>
    <row r="99" spans="1:50" ht="15" customHeight="1" x14ac:dyDescent="0.25">
      <c r="A99" s="89"/>
      <c r="B99" s="89"/>
      <c r="C99" s="301"/>
      <c r="D99" s="301"/>
      <c r="E99" s="89"/>
      <c r="F99" s="89"/>
      <c r="G99" s="89"/>
      <c r="H99" s="89"/>
      <c r="I99" s="89"/>
      <c r="J99" s="89"/>
      <c r="K99" s="89"/>
      <c r="L99" s="301"/>
      <c r="M99" s="301"/>
      <c r="N99" s="301"/>
      <c r="O99" s="301"/>
      <c r="P99" s="301"/>
      <c r="Q99" s="301"/>
      <c r="R99" s="301"/>
      <c r="S99" s="301"/>
      <c r="T99" s="301"/>
      <c r="U99" s="301"/>
      <c r="V99" s="301"/>
      <c r="W99" s="301"/>
      <c r="X99" s="301"/>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row>
    <row r="100" spans="1:50" ht="15" customHeight="1" x14ac:dyDescent="0.25">
      <c r="A100" s="56"/>
      <c r="B100" s="56"/>
      <c r="C100" s="98"/>
      <c r="D100" s="98"/>
      <c r="E100" s="56"/>
      <c r="F100" s="56"/>
      <c r="G100" s="56"/>
      <c r="H100" s="56"/>
      <c r="I100" s="56"/>
      <c r="J100" s="56"/>
      <c r="K100" s="56"/>
      <c r="L100" s="98"/>
      <c r="M100" s="98"/>
      <c r="N100" s="98"/>
      <c r="O100" s="98"/>
      <c r="P100" s="98"/>
      <c r="Q100" s="98"/>
      <c r="R100" s="98"/>
      <c r="S100" s="98"/>
      <c r="T100" s="98"/>
      <c r="U100" s="98"/>
      <c r="V100" s="98"/>
      <c r="W100" s="98"/>
      <c r="X100" s="98"/>
      <c r="Y100" s="56"/>
      <c r="Z100" s="56"/>
      <c r="AA100" s="56"/>
      <c r="AB100" s="56"/>
      <c r="AC100" s="56"/>
      <c r="AD100" s="56"/>
      <c r="AE100" s="56"/>
      <c r="AF100" s="56"/>
      <c r="AG100" s="56"/>
      <c r="AH100" s="56"/>
      <c r="AI100" s="56"/>
      <c r="AJ100" s="56"/>
      <c r="AK100" s="56"/>
      <c r="AL100" s="56"/>
      <c r="AM100" s="56"/>
      <c r="AN100" s="56"/>
      <c r="AO100" s="56"/>
      <c r="AP100" s="56"/>
      <c r="AQ100" s="56"/>
      <c r="AR100" s="56"/>
      <c r="AS100" s="56"/>
      <c r="AT100" s="56"/>
      <c r="AU100" s="56"/>
      <c r="AV100" s="56"/>
      <c r="AW100" s="56"/>
      <c r="AX100" s="56"/>
    </row>
    <row r="101" spans="1:50" ht="15" customHeight="1" x14ac:dyDescent="0.25">
      <c r="A101" s="89"/>
      <c r="B101" s="89"/>
      <c r="C101" s="301"/>
      <c r="D101" s="301"/>
      <c r="E101" s="89"/>
      <c r="F101" s="89"/>
      <c r="G101" s="89"/>
      <c r="H101" s="89"/>
      <c r="I101" s="89"/>
      <c r="J101" s="89"/>
      <c r="K101" s="89"/>
      <c r="L101" s="301"/>
      <c r="M101" s="301"/>
      <c r="N101" s="301"/>
      <c r="O101" s="301"/>
      <c r="P101" s="301"/>
      <c r="Q101" s="301"/>
      <c r="R101" s="301"/>
      <c r="S101" s="301"/>
      <c r="T101" s="301"/>
      <c r="U101" s="301"/>
      <c r="V101" s="301"/>
      <c r="W101" s="301"/>
      <c r="X101" s="301"/>
      <c r="Y101" s="89"/>
      <c r="Z101" s="89"/>
      <c r="AA101" s="89"/>
      <c r="AB101" s="89"/>
      <c r="AC101" s="89"/>
      <c r="AD101" s="89"/>
      <c r="AE101" s="89"/>
      <c r="AF101" s="89"/>
      <c r="AG101" s="89"/>
      <c r="AH101" s="89"/>
      <c r="AI101" s="89"/>
      <c r="AJ101" s="89"/>
      <c r="AK101" s="89"/>
      <c r="AL101" s="89"/>
      <c r="AM101" s="89"/>
      <c r="AN101" s="89"/>
      <c r="AO101" s="89"/>
      <c r="AP101" s="89"/>
      <c r="AQ101" s="89"/>
      <c r="AR101" s="89"/>
      <c r="AS101" s="89"/>
      <c r="AT101" s="89"/>
      <c r="AU101" s="89"/>
      <c r="AV101" s="89"/>
      <c r="AW101" s="89"/>
      <c r="AX101" s="89"/>
    </row>
    <row r="102" spans="1:50" ht="15" customHeight="1" x14ac:dyDescent="0.25">
      <c r="A102" s="89"/>
      <c r="B102" s="89"/>
      <c r="C102" s="301"/>
      <c r="D102" s="301"/>
      <c r="E102" s="89"/>
      <c r="F102" s="89"/>
      <c r="G102" s="89"/>
      <c r="H102" s="89"/>
      <c r="I102" s="89"/>
      <c r="J102" s="89"/>
      <c r="K102" s="89"/>
      <c r="L102" s="301"/>
      <c r="M102" s="301"/>
      <c r="N102" s="301"/>
      <c r="O102" s="301"/>
      <c r="P102" s="301"/>
      <c r="Q102" s="301"/>
      <c r="R102" s="301"/>
      <c r="S102" s="301"/>
      <c r="T102" s="301"/>
      <c r="U102" s="301"/>
      <c r="V102" s="301"/>
      <c r="W102" s="301"/>
      <c r="X102" s="301"/>
      <c r="Y102" s="89"/>
      <c r="Z102" s="89"/>
      <c r="AA102" s="89"/>
      <c r="AB102" s="89"/>
      <c r="AC102" s="89"/>
      <c r="AD102" s="89"/>
      <c r="AE102" s="89"/>
      <c r="AF102" s="89"/>
      <c r="AG102" s="89"/>
      <c r="AH102" s="89"/>
      <c r="AI102" s="89"/>
      <c r="AJ102" s="89"/>
      <c r="AK102" s="89"/>
      <c r="AL102" s="89"/>
      <c r="AM102" s="89"/>
      <c r="AN102" s="89"/>
      <c r="AO102" s="89"/>
      <c r="AP102" s="89"/>
      <c r="AQ102" s="89"/>
      <c r="AR102" s="89"/>
      <c r="AS102" s="89"/>
      <c r="AT102" s="89"/>
      <c r="AU102" s="89"/>
      <c r="AV102" s="89"/>
      <c r="AW102" s="89"/>
      <c r="AX102" s="89"/>
    </row>
    <row r="103" spans="1:50" ht="15" customHeight="1" x14ac:dyDescent="0.25">
      <c r="A103" s="89"/>
      <c r="B103" s="89"/>
      <c r="C103" s="301"/>
      <c r="D103" s="301"/>
      <c r="E103" s="89"/>
      <c r="F103" s="89"/>
      <c r="G103" s="89"/>
      <c r="H103" s="89"/>
      <c r="I103" s="89"/>
      <c r="J103" s="89"/>
      <c r="K103" s="89"/>
      <c r="L103" s="301"/>
      <c r="M103" s="301"/>
      <c r="N103" s="301"/>
      <c r="O103" s="301"/>
      <c r="P103" s="301"/>
      <c r="Q103" s="301"/>
      <c r="R103" s="301"/>
      <c r="S103" s="301"/>
      <c r="T103" s="301"/>
      <c r="U103" s="301"/>
      <c r="V103" s="301"/>
      <c r="W103" s="301"/>
      <c r="X103" s="301"/>
      <c r="Y103" s="89"/>
      <c r="Z103" s="89"/>
      <c r="AA103" s="89"/>
      <c r="AB103" s="89"/>
      <c r="AC103" s="89"/>
      <c r="AD103" s="89"/>
      <c r="AE103" s="89"/>
      <c r="AF103" s="89"/>
      <c r="AG103" s="89"/>
      <c r="AH103" s="89"/>
      <c r="AI103" s="89"/>
      <c r="AJ103" s="89"/>
      <c r="AK103" s="89"/>
      <c r="AL103" s="89"/>
      <c r="AM103" s="89"/>
      <c r="AN103" s="89"/>
      <c r="AO103" s="89"/>
      <c r="AP103" s="89"/>
      <c r="AQ103" s="89"/>
      <c r="AR103" s="89"/>
      <c r="AS103" s="89"/>
      <c r="AT103" s="89"/>
      <c r="AU103" s="89"/>
      <c r="AV103" s="89"/>
      <c r="AW103" s="89"/>
      <c r="AX103" s="89"/>
    </row>
    <row r="104" spans="1:50" ht="15" customHeight="1" x14ac:dyDescent="0.25">
      <c r="A104" s="89"/>
      <c r="B104" s="89"/>
      <c r="C104" s="301"/>
      <c r="D104" s="301"/>
      <c r="E104" s="89"/>
      <c r="F104" s="89"/>
      <c r="G104" s="89"/>
      <c r="H104" s="89"/>
      <c r="I104" s="89"/>
      <c r="J104" s="89"/>
      <c r="K104" s="89"/>
      <c r="L104" s="301"/>
      <c r="M104" s="301"/>
      <c r="N104" s="301"/>
      <c r="O104" s="301"/>
      <c r="P104" s="301"/>
      <c r="Q104" s="301"/>
      <c r="R104" s="301"/>
      <c r="S104" s="301"/>
      <c r="T104" s="301"/>
      <c r="U104" s="301"/>
      <c r="V104" s="301"/>
      <c r="W104" s="301"/>
      <c r="X104" s="301"/>
      <c r="Y104" s="89"/>
      <c r="Z104" s="89"/>
      <c r="AA104" s="89"/>
      <c r="AB104" s="89"/>
      <c r="AC104" s="89"/>
      <c r="AD104" s="89"/>
      <c r="AE104" s="89"/>
      <c r="AF104" s="89"/>
      <c r="AG104" s="89"/>
      <c r="AH104" s="89"/>
      <c r="AI104" s="89"/>
      <c r="AJ104" s="89"/>
      <c r="AK104" s="89"/>
      <c r="AL104" s="89"/>
      <c r="AM104" s="89"/>
      <c r="AN104" s="89"/>
      <c r="AO104" s="89"/>
      <c r="AP104" s="89"/>
      <c r="AQ104" s="89"/>
      <c r="AR104" s="89"/>
      <c r="AS104" s="89"/>
      <c r="AT104" s="89"/>
      <c r="AU104" s="89"/>
      <c r="AV104" s="89"/>
      <c r="AW104" s="89"/>
      <c r="AX104" s="89"/>
    </row>
    <row r="105" spans="1:50" ht="15" customHeight="1" x14ac:dyDescent="0.25">
      <c r="A105" s="89"/>
      <c r="B105" s="89"/>
      <c r="C105" s="301"/>
      <c r="D105" s="301"/>
      <c r="E105" s="89"/>
      <c r="F105" s="89"/>
      <c r="G105" s="89"/>
      <c r="H105" s="89"/>
      <c r="I105" s="89"/>
      <c r="J105" s="89"/>
      <c r="K105" s="89"/>
      <c r="L105" s="301"/>
      <c r="M105" s="301"/>
      <c r="N105" s="301"/>
      <c r="O105" s="301"/>
      <c r="P105" s="301"/>
      <c r="Q105" s="301"/>
      <c r="R105" s="301"/>
      <c r="S105" s="301"/>
      <c r="T105" s="301"/>
      <c r="U105" s="301"/>
      <c r="V105" s="301"/>
      <c r="W105" s="301"/>
      <c r="X105" s="301"/>
      <c r="Y105" s="89"/>
      <c r="Z105" s="89"/>
      <c r="AA105" s="89"/>
      <c r="AB105" s="89"/>
      <c r="AC105" s="89"/>
      <c r="AD105" s="89"/>
      <c r="AE105" s="89"/>
      <c r="AF105" s="89"/>
      <c r="AG105" s="89"/>
      <c r="AH105" s="89"/>
      <c r="AI105" s="89"/>
      <c r="AJ105" s="89"/>
      <c r="AK105" s="89"/>
      <c r="AL105" s="89"/>
      <c r="AM105" s="89"/>
      <c r="AN105" s="89"/>
      <c r="AO105" s="89"/>
      <c r="AP105" s="89"/>
      <c r="AQ105" s="89"/>
      <c r="AR105" s="89"/>
      <c r="AS105" s="89"/>
      <c r="AT105" s="89"/>
      <c r="AU105" s="89"/>
      <c r="AV105" s="89"/>
      <c r="AW105" s="89"/>
      <c r="AX105" s="89"/>
    </row>
    <row r="106" spans="1:50" ht="15" customHeight="1" x14ac:dyDescent="0.25">
      <c r="A106" s="89"/>
      <c r="B106" s="89"/>
      <c r="C106" s="301"/>
      <c r="D106" s="301"/>
      <c r="E106" s="89"/>
      <c r="F106" s="89"/>
      <c r="G106" s="89"/>
      <c r="H106" s="89"/>
      <c r="I106" s="89"/>
      <c r="J106" s="89"/>
      <c r="K106" s="89"/>
      <c r="L106" s="301"/>
      <c r="M106" s="301"/>
      <c r="N106" s="301"/>
      <c r="O106" s="301"/>
      <c r="P106" s="301"/>
      <c r="Q106" s="301"/>
      <c r="R106" s="301"/>
      <c r="S106" s="301"/>
      <c r="T106" s="301"/>
      <c r="U106" s="301"/>
      <c r="V106" s="301"/>
      <c r="W106" s="301"/>
      <c r="X106" s="301"/>
      <c r="Y106" s="89"/>
      <c r="Z106" s="89"/>
      <c r="AA106" s="89"/>
      <c r="AB106" s="89"/>
      <c r="AC106" s="89"/>
      <c r="AD106" s="89"/>
      <c r="AE106" s="89"/>
      <c r="AF106" s="89"/>
      <c r="AG106" s="89"/>
      <c r="AH106" s="89"/>
      <c r="AI106" s="89"/>
      <c r="AJ106" s="89"/>
      <c r="AK106" s="89"/>
      <c r="AL106" s="89"/>
      <c r="AM106" s="89"/>
      <c r="AN106" s="89"/>
      <c r="AO106" s="89"/>
      <c r="AP106" s="89"/>
      <c r="AQ106" s="89"/>
      <c r="AR106" s="89"/>
      <c r="AS106" s="89"/>
      <c r="AT106" s="89"/>
      <c r="AU106" s="89"/>
      <c r="AV106" s="89"/>
      <c r="AW106" s="89"/>
      <c r="AX106" s="89"/>
    </row>
    <row r="107" spans="1:50" ht="15" customHeight="1" x14ac:dyDescent="0.25">
      <c r="A107" s="89"/>
      <c r="B107" s="89"/>
      <c r="C107" s="301"/>
      <c r="D107" s="301"/>
      <c r="E107" s="89"/>
      <c r="F107" s="89"/>
      <c r="G107" s="89"/>
      <c r="H107" s="89"/>
      <c r="I107" s="89"/>
      <c r="J107" s="89"/>
      <c r="K107" s="89"/>
      <c r="L107" s="301"/>
      <c r="M107" s="301"/>
      <c r="N107" s="301"/>
      <c r="O107" s="301"/>
      <c r="P107" s="301"/>
      <c r="Q107" s="301"/>
      <c r="R107" s="301"/>
      <c r="S107" s="301"/>
      <c r="T107" s="301"/>
      <c r="U107" s="301"/>
      <c r="V107" s="301"/>
      <c r="W107" s="301"/>
      <c r="X107" s="301"/>
      <c r="Y107" s="89"/>
      <c r="Z107" s="89"/>
      <c r="AA107" s="89"/>
      <c r="AB107" s="89"/>
      <c r="AC107" s="89"/>
      <c r="AD107" s="89"/>
      <c r="AE107" s="89"/>
      <c r="AF107" s="89"/>
      <c r="AG107" s="89"/>
      <c r="AH107" s="89"/>
      <c r="AI107" s="89"/>
      <c r="AJ107" s="89"/>
      <c r="AK107" s="89"/>
      <c r="AL107" s="89"/>
      <c r="AM107" s="89"/>
      <c r="AN107" s="89"/>
      <c r="AO107" s="89"/>
      <c r="AP107" s="89"/>
      <c r="AQ107" s="89"/>
      <c r="AR107" s="89"/>
      <c r="AS107" s="89"/>
      <c r="AT107" s="89"/>
      <c r="AU107" s="89"/>
      <c r="AV107" s="89"/>
      <c r="AW107" s="89"/>
      <c r="AX107" s="89"/>
    </row>
    <row r="108" spans="1:50" ht="15" customHeight="1" x14ac:dyDescent="0.25">
      <c r="A108" s="89"/>
      <c r="B108" s="89"/>
      <c r="C108" s="301"/>
      <c r="D108" s="301"/>
      <c r="E108" s="89"/>
      <c r="F108" s="89"/>
      <c r="G108" s="89"/>
      <c r="H108" s="89"/>
      <c r="I108" s="89"/>
      <c r="J108" s="89"/>
      <c r="K108" s="89"/>
      <c r="L108" s="301"/>
      <c r="M108" s="301"/>
      <c r="N108" s="301"/>
      <c r="O108" s="301"/>
      <c r="P108" s="301"/>
      <c r="Q108" s="301"/>
      <c r="R108" s="301"/>
      <c r="S108" s="301"/>
      <c r="T108" s="301"/>
      <c r="U108" s="301"/>
      <c r="V108" s="301"/>
      <c r="W108" s="301"/>
      <c r="X108" s="301"/>
      <c r="Y108" s="89"/>
      <c r="Z108" s="89"/>
      <c r="AA108" s="89"/>
      <c r="AB108" s="89"/>
      <c r="AC108" s="89"/>
      <c r="AD108" s="89"/>
      <c r="AE108" s="89"/>
      <c r="AF108" s="89"/>
      <c r="AG108" s="89"/>
      <c r="AH108" s="89"/>
      <c r="AI108" s="89"/>
      <c r="AJ108" s="89"/>
      <c r="AK108" s="89"/>
      <c r="AL108" s="89"/>
      <c r="AM108" s="89"/>
      <c r="AN108" s="89"/>
      <c r="AO108" s="89"/>
      <c r="AP108" s="89"/>
      <c r="AQ108" s="89"/>
      <c r="AR108" s="89"/>
      <c r="AS108" s="89"/>
      <c r="AT108" s="89"/>
      <c r="AU108" s="89"/>
      <c r="AV108" s="89"/>
      <c r="AW108" s="89"/>
      <c r="AX108" s="89"/>
    </row>
    <row r="109" spans="1:50" ht="15" customHeight="1" x14ac:dyDescent="0.25">
      <c r="A109" s="89"/>
      <c r="B109" s="89"/>
      <c r="C109" s="301"/>
      <c r="D109" s="301"/>
      <c r="E109" s="89"/>
      <c r="F109" s="89"/>
      <c r="G109" s="89"/>
      <c r="H109" s="89"/>
      <c r="I109" s="89"/>
      <c r="J109" s="89"/>
      <c r="K109" s="89"/>
      <c r="L109" s="301"/>
      <c r="M109" s="301"/>
      <c r="N109" s="301"/>
      <c r="O109" s="301"/>
      <c r="P109" s="301"/>
      <c r="Q109" s="301"/>
      <c r="R109" s="301"/>
      <c r="S109" s="301"/>
      <c r="T109" s="301"/>
      <c r="U109" s="301"/>
      <c r="V109" s="301"/>
      <c r="W109" s="301"/>
      <c r="X109" s="301"/>
      <c r="Y109" s="89"/>
      <c r="Z109" s="89"/>
      <c r="AA109" s="89"/>
      <c r="AB109" s="89"/>
      <c r="AC109" s="89"/>
      <c r="AD109" s="89"/>
      <c r="AE109" s="89"/>
      <c r="AF109" s="89"/>
      <c r="AG109" s="89"/>
      <c r="AH109" s="89"/>
      <c r="AI109" s="89"/>
      <c r="AJ109" s="89"/>
      <c r="AK109" s="89"/>
      <c r="AL109" s="89"/>
      <c r="AM109" s="89"/>
      <c r="AN109" s="89"/>
      <c r="AO109" s="89"/>
      <c r="AP109" s="89"/>
      <c r="AQ109" s="89"/>
      <c r="AR109" s="89"/>
      <c r="AS109" s="89"/>
      <c r="AT109" s="89"/>
      <c r="AU109" s="89"/>
      <c r="AV109" s="89"/>
      <c r="AW109" s="89"/>
      <c r="AX109" s="89"/>
    </row>
    <row r="110" spans="1:50" ht="15" customHeight="1" x14ac:dyDescent="0.25">
      <c r="A110" s="89"/>
      <c r="B110" s="89"/>
      <c r="C110" s="301"/>
      <c r="D110" s="301"/>
      <c r="E110" s="89"/>
      <c r="F110" s="89"/>
      <c r="G110" s="89"/>
      <c r="H110" s="89"/>
      <c r="I110" s="89"/>
      <c r="J110" s="89"/>
      <c r="K110" s="89"/>
      <c r="L110" s="301"/>
      <c r="M110" s="301"/>
      <c r="N110" s="301"/>
      <c r="O110" s="301"/>
      <c r="P110" s="301"/>
      <c r="Q110" s="301"/>
      <c r="R110" s="301"/>
      <c r="S110" s="301"/>
      <c r="T110" s="301"/>
      <c r="U110" s="301"/>
      <c r="V110" s="301"/>
      <c r="W110" s="301"/>
      <c r="X110" s="301"/>
      <c r="Y110" s="89"/>
      <c r="Z110" s="89"/>
      <c r="AA110" s="89"/>
      <c r="AB110" s="89"/>
      <c r="AC110" s="89"/>
      <c r="AD110" s="89"/>
      <c r="AE110" s="89"/>
      <c r="AF110" s="89"/>
      <c r="AG110" s="89"/>
      <c r="AH110" s="89"/>
      <c r="AI110" s="89"/>
      <c r="AJ110" s="89"/>
      <c r="AK110" s="89"/>
      <c r="AL110" s="89"/>
      <c r="AM110" s="89"/>
      <c r="AN110" s="89"/>
      <c r="AO110" s="89"/>
      <c r="AP110" s="89"/>
      <c r="AQ110" s="89"/>
      <c r="AR110" s="89"/>
      <c r="AS110" s="89"/>
      <c r="AT110" s="89"/>
      <c r="AU110" s="89"/>
      <c r="AV110" s="89"/>
      <c r="AW110" s="89"/>
      <c r="AX110" s="89"/>
    </row>
    <row r="111" spans="1:50" ht="15" customHeight="1" x14ac:dyDescent="0.25">
      <c r="A111" s="89"/>
      <c r="B111" s="89"/>
      <c r="C111" s="301"/>
      <c r="D111" s="301"/>
      <c r="E111" s="89"/>
      <c r="F111" s="89"/>
      <c r="G111" s="89"/>
      <c r="H111" s="89"/>
      <c r="I111" s="89"/>
      <c r="J111" s="89"/>
      <c r="K111" s="89"/>
      <c r="L111" s="301"/>
      <c r="M111" s="301"/>
      <c r="N111" s="301"/>
      <c r="O111" s="301"/>
      <c r="P111" s="301"/>
      <c r="Q111" s="301"/>
      <c r="R111" s="301"/>
      <c r="S111" s="301"/>
      <c r="T111" s="301"/>
      <c r="U111" s="301"/>
      <c r="V111" s="301"/>
      <c r="W111" s="301"/>
      <c r="X111" s="301"/>
      <c r="Y111" s="89"/>
      <c r="Z111" s="89"/>
      <c r="AA111" s="89"/>
      <c r="AB111" s="89"/>
      <c r="AC111" s="89"/>
      <c r="AD111" s="89"/>
      <c r="AE111" s="89"/>
      <c r="AF111" s="89"/>
      <c r="AG111" s="89"/>
      <c r="AH111" s="89"/>
      <c r="AI111" s="89"/>
      <c r="AJ111" s="89"/>
      <c r="AK111" s="89"/>
      <c r="AL111" s="89"/>
      <c r="AM111" s="89"/>
      <c r="AN111" s="89"/>
      <c r="AO111" s="89"/>
      <c r="AP111" s="89"/>
      <c r="AQ111" s="89"/>
      <c r="AR111" s="89"/>
      <c r="AS111" s="89"/>
      <c r="AT111" s="89"/>
      <c r="AU111" s="89"/>
      <c r="AV111" s="89"/>
      <c r="AW111" s="89"/>
      <c r="AX111" s="89"/>
    </row>
    <row r="112" spans="1:50" ht="15" customHeight="1" x14ac:dyDescent="0.25">
      <c r="A112" s="48"/>
      <c r="B112" s="48"/>
      <c r="C112" s="48"/>
      <c r="D112" s="48"/>
      <c r="E112" s="48"/>
      <c r="F112" s="48"/>
      <c r="G112" s="48"/>
      <c r="H112" s="48"/>
      <c r="I112" s="48"/>
      <c r="J112" s="48"/>
      <c r="K112" s="48"/>
      <c r="L112" s="48"/>
      <c r="M112" s="48"/>
      <c r="N112" s="48"/>
      <c r="O112" s="48"/>
      <c r="P112" s="48"/>
      <c r="Q112" s="48"/>
      <c r="R112" s="48"/>
      <c r="S112" s="48"/>
      <c r="T112" s="48"/>
      <c r="U112" s="48"/>
      <c r="V112" s="48"/>
      <c r="W112" s="48"/>
      <c r="X112" s="48"/>
      <c r="Y112" s="48"/>
      <c r="Z112" s="48"/>
      <c r="AA112" s="48"/>
      <c r="AB112" s="48"/>
      <c r="AC112" s="48"/>
      <c r="AD112" s="48"/>
      <c r="AE112" s="48"/>
      <c r="AF112" s="48"/>
      <c r="AG112" s="48"/>
      <c r="AH112" s="48"/>
      <c r="AI112" s="48"/>
      <c r="AJ112" s="48"/>
      <c r="AK112" s="48"/>
      <c r="AL112" s="48"/>
      <c r="AM112" s="48"/>
      <c r="AN112" s="48"/>
      <c r="AO112" s="48"/>
      <c r="AP112" s="48"/>
      <c r="AQ112" s="48"/>
      <c r="AR112" s="48"/>
      <c r="AS112" s="48"/>
      <c r="AT112" s="48"/>
      <c r="AU112" s="48"/>
      <c r="AV112" s="48"/>
      <c r="AW112" s="48"/>
      <c r="AX112" s="48"/>
    </row>
    <row r="113" spans="1:50" ht="15" customHeight="1" x14ac:dyDescent="0.25">
      <c r="A113" s="48"/>
      <c r="B113" s="48"/>
      <c r="C113" s="48"/>
      <c r="D113" s="48"/>
      <c r="E113" s="48"/>
      <c r="F113" s="48"/>
      <c r="G113" s="48"/>
      <c r="H113" s="48"/>
      <c r="I113" s="48"/>
      <c r="J113" s="48"/>
      <c r="K113" s="48"/>
      <c r="L113" s="48"/>
      <c r="M113" s="48"/>
      <c r="N113" s="48"/>
      <c r="O113" s="48"/>
      <c r="P113" s="48"/>
      <c r="Q113" s="48"/>
      <c r="R113" s="48"/>
      <c r="S113" s="48"/>
      <c r="T113" s="48"/>
      <c r="U113" s="48"/>
      <c r="V113" s="48"/>
      <c r="W113" s="48"/>
      <c r="X113" s="48"/>
      <c r="Y113" s="48"/>
      <c r="Z113" s="48"/>
      <c r="AA113" s="48"/>
      <c r="AB113" s="48"/>
      <c r="AC113" s="48"/>
      <c r="AD113" s="48"/>
      <c r="AE113" s="48"/>
      <c r="AF113" s="48"/>
      <c r="AG113" s="48"/>
      <c r="AH113" s="48"/>
      <c r="AI113" s="48"/>
      <c r="AJ113" s="48"/>
      <c r="AK113" s="48"/>
      <c r="AL113" s="48"/>
      <c r="AM113" s="48"/>
      <c r="AN113" s="48"/>
      <c r="AO113" s="48"/>
      <c r="AP113" s="48"/>
      <c r="AQ113" s="48"/>
      <c r="AR113" s="48"/>
      <c r="AS113" s="48"/>
      <c r="AT113" s="48"/>
      <c r="AU113" s="48"/>
      <c r="AV113" s="48"/>
      <c r="AW113" s="48"/>
      <c r="AX113" s="48"/>
    </row>
    <row r="114" spans="1:50" ht="15" customHeight="1" x14ac:dyDescent="0.25">
      <c r="A114" s="48"/>
      <c r="B114" s="48"/>
      <c r="C114" s="48"/>
      <c r="D114" s="48"/>
      <c r="E114" s="48"/>
      <c r="F114" s="48"/>
      <c r="G114" s="48"/>
      <c r="H114" s="48"/>
      <c r="I114" s="48"/>
      <c r="J114" s="48"/>
      <c r="K114" s="48"/>
      <c r="L114" s="48"/>
      <c r="M114" s="48"/>
      <c r="N114" s="48"/>
      <c r="O114" s="48"/>
      <c r="P114" s="48"/>
      <c r="Q114" s="48"/>
      <c r="R114" s="48"/>
      <c r="S114" s="48"/>
      <c r="T114" s="48"/>
      <c r="U114" s="48"/>
      <c r="V114" s="48"/>
      <c r="W114" s="48"/>
      <c r="X114" s="48"/>
      <c r="Y114" s="48"/>
      <c r="Z114" s="48"/>
      <c r="AA114" s="48"/>
      <c r="AB114" s="48"/>
      <c r="AC114" s="48"/>
      <c r="AD114" s="48"/>
      <c r="AE114" s="48"/>
      <c r="AF114" s="48"/>
      <c r="AG114" s="48"/>
      <c r="AH114" s="48"/>
      <c r="AI114" s="48"/>
      <c r="AJ114" s="48"/>
      <c r="AK114" s="48"/>
      <c r="AL114" s="48"/>
      <c r="AM114" s="48"/>
      <c r="AN114" s="48"/>
      <c r="AO114" s="48"/>
      <c r="AP114" s="48"/>
      <c r="AQ114" s="48"/>
      <c r="AR114" s="48"/>
      <c r="AS114" s="48"/>
      <c r="AT114" s="48"/>
      <c r="AU114" s="48"/>
      <c r="AV114" s="48"/>
      <c r="AW114" s="48"/>
      <c r="AX114" s="48"/>
    </row>
    <row r="115" spans="1:50" ht="15" customHeight="1" x14ac:dyDescent="0.25">
      <c r="A115" s="99" t="str">
        <f xml:space="preserve"> Translate!E$773</f>
        <v>Production rate versus unit operating costs</v>
      </c>
      <c r="B115" s="99"/>
      <c r="C115" s="99"/>
      <c r="D115" s="99"/>
      <c r="E115" s="101"/>
      <c r="F115" s="99"/>
      <c r="G115" s="99"/>
      <c r="H115" s="99"/>
      <c r="I115" s="99"/>
      <c r="J115" s="99"/>
      <c r="K115" s="99"/>
      <c r="L115" s="99"/>
      <c r="M115" s="99"/>
      <c r="N115" s="99"/>
      <c r="O115" s="99"/>
      <c r="P115" s="99"/>
      <c r="Q115" s="99"/>
      <c r="R115" s="99"/>
      <c r="S115" s="99"/>
      <c r="T115" s="99"/>
      <c r="U115" s="99"/>
      <c r="V115" s="99"/>
      <c r="W115" s="99"/>
      <c r="X115" s="99"/>
      <c r="Y115" s="99"/>
      <c r="Z115" s="99"/>
      <c r="AA115" s="99"/>
      <c r="AB115" s="99"/>
      <c r="AC115" s="99"/>
      <c r="AD115" s="99"/>
      <c r="AE115" s="99"/>
      <c r="AF115" s="99"/>
      <c r="AG115" s="99"/>
      <c r="AH115" s="99"/>
      <c r="AI115" s="99"/>
      <c r="AJ115" s="99"/>
      <c r="AK115" s="99"/>
      <c r="AL115" s="99"/>
      <c r="AM115" s="99"/>
      <c r="AN115" s="99"/>
      <c r="AO115" s="99"/>
      <c r="AP115" s="99"/>
      <c r="AQ115" s="99"/>
      <c r="AR115" s="99"/>
      <c r="AS115" s="99"/>
      <c r="AT115" s="99"/>
      <c r="AU115" s="99"/>
      <c r="AV115" s="99"/>
      <c r="AW115" s="99"/>
      <c r="AX115" s="99"/>
    </row>
    <row r="116" spans="1:50" ht="15" customHeight="1" x14ac:dyDescent="0.25">
      <c r="A116" s="89"/>
      <c r="B116" s="89"/>
      <c r="C116" s="89"/>
      <c r="D116" s="89"/>
      <c r="E116" s="89"/>
      <c r="F116" s="89"/>
      <c r="G116" s="89"/>
      <c r="H116" s="89"/>
      <c r="I116" s="89"/>
      <c r="J116" s="89"/>
      <c r="K116" s="89"/>
      <c r="L116" s="89"/>
      <c r="M116" s="89"/>
      <c r="N116" s="89"/>
      <c r="O116" s="89"/>
      <c r="P116" s="89"/>
      <c r="Q116" s="89"/>
      <c r="R116" s="89"/>
      <c r="S116" s="89"/>
      <c r="T116" s="89"/>
      <c r="U116" s="89"/>
      <c r="V116" s="89"/>
      <c r="W116" s="89"/>
      <c r="X116" s="89"/>
      <c r="Y116" s="89"/>
      <c r="Z116" s="89"/>
      <c r="AA116" s="89"/>
      <c r="AB116" s="89"/>
      <c r="AC116" s="89"/>
      <c r="AD116" s="89"/>
      <c r="AE116" s="89"/>
      <c r="AF116" s="89"/>
      <c r="AG116" s="89"/>
      <c r="AH116" s="89"/>
      <c r="AI116" s="89"/>
      <c r="AJ116" s="89"/>
      <c r="AK116" s="89"/>
      <c r="AL116" s="89"/>
      <c r="AM116" s="89"/>
      <c r="AN116" s="89"/>
      <c r="AO116" s="89"/>
      <c r="AP116" s="89"/>
      <c r="AQ116" s="89"/>
      <c r="AR116" s="89"/>
      <c r="AS116" s="89"/>
      <c r="AT116" s="89"/>
      <c r="AU116" s="89"/>
      <c r="AV116" s="89"/>
      <c r="AW116" s="89"/>
      <c r="AX116" s="89"/>
    </row>
    <row r="117" spans="1:50" ht="15" customHeight="1" x14ac:dyDescent="0.25">
      <c r="A117" s="130"/>
      <c r="B117" s="131"/>
      <c r="C117" s="133"/>
      <c r="D117" s="133"/>
      <c r="E117" s="134" t="str">
        <f>Translate!E$640</f>
        <v>Chart title</v>
      </c>
      <c r="F117" s="298" t="str">
        <f xml:space="preserve"> A115</f>
        <v>Production rate versus unit operating costs</v>
      </c>
      <c r="G117" s="134"/>
      <c r="H117" s="134"/>
      <c r="I117" s="134"/>
      <c r="J117" s="134"/>
      <c r="K117" s="143"/>
      <c r="L117" s="133"/>
      <c r="M117" s="144"/>
      <c r="N117" s="144"/>
      <c r="O117" s="144"/>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43"/>
      <c r="AK117" s="143"/>
      <c r="AL117" s="143"/>
      <c r="AM117" s="143"/>
      <c r="AN117" s="143"/>
      <c r="AO117" s="143"/>
      <c r="AP117" s="143"/>
      <c r="AQ117" s="143"/>
      <c r="AR117" s="143"/>
      <c r="AS117" s="143"/>
      <c r="AT117" s="143"/>
      <c r="AU117" s="143"/>
      <c r="AV117" s="143"/>
      <c r="AW117" s="143"/>
      <c r="AX117" s="143"/>
    </row>
    <row r="118" spans="1:50" ht="15" customHeight="1" x14ac:dyDescent="0.25">
      <c r="A118" s="48"/>
      <c r="B118" s="48"/>
      <c r="C118" s="48"/>
      <c r="D118" s="48"/>
      <c r="E118" s="134" t="str">
        <f xml:space="preserve"> Translate!E$643</f>
        <v>Horizontal axis</v>
      </c>
      <c r="F118" s="63" t="str">
        <f xml:space="preserve"> G122</f>
        <v>Year</v>
      </c>
      <c r="G118" s="48"/>
      <c r="H118" s="48"/>
      <c r="I118" s="48"/>
      <c r="J118" s="48"/>
      <c r="K118" s="48"/>
      <c r="L118" s="48"/>
      <c r="M118" s="48"/>
      <c r="N118" s="48"/>
      <c r="O118" s="48"/>
      <c r="P118" s="48"/>
      <c r="Q118" s="48"/>
      <c r="R118" s="48"/>
      <c r="S118" s="48"/>
      <c r="T118" s="48"/>
      <c r="U118" s="48"/>
      <c r="V118" s="48"/>
      <c r="W118" s="48"/>
      <c r="X118" s="48"/>
      <c r="Y118" s="48"/>
      <c r="Z118" s="48"/>
      <c r="AA118" s="48"/>
      <c r="AB118" s="48"/>
      <c r="AC118" s="48"/>
      <c r="AD118" s="48"/>
      <c r="AE118" s="48"/>
      <c r="AF118" s="48"/>
      <c r="AG118" s="48"/>
      <c r="AH118" s="48"/>
      <c r="AI118" s="48"/>
      <c r="AJ118" s="48"/>
      <c r="AK118" s="48"/>
      <c r="AL118" s="48"/>
      <c r="AM118" s="48"/>
      <c r="AN118" s="48"/>
      <c r="AO118" s="48"/>
      <c r="AP118" s="48"/>
      <c r="AQ118" s="48"/>
      <c r="AR118" s="48"/>
      <c r="AS118" s="48"/>
      <c r="AT118" s="48"/>
      <c r="AU118" s="48"/>
      <c r="AV118" s="48"/>
      <c r="AW118" s="48"/>
      <c r="AX118" s="48"/>
    </row>
    <row r="119" spans="1:50" ht="15" customHeight="1" x14ac:dyDescent="0.25">
      <c r="A119" s="48"/>
      <c r="B119" s="48"/>
      <c r="C119" s="48"/>
      <c r="D119" s="48"/>
      <c r="E119" s="134" t="str">
        <f xml:space="preserve"> Translate!E$641</f>
        <v>Vertical axis 1</v>
      </c>
      <c r="F119" s="62" t="str">
        <f xml:space="preserve"> Inputs!F$56</f>
        <v>US$ 2021 / bbl</v>
      </c>
      <c r="G119" s="48"/>
      <c r="H119" s="48"/>
      <c r="I119" s="48"/>
      <c r="J119" s="48"/>
      <c r="K119" s="48"/>
      <c r="L119" s="48"/>
      <c r="M119" s="48"/>
      <c r="N119" s="48"/>
      <c r="O119" s="48"/>
      <c r="P119" s="48"/>
      <c r="Q119" s="48"/>
      <c r="R119" s="48"/>
      <c r="S119" s="48"/>
      <c r="T119" s="48"/>
      <c r="U119" s="48"/>
      <c r="V119" s="48"/>
      <c r="W119" s="48"/>
      <c r="X119" s="48"/>
      <c r="Y119" s="48"/>
      <c r="Z119" s="48"/>
      <c r="AA119" s="48"/>
      <c r="AB119" s="48"/>
      <c r="AC119" s="48"/>
      <c r="AD119" s="48"/>
      <c r="AE119" s="48"/>
      <c r="AF119" s="48"/>
      <c r="AG119" s="48"/>
      <c r="AH119" s="48"/>
      <c r="AI119" s="48"/>
      <c r="AJ119" s="48"/>
      <c r="AK119" s="48"/>
      <c r="AL119" s="48"/>
      <c r="AM119" s="48"/>
      <c r="AN119" s="48"/>
      <c r="AO119" s="48"/>
      <c r="AP119" s="48"/>
      <c r="AQ119" s="48"/>
      <c r="AR119" s="48"/>
      <c r="AS119" s="48"/>
      <c r="AT119" s="48"/>
      <c r="AU119" s="48"/>
      <c r="AV119" s="48"/>
      <c r="AW119" s="48"/>
      <c r="AX119" s="48"/>
    </row>
    <row r="120" spans="1:50" ht="15" customHeight="1" x14ac:dyDescent="0.25">
      <c r="A120" s="48"/>
      <c r="B120" s="48"/>
      <c r="C120" s="48"/>
      <c r="D120" s="48"/>
      <c r="E120" s="134" t="str">
        <f xml:space="preserve"> Translate!E$642</f>
        <v>Vertical axis 2</v>
      </c>
      <c r="F120" s="63" t="str">
        <f>G124</f>
        <v>KBOPD</v>
      </c>
      <c r="G120" s="48"/>
      <c r="H120" s="48"/>
      <c r="I120" s="48"/>
      <c r="J120" s="48"/>
      <c r="K120" s="48"/>
      <c r="L120" s="48"/>
      <c r="M120" s="48"/>
      <c r="N120" s="48"/>
      <c r="O120" s="48"/>
      <c r="P120" s="48"/>
      <c r="Q120" s="48"/>
      <c r="R120" s="48"/>
      <c r="S120" s="48"/>
      <c r="T120" s="48"/>
      <c r="U120" s="48"/>
      <c r="V120" s="48"/>
      <c r="W120" s="48"/>
      <c r="X120" s="48"/>
      <c r="Y120" s="48"/>
      <c r="Z120" s="48"/>
      <c r="AA120" s="48"/>
      <c r="AB120" s="48"/>
      <c r="AC120" s="48"/>
      <c r="AD120" s="48"/>
      <c r="AE120" s="48"/>
      <c r="AF120" s="48"/>
      <c r="AG120" s="48"/>
      <c r="AH120" s="48"/>
      <c r="AI120" s="48"/>
      <c r="AJ120" s="48"/>
      <c r="AK120" s="48"/>
      <c r="AL120" s="48"/>
      <c r="AM120" s="48"/>
      <c r="AN120" s="48"/>
      <c r="AO120" s="48"/>
      <c r="AP120" s="48"/>
      <c r="AQ120" s="48"/>
      <c r="AR120" s="48"/>
      <c r="AS120" s="48"/>
      <c r="AT120" s="48"/>
      <c r="AU120" s="48"/>
      <c r="AV120" s="48"/>
      <c r="AW120" s="48"/>
      <c r="AX120" s="48"/>
    </row>
    <row r="121" spans="1:50" s="48" customFormat="1" ht="15" customHeight="1" x14ac:dyDescent="0.25"/>
    <row r="122" spans="1:50" s="741" customFormat="1" ht="15" customHeight="1" x14ac:dyDescent="0.25">
      <c r="A122" s="890"/>
      <c r="B122" s="890"/>
      <c r="C122" s="890"/>
      <c r="D122" s="890"/>
      <c r="E122" s="890" t="str">
        <f xml:space="preserve"> ProjectCashflows!E$34</f>
        <v>Model calendar years</v>
      </c>
      <c r="F122" s="890">
        <f xml:space="preserve"> ProjectCashflows!F$34</f>
        <v>0</v>
      </c>
      <c r="G122" s="890" t="str">
        <f xml:space="preserve"> ProjectCashflows!G$34</f>
        <v>Year</v>
      </c>
      <c r="H122" s="890">
        <f xml:space="preserve"> ProjectCashflows!H$34</f>
        <v>0</v>
      </c>
      <c r="I122" s="890">
        <f xml:space="preserve"> ProjectCashflows!I$34</f>
        <v>0</v>
      </c>
      <c r="J122" s="890">
        <f xml:space="preserve"> ProjectCashflows!J$34</f>
        <v>0</v>
      </c>
      <c r="K122" s="890">
        <f xml:space="preserve"> ProjectCashflows!K$34</f>
        <v>2021</v>
      </c>
      <c r="L122" s="890">
        <f xml:space="preserve"> ProjectCashflows!L$34</f>
        <v>2022</v>
      </c>
      <c r="M122" s="890">
        <f xml:space="preserve"> ProjectCashflows!M$34</f>
        <v>2023</v>
      </c>
      <c r="N122" s="890">
        <f xml:space="preserve"> ProjectCashflows!N$34</f>
        <v>2024</v>
      </c>
      <c r="O122" s="890">
        <f xml:space="preserve"> ProjectCashflows!O$34</f>
        <v>2025</v>
      </c>
      <c r="P122" s="890">
        <f xml:space="preserve"> ProjectCashflows!P$34</f>
        <v>2026</v>
      </c>
      <c r="Q122" s="890">
        <f xml:space="preserve"> ProjectCashflows!Q$34</f>
        <v>2027</v>
      </c>
      <c r="R122" s="890">
        <f xml:space="preserve"> ProjectCashflows!R$34</f>
        <v>2028</v>
      </c>
      <c r="S122" s="890">
        <f xml:space="preserve"> ProjectCashflows!S$34</f>
        <v>2029</v>
      </c>
      <c r="T122" s="890">
        <f xml:space="preserve"> ProjectCashflows!T$34</f>
        <v>2030</v>
      </c>
      <c r="U122" s="890">
        <f xml:space="preserve"> ProjectCashflows!U$34</f>
        <v>2031</v>
      </c>
      <c r="V122" s="890">
        <f xml:space="preserve"> ProjectCashflows!V$34</f>
        <v>2032</v>
      </c>
      <c r="W122" s="890">
        <f xml:space="preserve"> ProjectCashflows!W$34</f>
        <v>2033</v>
      </c>
      <c r="X122" s="890">
        <f xml:space="preserve"> ProjectCashflows!X$34</f>
        <v>2034</v>
      </c>
      <c r="Y122" s="890">
        <f xml:space="preserve"> ProjectCashflows!Y$34</f>
        <v>2035</v>
      </c>
      <c r="Z122" s="890">
        <f xml:space="preserve"> ProjectCashflows!Z$34</f>
        <v>2036</v>
      </c>
      <c r="AA122" s="890">
        <f xml:space="preserve"> ProjectCashflows!AA$34</f>
        <v>2037</v>
      </c>
      <c r="AB122" s="890">
        <f xml:space="preserve"> ProjectCashflows!AB$34</f>
        <v>2038</v>
      </c>
      <c r="AC122" s="890">
        <f xml:space="preserve"> ProjectCashflows!AC$34</f>
        <v>2039</v>
      </c>
      <c r="AD122" s="890">
        <f xml:space="preserve"> ProjectCashflows!AD$34</f>
        <v>2040</v>
      </c>
      <c r="AE122" s="890">
        <f xml:space="preserve"> ProjectCashflows!AE$34</f>
        <v>2041</v>
      </c>
      <c r="AF122" s="890">
        <f xml:space="preserve"> ProjectCashflows!AF$34</f>
        <v>2042</v>
      </c>
      <c r="AG122" s="890">
        <f xml:space="preserve"> ProjectCashflows!AG$34</f>
        <v>2043</v>
      </c>
      <c r="AH122" s="890">
        <f xml:space="preserve"> ProjectCashflows!AH$34</f>
        <v>2044</v>
      </c>
      <c r="AI122" s="890">
        <f xml:space="preserve"> ProjectCashflows!AI$34</f>
        <v>2045</v>
      </c>
      <c r="AJ122" s="890">
        <f xml:space="preserve"> ProjectCashflows!AJ$34</f>
        <v>2046</v>
      </c>
      <c r="AK122" s="890">
        <f xml:space="preserve"> ProjectCashflows!AK$34</f>
        <v>2047</v>
      </c>
      <c r="AL122" s="890">
        <f xml:space="preserve"> ProjectCashflows!AL$34</f>
        <v>2048</v>
      </c>
      <c r="AM122" s="890">
        <f xml:space="preserve"> ProjectCashflows!AM$34</f>
        <v>2049</v>
      </c>
      <c r="AN122" s="890">
        <f xml:space="preserve"> ProjectCashflows!AN$34</f>
        <v>2050</v>
      </c>
      <c r="AO122" s="890">
        <f xml:space="preserve"> ProjectCashflows!AO$34</f>
        <v>2051</v>
      </c>
      <c r="AP122" s="890">
        <f xml:space="preserve"> ProjectCashflows!AP$34</f>
        <v>2052</v>
      </c>
      <c r="AQ122" s="890">
        <f xml:space="preserve"> ProjectCashflows!AQ$34</f>
        <v>2053</v>
      </c>
      <c r="AR122" s="890">
        <f xml:space="preserve"> ProjectCashflows!AR$34</f>
        <v>2054</v>
      </c>
      <c r="AS122" s="890">
        <f xml:space="preserve"> ProjectCashflows!AS$34</f>
        <v>2055</v>
      </c>
      <c r="AT122" s="890">
        <f xml:space="preserve"> ProjectCashflows!AT$34</f>
        <v>2056</v>
      </c>
      <c r="AU122" s="890">
        <f xml:space="preserve"> ProjectCashflows!AU$34</f>
        <v>2057</v>
      </c>
      <c r="AV122" s="890">
        <f xml:space="preserve"> ProjectCashflows!AV$34</f>
        <v>2058</v>
      </c>
      <c r="AW122" s="890">
        <f xml:space="preserve"> ProjectCashflows!AW$34</f>
        <v>2059</v>
      </c>
      <c r="AX122" s="890">
        <f xml:space="preserve"> ProjectCashflows!AX$34</f>
        <v>2060</v>
      </c>
    </row>
    <row r="123" spans="1:50" ht="15" customHeight="1" x14ac:dyDescent="0.25">
      <c r="A123" s="48"/>
      <c r="B123" s="48"/>
      <c r="C123" s="48"/>
      <c r="D123" s="48"/>
      <c r="E123" s="48"/>
      <c r="F123" s="48"/>
      <c r="G123" s="48"/>
      <c r="H123" s="48"/>
      <c r="I123" s="48"/>
      <c r="J123" s="48"/>
      <c r="K123" s="48"/>
      <c r="L123" s="48"/>
      <c r="M123" s="48"/>
      <c r="N123" s="48"/>
      <c r="O123" s="48"/>
      <c r="P123" s="48"/>
      <c r="Q123" s="48"/>
      <c r="R123" s="48"/>
      <c r="S123" s="48"/>
      <c r="T123" s="48"/>
      <c r="U123" s="48"/>
      <c r="V123" s="48"/>
      <c r="W123" s="48"/>
      <c r="X123" s="48"/>
      <c r="Y123" s="48"/>
      <c r="Z123" s="48"/>
      <c r="AA123" s="48"/>
      <c r="AB123" s="48"/>
      <c r="AC123" s="48"/>
      <c r="AD123" s="48"/>
      <c r="AE123" s="48"/>
      <c r="AF123" s="48"/>
      <c r="AG123" s="48"/>
      <c r="AH123" s="48"/>
      <c r="AI123" s="48"/>
      <c r="AJ123" s="48"/>
      <c r="AK123" s="48"/>
      <c r="AL123" s="48"/>
      <c r="AM123" s="48"/>
      <c r="AN123" s="48"/>
      <c r="AO123" s="48"/>
      <c r="AP123" s="48"/>
      <c r="AQ123" s="48"/>
      <c r="AR123" s="48"/>
      <c r="AS123" s="48"/>
      <c r="AT123" s="48"/>
      <c r="AU123" s="48"/>
      <c r="AV123" s="48"/>
      <c r="AW123" s="48"/>
      <c r="AX123" s="48"/>
    </row>
    <row r="124" spans="1:50" ht="15" customHeight="1" x14ac:dyDescent="0.25">
      <c r="A124" s="48"/>
      <c r="B124" s="48"/>
      <c r="C124" s="48"/>
      <c r="D124" s="48"/>
      <c r="E124" s="222" t="str">
        <f xml:space="preserve"> ProjectCashflows!E$131</f>
        <v>Oil production RATE after ELT</v>
      </c>
      <c r="F124" s="222">
        <f xml:space="preserve"> ProjectCashflows!F$131</f>
        <v>0</v>
      </c>
      <c r="G124" s="222" t="str">
        <f xml:space="preserve"> ProjectCashflows!G$131</f>
        <v>KBOPD</v>
      </c>
      <c r="H124" s="222">
        <f xml:space="preserve"> ProjectCashflows!H$131</f>
        <v>0</v>
      </c>
      <c r="I124" s="222">
        <f xml:space="preserve"> ProjectCashflows!I$131</f>
        <v>0</v>
      </c>
      <c r="J124" s="222">
        <f xml:space="preserve"> ProjectCashflows!J$131</f>
        <v>0</v>
      </c>
      <c r="K124" s="222">
        <f ca="1" xml:space="preserve"> ProjectCashflows!K$131</f>
        <v>0</v>
      </c>
      <c r="L124" s="222">
        <f ca="1" xml:space="preserve"> ProjectCashflows!L$131</f>
        <v>0</v>
      </c>
      <c r="M124" s="222">
        <f ca="1" xml:space="preserve"> ProjectCashflows!M$131</f>
        <v>0</v>
      </c>
      <c r="N124" s="222">
        <f ca="1" xml:space="preserve"> ProjectCashflows!N$131</f>
        <v>0</v>
      </c>
      <c r="O124" s="222">
        <f ca="1" xml:space="preserve"> ProjectCashflows!O$131</f>
        <v>9.5471162223815913</v>
      </c>
      <c r="P124" s="222">
        <f ca="1" xml:space="preserve"> ProjectCashflows!P$131</f>
        <v>75</v>
      </c>
      <c r="Q124" s="222">
        <f ca="1" xml:space="preserve"> ProjectCashflows!Q$131</f>
        <v>150</v>
      </c>
      <c r="R124" s="222">
        <f ca="1" xml:space="preserve"> ProjectCashflows!R$131</f>
        <v>150</v>
      </c>
      <c r="S124" s="222">
        <f ca="1" xml:space="preserve"> ProjectCashflows!S$131</f>
        <v>150</v>
      </c>
      <c r="T124" s="222">
        <f ca="1" xml:space="preserve"> ProjectCashflows!T$131</f>
        <v>150</v>
      </c>
      <c r="U124" s="222">
        <f ca="1" xml:space="preserve"> ProjectCashflows!U$131</f>
        <v>150</v>
      </c>
      <c r="V124" s="222">
        <f ca="1" xml:space="preserve"> ProjectCashflows!V$131</f>
        <v>150</v>
      </c>
      <c r="W124" s="222">
        <f ca="1" xml:space="preserve"> ProjectCashflows!W$131</f>
        <v>150</v>
      </c>
      <c r="X124" s="222">
        <f ca="1" xml:space="preserve"> ProjectCashflows!X$131</f>
        <v>150</v>
      </c>
      <c r="Y124" s="222">
        <f ca="1" xml:space="preserve"> ProjectCashflows!Y$131</f>
        <v>150</v>
      </c>
      <c r="Z124" s="222">
        <f ca="1" xml:space="preserve"> ProjectCashflows!Z$131</f>
        <v>150</v>
      </c>
      <c r="AA124" s="222">
        <f ca="1" xml:space="preserve"> ProjectCashflows!AA$131</f>
        <v>121.50000000000001</v>
      </c>
      <c r="AB124" s="222">
        <f ca="1" xml:space="preserve"> ProjectCashflows!AB$131</f>
        <v>98.41500000000002</v>
      </c>
      <c r="AC124" s="222">
        <f ca="1" xml:space="preserve"> ProjectCashflows!AC$131</f>
        <v>79.716150000000027</v>
      </c>
      <c r="AD124" s="222">
        <f ca="1" xml:space="preserve"> ProjectCashflows!AD$131</f>
        <v>64.570081500000029</v>
      </c>
      <c r="AE124" s="222">
        <f ca="1" xml:space="preserve"> ProjectCashflows!AE$131</f>
        <v>52.301766015000027</v>
      </c>
      <c r="AF124" s="222">
        <f ca="1" xml:space="preserve"> ProjectCashflows!AF$131</f>
        <v>42.364430472150026</v>
      </c>
      <c r="AG124" s="222">
        <f ca="1" xml:space="preserve"> ProjectCashflows!AG$131</f>
        <v>34.315188682441523</v>
      </c>
      <c r="AH124" s="222">
        <f ca="1" xml:space="preserve"> ProjectCashflows!AH$131</f>
        <v>27.795302832777637</v>
      </c>
      <c r="AI124" s="222">
        <f ca="1" xml:space="preserve"> ProjectCashflows!AI$131</f>
        <v>22.514195294549886</v>
      </c>
      <c r="AJ124" s="222">
        <f ca="1" xml:space="preserve"> ProjectCashflows!AJ$131</f>
        <v>18.236498188585408</v>
      </c>
      <c r="AK124" s="222">
        <f ca="1" xml:space="preserve"> ProjectCashflows!AK$131</f>
        <v>14.771563532754181</v>
      </c>
      <c r="AL124" s="222">
        <f ca="1" xml:space="preserve"> ProjectCashflows!AL$131</f>
        <v>11.964966461530887</v>
      </c>
      <c r="AM124" s="222">
        <f ca="1" xml:space="preserve"> ProjectCashflows!AM$131</f>
        <v>9.6916228338400181</v>
      </c>
      <c r="AN124" s="222">
        <f ca="1" xml:space="preserve"> ProjectCashflows!AN$131</f>
        <v>7.8502144954104152</v>
      </c>
      <c r="AO124" s="222">
        <f ca="1" xml:space="preserve"> ProjectCashflows!AO$131</f>
        <v>6.3586737412824368</v>
      </c>
      <c r="AP124" s="222">
        <f ca="1" xml:space="preserve"> ProjectCashflows!AP$131</f>
        <v>0</v>
      </c>
      <c r="AQ124" s="222">
        <f ca="1" xml:space="preserve"> ProjectCashflows!AQ$131</f>
        <v>0</v>
      </c>
      <c r="AR124" s="222">
        <f ca="1" xml:space="preserve"> ProjectCashflows!AR$131</f>
        <v>0</v>
      </c>
      <c r="AS124" s="222">
        <f ca="1" xml:space="preserve"> ProjectCashflows!AS$131</f>
        <v>0</v>
      </c>
      <c r="AT124" s="222">
        <f ca="1" xml:space="preserve"> ProjectCashflows!AT$131</f>
        <v>0</v>
      </c>
      <c r="AU124" s="222">
        <f ca="1" xml:space="preserve"> ProjectCashflows!AU$131</f>
        <v>0</v>
      </c>
      <c r="AV124" s="222">
        <f ca="1" xml:space="preserve"> ProjectCashflows!AV$131</f>
        <v>0</v>
      </c>
      <c r="AW124" s="222">
        <f ca="1" xml:space="preserve"> ProjectCashflows!AW$131</f>
        <v>0</v>
      </c>
      <c r="AX124" s="222">
        <f ca="1" xml:space="preserve"> ProjectCashflows!AX$131</f>
        <v>0</v>
      </c>
    </row>
    <row r="125" spans="1:50" ht="15" customHeight="1" x14ac:dyDescent="0.25">
      <c r="A125" s="48"/>
      <c r="B125" s="48"/>
      <c r="C125" s="48"/>
      <c r="D125" s="48"/>
      <c r="E125" s="48" t="str">
        <f xml:space="preserve"> E124 &amp; " (rhs)"</f>
        <v>Oil production RATE after ELT (rhs)</v>
      </c>
      <c r="F125" s="48"/>
      <c r="G125" s="398" t="str">
        <f xml:space="preserve"> Translate!E$528</f>
        <v>Label</v>
      </c>
      <c r="H125" s="222"/>
      <c r="I125" s="222"/>
      <c r="J125" s="222"/>
      <c r="K125" s="222"/>
      <c r="L125" s="222"/>
      <c r="M125" s="222"/>
      <c r="N125" s="222"/>
      <c r="O125" s="222"/>
      <c r="P125" s="222"/>
      <c r="Q125" s="222"/>
      <c r="R125" s="222"/>
      <c r="S125" s="222"/>
      <c r="T125" s="222"/>
      <c r="U125" s="222"/>
      <c r="V125" s="222"/>
      <c r="W125" s="222"/>
      <c r="X125" s="222"/>
      <c r="Y125" s="222"/>
      <c r="Z125" s="222"/>
      <c r="AA125" s="222"/>
      <c r="AB125" s="222"/>
      <c r="AC125" s="222"/>
      <c r="AD125" s="222"/>
      <c r="AE125" s="222"/>
      <c r="AF125" s="222"/>
      <c r="AG125" s="222"/>
      <c r="AH125" s="222"/>
      <c r="AI125" s="222"/>
      <c r="AJ125" s="222"/>
      <c r="AK125" s="222"/>
      <c r="AL125" s="222"/>
      <c r="AM125" s="222"/>
      <c r="AN125" s="222"/>
      <c r="AO125" s="222"/>
      <c r="AP125" s="222"/>
      <c r="AQ125" s="222"/>
      <c r="AR125" s="222"/>
      <c r="AS125" s="222"/>
      <c r="AT125" s="222"/>
      <c r="AU125" s="222"/>
      <c r="AV125" s="222"/>
      <c r="AW125" s="222"/>
      <c r="AX125" s="222"/>
    </row>
    <row r="126" spans="1:50" ht="15" customHeight="1" x14ac:dyDescent="0.25">
      <c r="A126" s="48"/>
      <c r="B126" s="48"/>
      <c r="C126" s="48"/>
      <c r="D126" s="48"/>
      <c r="E126" s="222" t="str">
        <f>ProjectCashflows!E$132</f>
        <v>Oil production Volume after ELT</v>
      </c>
      <c r="F126" s="222">
        <f>ProjectCashflows!F$132</f>
        <v>0</v>
      </c>
      <c r="G126" s="222" t="str">
        <f>ProjectCashflows!G$132</f>
        <v>Mn Bbl</v>
      </c>
      <c r="H126" s="222">
        <f>ProjectCashflows!H$132</f>
        <v>0</v>
      </c>
      <c r="I126" s="222">
        <f ca="1">ProjectCashflows!I$132</f>
        <v>801.87316114953705</v>
      </c>
      <c r="J126" s="222">
        <f>ProjectCashflows!J$132</f>
        <v>0</v>
      </c>
      <c r="K126" s="222">
        <f ca="1">ProjectCashflows!K$132</f>
        <v>0</v>
      </c>
      <c r="L126" s="222">
        <f ca="1">ProjectCashflows!L$132</f>
        <v>0</v>
      </c>
      <c r="M126" s="222">
        <f ca="1">ProjectCashflows!M$132</f>
        <v>0</v>
      </c>
      <c r="N126" s="222">
        <f ca="1">ProjectCashflows!N$132</f>
        <v>0</v>
      </c>
      <c r="O126" s="222">
        <f ca="1">ProjectCashflows!O$132</f>
        <v>3.4846974211692809</v>
      </c>
      <c r="P126" s="222">
        <f ca="1">ProjectCashflows!P$132</f>
        <v>27.375</v>
      </c>
      <c r="Q126" s="222">
        <f ca="1">ProjectCashflows!Q$132</f>
        <v>54.75</v>
      </c>
      <c r="R126" s="222">
        <f ca="1">ProjectCashflows!R$132</f>
        <v>54.75</v>
      </c>
      <c r="S126" s="222">
        <f ca="1">ProjectCashflows!S$132</f>
        <v>54.75</v>
      </c>
      <c r="T126" s="222">
        <f ca="1">ProjectCashflows!T$132</f>
        <v>54.75</v>
      </c>
      <c r="U126" s="222">
        <f ca="1">ProjectCashflows!U$132</f>
        <v>54.75</v>
      </c>
      <c r="V126" s="222">
        <f ca="1">ProjectCashflows!V$132</f>
        <v>54.75</v>
      </c>
      <c r="W126" s="222">
        <f ca="1">ProjectCashflows!W$132</f>
        <v>54.75</v>
      </c>
      <c r="X126" s="222">
        <f ca="1">ProjectCashflows!X$132</f>
        <v>54.75</v>
      </c>
      <c r="Y126" s="222">
        <f ca="1">ProjectCashflows!Y$132</f>
        <v>54.75</v>
      </c>
      <c r="Z126" s="222">
        <f ca="1">ProjectCashflows!Z$132</f>
        <v>54.75</v>
      </c>
      <c r="AA126" s="222">
        <f ca="1">ProjectCashflows!AA$132</f>
        <v>44.347500000000011</v>
      </c>
      <c r="AB126" s="222">
        <f ca="1">ProjectCashflows!AB$132</f>
        <v>35.921475000000008</v>
      </c>
      <c r="AC126" s="222">
        <f ca="1">ProjectCashflows!AC$132</f>
        <v>29.096394750000009</v>
      </c>
      <c r="AD126" s="222">
        <f ca="1">ProjectCashflows!AD$132</f>
        <v>23.568079747500011</v>
      </c>
      <c r="AE126" s="222">
        <f ca="1">ProjectCashflows!AE$132</f>
        <v>19.09014459547501</v>
      </c>
      <c r="AF126" s="222">
        <f ca="1">ProjectCashflows!AF$132</f>
        <v>15.463017122334758</v>
      </c>
      <c r="AG126" s="222">
        <f ca="1">ProjectCashflows!AG$132</f>
        <v>12.525043869091157</v>
      </c>
      <c r="AH126" s="222">
        <f ca="1">ProjectCashflows!AH$132</f>
        <v>10.145285533963838</v>
      </c>
      <c r="AI126" s="222">
        <f ca="1">ProjectCashflows!AI$132</f>
        <v>8.2176812825107088</v>
      </c>
      <c r="AJ126" s="222">
        <f ca="1">ProjectCashflows!AJ$132</f>
        <v>6.6563218388336738</v>
      </c>
      <c r="AK126" s="222">
        <f ca="1">ProjectCashflows!AK$132</f>
        <v>5.3916206894552765</v>
      </c>
      <c r="AL126" s="222">
        <f ca="1">ProjectCashflows!AL$132</f>
        <v>4.3672127584587734</v>
      </c>
      <c r="AM126" s="222">
        <f ca="1">ProjectCashflows!AM$132</f>
        <v>3.5374423343516064</v>
      </c>
      <c r="AN126" s="222">
        <f ca="1">ProjectCashflows!AN$132</f>
        <v>2.8653282908248014</v>
      </c>
      <c r="AO126" s="222">
        <f ca="1">ProjectCashflows!AO$132</f>
        <v>2.3209159155680896</v>
      </c>
      <c r="AP126" s="222">
        <f ca="1">ProjectCashflows!AP$132</f>
        <v>0</v>
      </c>
      <c r="AQ126" s="222">
        <f ca="1">ProjectCashflows!AQ$132</f>
        <v>0</v>
      </c>
      <c r="AR126" s="222">
        <f ca="1">ProjectCashflows!AR$132</f>
        <v>0</v>
      </c>
      <c r="AS126" s="222">
        <f ca="1">ProjectCashflows!AS$132</f>
        <v>0</v>
      </c>
      <c r="AT126" s="222">
        <f ca="1">ProjectCashflows!AT$132</f>
        <v>0</v>
      </c>
      <c r="AU126" s="222">
        <f ca="1">ProjectCashflows!AU$132</f>
        <v>0</v>
      </c>
      <c r="AV126" s="222">
        <f ca="1">ProjectCashflows!AV$132</f>
        <v>0</v>
      </c>
      <c r="AW126" s="222">
        <f ca="1">ProjectCashflows!AW$132</f>
        <v>0</v>
      </c>
      <c r="AX126" s="222">
        <f ca="1">ProjectCashflows!AX$132</f>
        <v>0</v>
      </c>
    </row>
    <row r="127" spans="1:50" ht="15" customHeight="1" x14ac:dyDescent="0.25">
      <c r="A127" s="48"/>
      <c r="B127" s="48"/>
      <c r="C127" s="48"/>
      <c r="D127" s="48"/>
      <c r="E127" s="222" t="str">
        <f xml:space="preserve"> Analysis!E$91</f>
        <v>Operating costs, after ELT</v>
      </c>
      <c r="F127" s="222">
        <f xml:space="preserve"> Analysis!F$91</f>
        <v>0</v>
      </c>
      <c r="G127" s="222" t="str">
        <f xml:space="preserve"> Analysis!G$91</f>
        <v>US$ mn 2021</v>
      </c>
      <c r="H127" s="222">
        <f xml:space="preserve"> Analysis!H$91</f>
        <v>0</v>
      </c>
      <c r="I127" s="222">
        <f ca="1" xml:space="preserve"> Analysis!I$91</f>
        <v>4601</v>
      </c>
      <c r="J127" s="222">
        <f xml:space="preserve"> Analysis!J$91</f>
        <v>0</v>
      </c>
      <c r="K127" s="222">
        <f ca="1" xml:space="preserve"> Analysis!K$91</f>
        <v>0</v>
      </c>
      <c r="L127" s="222">
        <f ca="1" xml:space="preserve"> Analysis!L$91</f>
        <v>0</v>
      </c>
      <c r="M127" s="222">
        <f ca="1" xml:space="preserve"> Analysis!M$91</f>
        <v>0</v>
      </c>
      <c r="N127" s="222">
        <f ca="1" xml:space="preserve"> Analysis!N$91</f>
        <v>0</v>
      </c>
      <c r="O127" s="222">
        <f ca="1" xml:space="preserve"> Analysis!O$91</f>
        <v>50</v>
      </c>
      <c r="P127" s="222">
        <f ca="1" xml:space="preserve"> Analysis!P$91</f>
        <v>180</v>
      </c>
      <c r="Q127" s="222">
        <f ca="1" xml:space="preserve"> Analysis!Q$91</f>
        <v>260</v>
      </c>
      <c r="R127" s="222">
        <f ca="1" xml:space="preserve"> Analysis!R$91</f>
        <v>260</v>
      </c>
      <c r="S127" s="222">
        <f ca="1" xml:space="preserve"> Analysis!S$91</f>
        <v>260</v>
      </c>
      <c r="T127" s="222">
        <f ca="1" xml:space="preserve"> Analysis!T$91</f>
        <v>260</v>
      </c>
      <c r="U127" s="222">
        <f ca="1" xml:space="preserve"> Analysis!U$91</f>
        <v>260</v>
      </c>
      <c r="V127" s="222">
        <f ca="1" xml:space="preserve"> Analysis!V$91</f>
        <v>260</v>
      </c>
      <c r="W127" s="222">
        <f ca="1" xml:space="preserve"> Analysis!W$91</f>
        <v>260</v>
      </c>
      <c r="X127" s="222">
        <f ca="1" xml:space="preserve"> Analysis!X$91</f>
        <v>260</v>
      </c>
      <c r="Y127" s="222">
        <f ca="1" xml:space="preserve"> Analysis!Y$91</f>
        <v>260</v>
      </c>
      <c r="Z127" s="222">
        <f ca="1" xml:space="preserve"> Analysis!Z$91</f>
        <v>260</v>
      </c>
      <c r="AA127" s="222">
        <f ca="1" xml:space="preserve"> Analysis!AA$91</f>
        <v>260</v>
      </c>
      <c r="AB127" s="222">
        <f ca="1" xml:space="preserve"> Analysis!AB$91</f>
        <v>260</v>
      </c>
      <c r="AC127" s="222">
        <f ca="1" xml:space="preserve"> Analysis!AC$91</f>
        <v>150</v>
      </c>
      <c r="AD127" s="222">
        <f ca="1" xml:space="preserve"> Analysis!AD$91</f>
        <v>140</v>
      </c>
      <c r="AE127" s="222">
        <f ca="1" xml:space="preserve"> Analysis!AE$91</f>
        <v>120.00000000000001</v>
      </c>
      <c r="AF127" s="222">
        <f ca="1" xml:space="preserve"> Analysis!AF$91</f>
        <v>110.99999999999999</v>
      </c>
      <c r="AG127" s="222">
        <f ca="1" xml:space="preserve"> Analysis!AG$91</f>
        <v>100</v>
      </c>
      <c r="AH127" s="222">
        <f ca="1" xml:space="preserve"> Analysis!AH$91</f>
        <v>95</v>
      </c>
      <c r="AI127" s="222">
        <f ca="1" xml:space="preserve"> Analysis!AI$91</f>
        <v>90</v>
      </c>
      <c r="AJ127" s="222">
        <f ca="1" xml:space="preserve"> Analysis!AJ$91</f>
        <v>85.000000000000014</v>
      </c>
      <c r="AK127" s="222">
        <f ca="1" xml:space="preserve"> Analysis!AK$91</f>
        <v>80</v>
      </c>
      <c r="AL127" s="222">
        <f ca="1" xml:space="preserve"> Analysis!AL$91</f>
        <v>75</v>
      </c>
      <c r="AM127" s="222">
        <f ca="1" xml:space="preserve"> Analysis!AM$91</f>
        <v>70</v>
      </c>
      <c r="AN127" s="222">
        <f ca="1" xml:space="preserve"> Analysis!AN$91</f>
        <v>70</v>
      </c>
      <c r="AO127" s="222">
        <f ca="1" xml:space="preserve"> Analysis!AO$91</f>
        <v>65</v>
      </c>
      <c r="AP127" s="222">
        <f ca="1" xml:space="preserve"> Analysis!AP$91</f>
        <v>0</v>
      </c>
      <c r="AQ127" s="222">
        <f ca="1" xml:space="preserve"> Analysis!AQ$91</f>
        <v>0</v>
      </c>
      <c r="AR127" s="222">
        <f ca="1" xml:space="preserve"> Analysis!AR$91</f>
        <v>0</v>
      </c>
      <c r="AS127" s="222">
        <f ca="1" xml:space="preserve"> Analysis!AS$91</f>
        <v>0</v>
      </c>
      <c r="AT127" s="222">
        <f ca="1" xml:space="preserve"> Analysis!AT$91</f>
        <v>0</v>
      </c>
      <c r="AU127" s="222">
        <f ca="1" xml:space="preserve"> Analysis!AU$91</f>
        <v>0</v>
      </c>
      <c r="AV127" s="222">
        <f ca="1" xml:space="preserve"> Analysis!AV$91</f>
        <v>0</v>
      </c>
      <c r="AW127" s="222">
        <f ca="1" xml:space="preserve"> Analysis!AW$91</f>
        <v>0</v>
      </c>
      <c r="AX127" s="222">
        <f ca="1" xml:space="preserve"> Analysis!AX$91</f>
        <v>0</v>
      </c>
    </row>
    <row r="128" spans="1:50" ht="15" customHeight="1" x14ac:dyDescent="0.25">
      <c r="A128" s="48"/>
      <c r="B128" s="48"/>
      <c r="C128" s="48"/>
      <c r="D128" s="48"/>
      <c r="E128" s="48" t="str">
        <f>Translate!E675</f>
        <v>Operating unit costs</v>
      </c>
      <c r="F128" s="48"/>
      <c r="G128" s="45" t="str">
        <f xml:space="preserve"> Inputs!F$56</f>
        <v>US$ 2021 / bbl</v>
      </c>
      <c r="H128" s="48"/>
      <c r="I128" s="48"/>
      <c r="J128" s="48"/>
      <c r="K128" s="48">
        <f ca="1" xml:space="preserve"> IFERROR( K127 / K126, 0)</f>
        <v>0</v>
      </c>
      <c r="L128" s="48">
        <f t="shared" ref="L128:AX128" ca="1" si="15" xml:space="preserve"> IFERROR( L127 / L126, 0)</f>
        <v>0</v>
      </c>
      <c r="M128" s="48">
        <f t="shared" ca="1" si="15"/>
        <v>0</v>
      </c>
      <c r="N128" s="48">
        <f t="shared" ca="1" si="15"/>
        <v>0</v>
      </c>
      <c r="O128" s="48">
        <f t="shared" ca="1" si="15"/>
        <v>14.348448073641537</v>
      </c>
      <c r="P128" s="48">
        <f t="shared" ca="1" si="15"/>
        <v>6.5753424657534243</v>
      </c>
      <c r="Q128" s="48">
        <f t="shared" ca="1" si="15"/>
        <v>4.7488584474885842</v>
      </c>
      <c r="R128" s="48">
        <f t="shared" ca="1" si="15"/>
        <v>4.7488584474885842</v>
      </c>
      <c r="S128" s="48">
        <f t="shared" ca="1" si="15"/>
        <v>4.7488584474885842</v>
      </c>
      <c r="T128" s="48">
        <f t="shared" ca="1" si="15"/>
        <v>4.7488584474885842</v>
      </c>
      <c r="U128" s="48">
        <f t="shared" ca="1" si="15"/>
        <v>4.7488584474885842</v>
      </c>
      <c r="V128" s="48">
        <f t="shared" ca="1" si="15"/>
        <v>4.7488584474885842</v>
      </c>
      <c r="W128" s="48">
        <f t="shared" ca="1" si="15"/>
        <v>4.7488584474885842</v>
      </c>
      <c r="X128" s="48">
        <f t="shared" ca="1" si="15"/>
        <v>4.7488584474885842</v>
      </c>
      <c r="Y128" s="48">
        <f t="shared" ca="1" si="15"/>
        <v>4.7488584474885842</v>
      </c>
      <c r="Z128" s="48">
        <f t="shared" ca="1" si="15"/>
        <v>4.7488584474885842</v>
      </c>
      <c r="AA128" s="48">
        <f t="shared" ca="1" si="15"/>
        <v>5.8627882067760284</v>
      </c>
      <c r="AB128" s="48">
        <f t="shared" ca="1" si="15"/>
        <v>7.2380101318222581</v>
      </c>
      <c r="AC128" s="48">
        <f t="shared" ca="1" si="15"/>
        <v>5.1552778716682743</v>
      </c>
      <c r="AD128" s="48">
        <f t="shared" ca="1" si="15"/>
        <v>5.9402378768194097</v>
      </c>
      <c r="AE128" s="48">
        <f t="shared" ca="1" si="15"/>
        <v>6.2859660072163068</v>
      </c>
      <c r="AF128" s="48">
        <f t="shared" ca="1" si="15"/>
        <v>7.1784179712038059</v>
      </c>
      <c r="AG128" s="48">
        <f t="shared" ca="1" si="15"/>
        <v>7.9840039719762039</v>
      </c>
      <c r="AH128" s="48">
        <f t="shared" ca="1" si="15"/>
        <v>9.3639552757745594</v>
      </c>
      <c r="AI128" s="48">
        <f t="shared" ca="1" si="15"/>
        <v>10.951994474590128</v>
      </c>
      <c r="AJ128" s="48">
        <f t="shared" ca="1" si="15"/>
        <v>12.769815231003582</v>
      </c>
      <c r="AK128" s="48">
        <f t="shared" ca="1" si="15"/>
        <v>14.837839048370171</v>
      </c>
      <c r="AL128" s="48">
        <f t="shared" ca="1" si="15"/>
        <v>17.173424824502515</v>
      </c>
      <c r="AM128" s="48">
        <f t="shared" ca="1" si="15"/>
        <v>19.788308439755983</v>
      </c>
      <c r="AN128" s="48">
        <f t="shared" ca="1" si="15"/>
        <v>24.430010419451829</v>
      </c>
      <c r="AO128" s="48">
        <f t="shared" ca="1" si="15"/>
        <v>28.006184784204031</v>
      </c>
      <c r="AP128" s="48">
        <f t="shared" ca="1" si="15"/>
        <v>0</v>
      </c>
      <c r="AQ128" s="48">
        <f t="shared" ca="1" si="15"/>
        <v>0</v>
      </c>
      <c r="AR128" s="48">
        <f t="shared" ca="1" si="15"/>
        <v>0</v>
      </c>
      <c r="AS128" s="48">
        <f t="shared" ca="1" si="15"/>
        <v>0</v>
      </c>
      <c r="AT128" s="48">
        <f t="shared" ca="1" si="15"/>
        <v>0</v>
      </c>
      <c r="AU128" s="48">
        <f t="shared" ca="1" si="15"/>
        <v>0</v>
      </c>
      <c r="AV128" s="48">
        <f t="shared" ca="1" si="15"/>
        <v>0</v>
      </c>
      <c r="AW128" s="48">
        <f t="shared" ca="1" si="15"/>
        <v>0</v>
      </c>
      <c r="AX128" s="48">
        <f t="shared" ca="1" si="15"/>
        <v>0</v>
      </c>
    </row>
    <row r="129" spans="1:50" ht="15" customHeight="1" x14ac:dyDescent="0.25">
      <c r="A129" s="48"/>
      <c r="B129" s="48"/>
      <c r="C129" s="48"/>
      <c r="D129" s="48"/>
      <c r="E129" s="48"/>
      <c r="F129" s="48"/>
      <c r="G129" s="48"/>
      <c r="H129" s="48"/>
      <c r="I129" s="48"/>
      <c r="J129" s="48"/>
      <c r="K129" s="48"/>
      <c r="L129" s="48"/>
      <c r="M129" s="48"/>
      <c r="N129" s="48"/>
      <c r="O129" s="48"/>
      <c r="P129" s="48"/>
      <c r="Q129" s="48"/>
      <c r="R129" s="48"/>
      <c r="S129" s="48"/>
      <c r="T129" s="48"/>
      <c r="U129" s="48"/>
      <c r="V129" s="48"/>
      <c r="W129" s="48"/>
      <c r="X129" s="48"/>
      <c r="Y129" s="48"/>
      <c r="Z129" s="48"/>
      <c r="AA129" s="48"/>
      <c r="AB129" s="48"/>
      <c r="AC129" s="48"/>
      <c r="AD129" s="48"/>
      <c r="AE129" s="48"/>
      <c r="AF129" s="48"/>
      <c r="AG129" s="48"/>
      <c r="AH129" s="48"/>
      <c r="AI129" s="48"/>
      <c r="AJ129" s="48"/>
      <c r="AK129" s="48"/>
      <c r="AL129" s="48"/>
      <c r="AM129" s="48"/>
      <c r="AN129" s="48"/>
      <c r="AO129" s="48"/>
      <c r="AP129" s="48"/>
      <c r="AQ129" s="48"/>
      <c r="AR129" s="48"/>
      <c r="AS129" s="48"/>
      <c r="AT129" s="48"/>
      <c r="AU129" s="48"/>
      <c r="AV129" s="48"/>
      <c r="AW129" s="48"/>
      <c r="AX129" s="48"/>
    </row>
    <row r="130" spans="1:50" ht="15" customHeight="1" x14ac:dyDescent="0.25">
      <c r="A130" s="48"/>
      <c r="B130" s="48"/>
      <c r="C130" s="48"/>
      <c r="D130" s="48"/>
      <c r="E130" s="48"/>
      <c r="F130" s="48"/>
      <c r="G130" s="48"/>
      <c r="H130" s="48"/>
      <c r="I130" s="48"/>
      <c r="J130" s="48"/>
      <c r="K130" s="48"/>
      <c r="L130" s="48"/>
      <c r="M130" s="48"/>
      <c r="N130" s="48"/>
      <c r="O130" s="48"/>
      <c r="P130" s="48"/>
      <c r="Q130" s="48"/>
      <c r="R130" s="48"/>
      <c r="S130" s="48"/>
      <c r="T130" s="48"/>
      <c r="U130" s="48"/>
      <c r="V130" s="48"/>
      <c r="W130" s="48"/>
      <c r="X130" s="48"/>
      <c r="Y130" s="48"/>
      <c r="Z130" s="48"/>
      <c r="AA130" s="48"/>
      <c r="AB130" s="48"/>
      <c r="AC130" s="48"/>
      <c r="AD130" s="48"/>
      <c r="AE130" s="48"/>
      <c r="AF130" s="48"/>
      <c r="AG130" s="48"/>
      <c r="AH130" s="48"/>
      <c r="AI130" s="48"/>
      <c r="AJ130" s="48"/>
      <c r="AK130" s="48"/>
      <c r="AL130" s="48"/>
      <c r="AM130" s="48"/>
      <c r="AN130" s="48"/>
      <c r="AO130" s="48"/>
      <c r="AP130" s="48"/>
      <c r="AQ130" s="48"/>
      <c r="AR130" s="48"/>
      <c r="AS130" s="48"/>
      <c r="AT130" s="48"/>
      <c r="AU130" s="48"/>
      <c r="AV130" s="48"/>
      <c r="AW130" s="48"/>
      <c r="AX130" s="48"/>
    </row>
    <row r="131" spans="1:50" ht="15" customHeight="1" x14ac:dyDescent="0.25">
      <c r="A131" s="85"/>
      <c r="B131" s="85"/>
      <c r="C131" s="85"/>
      <c r="D131" s="85"/>
      <c r="E131" s="48"/>
      <c r="F131" s="87"/>
      <c r="G131" s="85"/>
      <c r="H131" s="85"/>
      <c r="I131" s="85"/>
      <c r="J131" s="85"/>
      <c r="K131" s="48"/>
      <c r="L131" s="48"/>
      <c r="M131" s="48"/>
      <c r="N131" s="48"/>
      <c r="O131" s="48"/>
      <c r="P131" s="85"/>
      <c r="Q131" s="85"/>
      <c r="R131" s="85"/>
      <c r="S131" s="85"/>
      <c r="T131" s="85"/>
      <c r="U131" s="85"/>
      <c r="V131" s="85"/>
      <c r="W131" s="85"/>
      <c r="X131" s="85"/>
      <c r="Y131" s="85"/>
      <c r="Z131" s="85"/>
      <c r="AA131" s="85"/>
      <c r="AB131" s="85"/>
      <c r="AC131" s="85"/>
      <c r="AD131" s="85"/>
      <c r="AE131" s="85"/>
      <c r="AF131" s="85"/>
      <c r="AG131" s="85"/>
      <c r="AH131" s="85"/>
      <c r="AI131" s="85"/>
      <c r="AJ131" s="85"/>
      <c r="AK131" s="85"/>
      <c r="AL131" s="85"/>
      <c r="AM131" s="85"/>
      <c r="AN131" s="85"/>
      <c r="AO131" s="85"/>
      <c r="AP131" s="85"/>
      <c r="AQ131" s="85"/>
      <c r="AR131" s="85"/>
      <c r="AS131" s="85"/>
      <c r="AT131" s="85"/>
      <c r="AU131" s="85"/>
      <c r="AV131" s="85"/>
      <c r="AW131" s="85"/>
      <c r="AX131" s="85"/>
    </row>
    <row r="132" spans="1:50" ht="15" customHeight="1" x14ac:dyDescent="0.25">
      <c r="A132" s="85"/>
      <c r="B132" s="85"/>
      <c r="C132" s="85"/>
      <c r="D132" s="85"/>
      <c r="E132" s="48"/>
      <c r="F132" s="87"/>
      <c r="G132" s="85"/>
      <c r="H132" s="85"/>
      <c r="I132" s="85"/>
      <c r="J132" s="85"/>
      <c r="K132" s="48"/>
      <c r="L132" s="48"/>
      <c r="M132" s="48"/>
      <c r="N132" s="48"/>
      <c r="O132" s="48"/>
      <c r="P132" s="85"/>
      <c r="Q132" s="85"/>
      <c r="R132" s="85"/>
      <c r="S132" s="85"/>
      <c r="T132" s="85"/>
      <c r="U132" s="85"/>
      <c r="V132" s="85"/>
      <c r="W132" s="85"/>
      <c r="X132" s="85"/>
      <c r="Y132" s="85"/>
      <c r="Z132" s="85"/>
      <c r="AA132" s="85"/>
      <c r="AB132" s="85"/>
      <c r="AC132" s="85"/>
      <c r="AD132" s="85"/>
      <c r="AE132" s="85"/>
      <c r="AF132" s="85"/>
      <c r="AG132" s="85"/>
      <c r="AH132" s="85"/>
      <c r="AI132" s="85"/>
      <c r="AJ132" s="85"/>
      <c r="AK132" s="85"/>
      <c r="AL132" s="85"/>
      <c r="AM132" s="85"/>
      <c r="AN132" s="85"/>
      <c r="AO132" s="85"/>
      <c r="AP132" s="85"/>
      <c r="AQ132" s="85"/>
      <c r="AR132" s="85"/>
      <c r="AS132" s="85"/>
      <c r="AT132" s="85"/>
      <c r="AU132" s="85"/>
      <c r="AV132" s="85"/>
      <c r="AW132" s="85"/>
      <c r="AX132" s="85"/>
    </row>
    <row r="133" spans="1:50" ht="15" customHeight="1" x14ac:dyDescent="0.25">
      <c r="A133" s="85"/>
      <c r="B133" s="85"/>
      <c r="C133" s="85"/>
      <c r="D133" s="85"/>
      <c r="E133" s="48"/>
      <c r="F133" s="87"/>
      <c r="G133" s="85"/>
      <c r="H133" s="85"/>
      <c r="I133" s="85"/>
      <c r="J133" s="85"/>
      <c r="K133" s="48"/>
      <c r="L133" s="48"/>
      <c r="M133" s="48"/>
      <c r="N133" s="48"/>
      <c r="O133" s="48"/>
      <c r="P133" s="85"/>
      <c r="Q133" s="85"/>
      <c r="R133" s="85"/>
      <c r="S133" s="85"/>
      <c r="T133" s="85"/>
      <c r="U133" s="85"/>
      <c r="V133" s="85"/>
      <c r="W133" s="85"/>
      <c r="X133" s="85"/>
      <c r="Y133" s="85"/>
      <c r="Z133" s="85"/>
      <c r="AA133" s="85"/>
      <c r="AB133" s="85"/>
      <c r="AC133" s="85"/>
      <c r="AD133" s="85"/>
      <c r="AE133" s="85"/>
      <c r="AF133" s="85"/>
      <c r="AG133" s="85"/>
      <c r="AH133" s="85"/>
      <c r="AI133" s="85"/>
      <c r="AJ133" s="85"/>
      <c r="AK133" s="85"/>
      <c r="AL133" s="85"/>
      <c r="AM133" s="85"/>
      <c r="AN133" s="85"/>
      <c r="AO133" s="85"/>
      <c r="AP133" s="85"/>
      <c r="AQ133" s="85"/>
      <c r="AR133" s="85"/>
      <c r="AS133" s="85"/>
      <c r="AT133" s="85"/>
      <c r="AU133" s="85"/>
      <c r="AV133" s="85"/>
      <c r="AW133" s="85"/>
      <c r="AX133" s="85"/>
    </row>
    <row r="134" spans="1:50" ht="15" customHeight="1" x14ac:dyDescent="0.25">
      <c r="A134" s="86"/>
      <c r="B134" s="89"/>
      <c r="C134" s="89"/>
      <c r="D134" s="89"/>
      <c r="E134" s="48"/>
      <c r="F134" s="87"/>
      <c r="G134" s="90"/>
      <c r="H134" s="90"/>
      <c r="I134" s="90"/>
      <c r="J134" s="90"/>
      <c r="K134" s="48"/>
      <c r="L134" s="48"/>
      <c r="M134" s="48"/>
      <c r="N134" s="48"/>
      <c r="O134" s="48"/>
      <c r="P134" s="85"/>
      <c r="Q134" s="85"/>
      <c r="R134" s="85"/>
      <c r="S134" s="85"/>
      <c r="T134" s="85"/>
      <c r="U134" s="85"/>
      <c r="V134" s="85"/>
      <c r="W134" s="85"/>
      <c r="X134" s="85"/>
      <c r="Y134" s="85"/>
      <c r="Z134" s="85"/>
      <c r="AA134" s="89"/>
      <c r="AB134" s="89"/>
      <c r="AC134" s="89"/>
      <c r="AD134" s="89"/>
      <c r="AE134" s="89"/>
      <c r="AF134" s="89"/>
      <c r="AG134" s="89"/>
      <c r="AH134" s="89"/>
      <c r="AI134" s="89"/>
      <c r="AJ134" s="89"/>
      <c r="AK134" s="89"/>
      <c r="AL134" s="89"/>
      <c r="AM134" s="89"/>
      <c r="AN134" s="89"/>
      <c r="AO134" s="89"/>
      <c r="AP134" s="89"/>
      <c r="AQ134" s="89"/>
      <c r="AR134" s="89"/>
      <c r="AS134" s="89"/>
      <c r="AT134" s="89"/>
      <c r="AU134" s="89"/>
      <c r="AV134" s="89"/>
      <c r="AW134" s="89"/>
      <c r="AX134" s="89"/>
    </row>
    <row r="135" spans="1:50" ht="15" customHeight="1" x14ac:dyDescent="0.25">
      <c r="A135" s="86"/>
      <c r="B135" s="89"/>
      <c r="C135" s="89"/>
      <c r="D135" s="89"/>
      <c r="E135" s="48"/>
      <c r="F135" s="87"/>
      <c r="G135" s="90"/>
      <c r="H135" s="90"/>
      <c r="I135" s="90"/>
      <c r="J135" s="90"/>
      <c r="K135" s="48"/>
      <c r="L135" s="48"/>
      <c r="M135" s="48"/>
      <c r="N135" s="48"/>
      <c r="O135" s="48"/>
      <c r="P135" s="85"/>
      <c r="Q135" s="85"/>
      <c r="R135" s="85"/>
      <c r="S135" s="85"/>
      <c r="T135" s="85"/>
      <c r="U135" s="85"/>
      <c r="V135" s="85"/>
      <c r="W135" s="85"/>
      <c r="X135" s="85"/>
      <c r="Y135" s="85"/>
      <c r="Z135" s="85"/>
      <c r="AA135" s="89"/>
      <c r="AB135" s="89"/>
      <c r="AC135" s="89"/>
      <c r="AD135" s="89"/>
      <c r="AE135" s="89"/>
      <c r="AF135" s="89"/>
      <c r="AG135" s="89"/>
      <c r="AH135" s="89"/>
      <c r="AI135" s="89"/>
      <c r="AJ135" s="89"/>
      <c r="AK135" s="89"/>
      <c r="AL135" s="89"/>
      <c r="AM135" s="89"/>
      <c r="AN135" s="89"/>
      <c r="AO135" s="89"/>
      <c r="AP135" s="89"/>
      <c r="AQ135" s="89"/>
      <c r="AR135" s="89"/>
      <c r="AS135" s="89"/>
      <c r="AT135" s="89"/>
      <c r="AU135" s="89"/>
      <c r="AV135" s="89"/>
      <c r="AW135" s="89"/>
      <c r="AX135" s="89"/>
    </row>
    <row r="136" spans="1:50" ht="15" customHeight="1" x14ac:dyDescent="0.25">
      <c r="A136" s="86"/>
      <c r="B136" s="89"/>
      <c r="C136" s="89"/>
      <c r="D136" s="89"/>
      <c r="E136" s="48"/>
      <c r="F136" s="89"/>
      <c r="G136" s="90"/>
      <c r="H136" s="90"/>
      <c r="I136" s="90"/>
      <c r="J136" s="90"/>
      <c r="K136" s="48"/>
      <c r="L136" s="48"/>
      <c r="M136" s="48"/>
      <c r="N136" s="48"/>
      <c r="O136" s="48"/>
      <c r="P136" s="85"/>
      <c r="Q136" s="85"/>
      <c r="R136" s="85"/>
      <c r="S136" s="85"/>
      <c r="T136" s="85"/>
      <c r="U136" s="85"/>
      <c r="V136" s="85"/>
      <c r="W136" s="85"/>
      <c r="X136" s="85"/>
      <c r="Y136" s="85"/>
      <c r="Z136" s="85"/>
      <c r="AA136" s="89"/>
      <c r="AB136" s="89"/>
      <c r="AC136" s="89"/>
      <c r="AD136" s="89"/>
      <c r="AE136" s="89"/>
      <c r="AF136" s="89"/>
      <c r="AG136" s="89"/>
      <c r="AH136" s="89"/>
      <c r="AI136" s="89"/>
      <c r="AJ136" s="89"/>
      <c r="AK136" s="89"/>
      <c r="AL136" s="89"/>
      <c r="AM136" s="89"/>
      <c r="AN136" s="89"/>
      <c r="AO136" s="89"/>
      <c r="AP136" s="89"/>
      <c r="AQ136" s="89"/>
      <c r="AR136" s="89"/>
      <c r="AS136" s="89"/>
      <c r="AT136" s="89"/>
      <c r="AU136" s="89"/>
      <c r="AV136" s="89"/>
      <c r="AW136" s="89"/>
      <c r="AX136" s="89"/>
    </row>
    <row r="137" spans="1:50" ht="15" customHeight="1" x14ac:dyDescent="0.25">
      <c r="A137" s="86"/>
      <c r="B137" s="89"/>
      <c r="C137" s="89"/>
      <c r="D137" s="89"/>
      <c r="E137" s="89"/>
      <c r="F137" s="89"/>
      <c r="G137" s="90"/>
      <c r="H137" s="90"/>
      <c r="I137" s="90"/>
      <c r="J137" s="90"/>
      <c r="K137" s="48"/>
      <c r="L137" s="48"/>
      <c r="M137" s="48"/>
      <c r="N137" s="48"/>
      <c r="O137" s="48"/>
      <c r="P137" s="85"/>
      <c r="Q137" s="85"/>
      <c r="R137" s="85"/>
      <c r="S137" s="85"/>
      <c r="T137" s="85"/>
      <c r="U137" s="85"/>
      <c r="V137" s="85"/>
      <c r="W137" s="85"/>
      <c r="X137" s="85"/>
      <c r="Y137" s="85"/>
      <c r="Z137" s="85"/>
      <c r="AA137" s="89"/>
      <c r="AB137" s="89"/>
      <c r="AC137" s="89"/>
      <c r="AD137" s="89"/>
      <c r="AE137" s="89"/>
      <c r="AF137" s="89"/>
      <c r="AG137" s="89"/>
      <c r="AH137" s="89"/>
      <c r="AI137" s="89"/>
      <c r="AJ137" s="89"/>
      <c r="AK137" s="89"/>
      <c r="AL137" s="89"/>
      <c r="AM137" s="89"/>
      <c r="AN137" s="89"/>
      <c r="AO137" s="89"/>
      <c r="AP137" s="89"/>
      <c r="AQ137" s="89"/>
      <c r="AR137" s="89"/>
      <c r="AS137" s="89"/>
      <c r="AT137" s="89"/>
      <c r="AU137" s="89"/>
      <c r="AV137" s="89"/>
      <c r="AW137" s="89"/>
      <c r="AX137" s="89"/>
    </row>
    <row r="138" spans="1:50" ht="15" customHeight="1" x14ac:dyDescent="0.25">
      <c r="A138" s="86"/>
      <c r="B138" s="89"/>
      <c r="C138" s="89"/>
      <c r="D138" s="89"/>
      <c r="E138" s="89"/>
      <c r="F138" s="89"/>
      <c r="G138" s="90"/>
      <c r="H138" s="90"/>
      <c r="I138" s="90"/>
      <c r="J138" s="90"/>
      <c r="K138" s="48"/>
      <c r="L138" s="48"/>
      <c r="M138" s="48"/>
      <c r="N138" s="48"/>
      <c r="O138" s="48"/>
      <c r="P138" s="85"/>
      <c r="Q138" s="85"/>
      <c r="R138" s="85"/>
      <c r="S138" s="85"/>
      <c r="T138" s="85"/>
      <c r="U138" s="85"/>
      <c r="V138" s="85"/>
      <c r="W138" s="85"/>
      <c r="X138" s="85"/>
      <c r="Y138" s="85"/>
      <c r="Z138" s="85"/>
      <c r="AA138" s="89"/>
      <c r="AB138" s="89"/>
      <c r="AC138" s="89"/>
      <c r="AD138" s="89"/>
      <c r="AE138" s="89"/>
      <c r="AF138" s="89"/>
      <c r="AG138" s="89"/>
      <c r="AH138" s="89"/>
      <c r="AI138" s="89"/>
      <c r="AJ138" s="89"/>
      <c r="AK138" s="89"/>
      <c r="AL138" s="89"/>
      <c r="AM138" s="89"/>
      <c r="AN138" s="89"/>
      <c r="AO138" s="89"/>
      <c r="AP138" s="89"/>
      <c r="AQ138" s="89"/>
      <c r="AR138" s="89"/>
      <c r="AS138" s="89"/>
      <c r="AT138" s="89"/>
      <c r="AU138" s="89"/>
      <c r="AV138" s="89"/>
      <c r="AW138" s="89"/>
      <c r="AX138" s="89"/>
    </row>
    <row r="139" spans="1:50" ht="15" customHeight="1" x14ac:dyDescent="0.25">
      <c r="A139" s="86"/>
      <c r="B139" s="89"/>
      <c r="C139" s="89"/>
      <c r="D139" s="89"/>
      <c r="E139" s="89"/>
      <c r="F139" s="89"/>
      <c r="G139" s="90"/>
      <c r="H139" s="90"/>
      <c r="I139" s="90"/>
      <c r="J139" s="90"/>
      <c r="K139" s="89"/>
      <c r="L139" s="89"/>
      <c r="M139" s="89"/>
      <c r="N139" s="89"/>
      <c r="O139" s="85"/>
      <c r="P139" s="85"/>
      <c r="Q139" s="85"/>
      <c r="R139" s="85"/>
      <c r="S139" s="85"/>
      <c r="T139" s="85"/>
      <c r="U139" s="85"/>
      <c r="V139" s="85"/>
      <c r="W139" s="85"/>
      <c r="X139" s="85"/>
      <c r="Y139" s="85"/>
      <c r="Z139" s="85"/>
      <c r="AA139" s="89"/>
      <c r="AB139" s="89"/>
      <c r="AC139" s="89"/>
      <c r="AD139" s="89"/>
      <c r="AE139" s="89"/>
      <c r="AF139" s="89"/>
      <c r="AG139" s="89"/>
      <c r="AH139" s="89"/>
      <c r="AI139" s="89"/>
      <c r="AJ139" s="89"/>
      <c r="AK139" s="89"/>
      <c r="AL139" s="89"/>
      <c r="AM139" s="89"/>
      <c r="AN139" s="89"/>
      <c r="AO139" s="89"/>
      <c r="AP139" s="89"/>
      <c r="AQ139" s="89"/>
      <c r="AR139" s="89"/>
      <c r="AS139" s="89"/>
      <c r="AT139" s="89"/>
      <c r="AU139" s="89"/>
      <c r="AV139" s="89"/>
      <c r="AW139" s="89"/>
      <c r="AX139" s="89"/>
    </row>
    <row r="140" spans="1:50" ht="15" customHeight="1" x14ac:dyDescent="0.25">
      <c r="A140" s="86"/>
      <c r="B140" s="89"/>
      <c r="C140" s="89"/>
      <c r="D140" s="89"/>
      <c r="E140" s="89"/>
      <c r="F140" s="89"/>
      <c r="G140" s="90"/>
      <c r="H140" s="90"/>
      <c r="I140" s="90"/>
      <c r="J140" s="90"/>
      <c r="K140" s="89"/>
      <c r="L140" s="89"/>
      <c r="M140" s="89"/>
      <c r="N140" s="89"/>
      <c r="O140" s="85"/>
      <c r="P140" s="85"/>
      <c r="Q140" s="85"/>
      <c r="R140" s="85"/>
      <c r="S140" s="85"/>
      <c r="T140" s="85"/>
      <c r="U140" s="85"/>
      <c r="V140" s="85"/>
      <c r="W140" s="85"/>
      <c r="X140" s="85"/>
      <c r="Y140" s="85"/>
      <c r="Z140" s="85"/>
      <c r="AA140" s="89"/>
      <c r="AB140" s="89"/>
      <c r="AC140" s="89"/>
      <c r="AD140" s="89"/>
      <c r="AE140" s="89"/>
      <c r="AF140" s="89"/>
      <c r="AG140" s="89"/>
      <c r="AH140" s="89"/>
      <c r="AI140" s="89"/>
      <c r="AJ140" s="89"/>
      <c r="AK140" s="89"/>
      <c r="AL140" s="89"/>
      <c r="AM140" s="89"/>
      <c r="AN140" s="89"/>
      <c r="AO140" s="89"/>
      <c r="AP140" s="89"/>
      <c r="AQ140" s="89"/>
      <c r="AR140" s="89"/>
      <c r="AS140" s="89"/>
      <c r="AT140" s="89"/>
      <c r="AU140" s="89"/>
      <c r="AV140" s="89"/>
      <c r="AW140" s="89"/>
      <c r="AX140" s="89"/>
    </row>
    <row r="141" spans="1:50" ht="15" customHeight="1" x14ac:dyDescent="0.25">
      <c r="A141" s="86"/>
      <c r="B141" s="89"/>
      <c r="C141" s="89"/>
      <c r="D141" s="89"/>
      <c r="E141" s="89"/>
      <c r="F141" s="89"/>
      <c r="G141" s="90"/>
      <c r="H141" s="90"/>
      <c r="I141" s="90"/>
      <c r="J141" s="90"/>
      <c r="K141" s="89"/>
      <c r="L141" s="89"/>
      <c r="M141" s="89"/>
      <c r="N141" s="89"/>
      <c r="O141" s="85"/>
      <c r="P141" s="85"/>
      <c r="Q141" s="85"/>
      <c r="R141" s="85"/>
      <c r="S141" s="85"/>
      <c r="T141" s="85"/>
      <c r="U141" s="85"/>
      <c r="V141" s="85"/>
      <c r="W141" s="85"/>
      <c r="X141" s="85"/>
      <c r="Y141" s="85"/>
      <c r="Z141" s="85"/>
      <c r="AA141" s="89"/>
      <c r="AB141" s="89"/>
      <c r="AC141" s="89"/>
      <c r="AD141" s="89"/>
      <c r="AE141" s="89"/>
      <c r="AF141" s="89"/>
      <c r="AG141" s="89"/>
      <c r="AH141" s="89"/>
      <c r="AI141" s="89"/>
      <c r="AJ141" s="89"/>
      <c r="AK141" s="89"/>
      <c r="AL141" s="89"/>
      <c r="AM141" s="89"/>
      <c r="AN141" s="89"/>
      <c r="AO141" s="89"/>
      <c r="AP141" s="89"/>
      <c r="AQ141" s="89"/>
      <c r="AR141" s="89"/>
      <c r="AS141" s="89"/>
      <c r="AT141" s="89"/>
      <c r="AU141" s="89"/>
      <c r="AV141" s="89"/>
      <c r="AW141" s="89"/>
      <c r="AX141" s="89"/>
    </row>
    <row r="142" spans="1:50" ht="15" customHeight="1" x14ac:dyDescent="0.25">
      <c r="A142" s="86"/>
      <c r="B142" s="89"/>
      <c r="C142" s="89"/>
      <c r="D142" s="89"/>
      <c r="E142" s="89"/>
      <c r="F142" s="89"/>
      <c r="G142" s="90"/>
      <c r="H142" s="90"/>
      <c r="I142" s="90"/>
      <c r="J142" s="90"/>
      <c r="K142" s="89"/>
      <c r="L142" s="89"/>
      <c r="M142" s="89"/>
      <c r="N142" s="89"/>
      <c r="O142" s="85"/>
      <c r="P142" s="85"/>
      <c r="Q142" s="85"/>
      <c r="R142" s="85"/>
      <c r="S142" s="85"/>
      <c r="T142" s="85"/>
      <c r="U142" s="85"/>
      <c r="V142" s="85"/>
      <c r="W142" s="85"/>
      <c r="X142" s="85"/>
      <c r="Y142" s="85"/>
      <c r="Z142" s="85"/>
      <c r="AA142" s="89"/>
      <c r="AB142" s="89"/>
      <c r="AC142" s="89"/>
      <c r="AD142" s="89"/>
      <c r="AE142" s="89"/>
      <c r="AF142" s="89"/>
      <c r="AG142" s="89"/>
      <c r="AH142" s="89"/>
      <c r="AI142" s="89"/>
      <c r="AJ142" s="89"/>
      <c r="AK142" s="89"/>
      <c r="AL142" s="89"/>
      <c r="AM142" s="89"/>
      <c r="AN142" s="89"/>
      <c r="AO142" s="89"/>
      <c r="AP142" s="89"/>
      <c r="AQ142" s="89"/>
      <c r="AR142" s="89"/>
      <c r="AS142" s="89"/>
      <c r="AT142" s="89"/>
      <c r="AU142" s="89"/>
      <c r="AV142" s="89"/>
      <c r="AW142" s="89"/>
      <c r="AX142" s="89"/>
    </row>
    <row r="143" spans="1:50" ht="15" customHeight="1" x14ac:dyDescent="0.25">
      <c r="A143" s="86"/>
      <c r="B143" s="89"/>
      <c r="C143" s="89"/>
      <c r="D143" s="89"/>
      <c r="E143" s="89"/>
      <c r="F143" s="89"/>
      <c r="G143" s="90"/>
      <c r="H143" s="90"/>
      <c r="I143" s="90"/>
      <c r="J143" s="90"/>
      <c r="K143" s="89"/>
      <c r="L143" s="89"/>
      <c r="M143" s="89"/>
      <c r="N143" s="89"/>
      <c r="O143" s="85"/>
      <c r="P143" s="85"/>
      <c r="Q143" s="85"/>
      <c r="R143" s="85"/>
      <c r="S143" s="85"/>
      <c r="T143" s="85"/>
      <c r="U143" s="85"/>
      <c r="V143" s="85"/>
      <c r="W143" s="85"/>
      <c r="X143" s="85"/>
      <c r="Y143" s="85"/>
      <c r="Z143" s="85"/>
      <c r="AA143" s="89"/>
      <c r="AB143" s="89"/>
      <c r="AC143" s="89"/>
      <c r="AD143" s="89"/>
      <c r="AE143" s="89"/>
      <c r="AF143" s="89"/>
      <c r="AG143" s="89"/>
      <c r="AH143" s="89"/>
      <c r="AI143" s="89"/>
      <c r="AJ143" s="89"/>
      <c r="AK143" s="89"/>
      <c r="AL143" s="89"/>
      <c r="AM143" s="89"/>
      <c r="AN143" s="89"/>
      <c r="AO143" s="89"/>
      <c r="AP143" s="89"/>
      <c r="AQ143" s="89"/>
      <c r="AR143" s="89"/>
      <c r="AS143" s="89"/>
      <c r="AT143" s="89"/>
      <c r="AU143" s="89"/>
      <c r="AV143" s="89"/>
      <c r="AW143" s="89"/>
      <c r="AX143" s="89"/>
    </row>
    <row r="144" spans="1:50" ht="15" customHeight="1" x14ac:dyDescent="0.25">
      <c r="A144" s="86"/>
      <c r="B144" s="89"/>
      <c r="C144" s="89"/>
      <c r="D144" s="89"/>
      <c r="E144" s="89"/>
      <c r="F144" s="89"/>
      <c r="G144" s="90"/>
      <c r="H144" s="90"/>
      <c r="I144" s="90"/>
      <c r="J144" s="90"/>
      <c r="K144" s="89"/>
      <c r="L144" s="89"/>
      <c r="M144" s="89"/>
      <c r="N144" s="89"/>
      <c r="O144" s="85"/>
      <c r="P144" s="85"/>
      <c r="Q144" s="85"/>
      <c r="R144" s="85"/>
      <c r="S144" s="85"/>
      <c r="T144" s="85"/>
      <c r="U144" s="85"/>
      <c r="V144" s="85"/>
      <c r="W144" s="85"/>
      <c r="X144" s="85"/>
      <c r="Y144" s="85"/>
      <c r="Z144" s="85"/>
      <c r="AA144" s="89"/>
      <c r="AB144" s="89"/>
      <c r="AC144" s="89"/>
      <c r="AD144" s="89"/>
      <c r="AE144" s="89"/>
      <c r="AF144" s="89"/>
      <c r="AG144" s="89"/>
      <c r="AH144" s="89"/>
      <c r="AI144" s="89"/>
      <c r="AJ144" s="89"/>
      <c r="AK144" s="89"/>
      <c r="AL144" s="89"/>
      <c r="AM144" s="89"/>
      <c r="AN144" s="89"/>
      <c r="AO144" s="89"/>
      <c r="AP144" s="89"/>
      <c r="AQ144" s="89"/>
      <c r="AR144" s="89"/>
      <c r="AS144" s="89"/>
      <c r="AT144" s="89"/>
      <c r="AU144" s="89"/>
      <c r="AV144" s="89"/>
      <c r="AW144" s="89"/>
      <c r="AX144" s="89"/>
    </row>
    <row r="145" spans="1:50" ht="15" customHeight="1" x14ac:dyDescent="0.25">
      <c r="A145" s="86"/>
      <c r="B145" s="89"/>
      <c r="C145" s="89"/>
      <c r="D145" s="89"/>
      <c r="E145" s="89"/>
      <c r="F145" s="89"/>
      <c r="G145" s="90"/>
      <c r="H145" s="90"/>
      <c r="I145" s="90"/>
      <c r="J145" s="90"/>
      <c r="K145" s="89"/>
      <c r="L145" s="89"/>
      <c r="M145" s="89"/>
      <c r="N145" s="89"/>
      <c r="O145" s="85"/>
      <c r="P145" s="85"/>
      <c r="Q145" s="85"/>
      <c r="R145" s="85"/>
      <c r="S145" s="85"/>
      <c r="T145" s="85"/>
      <c r="U145" s="85"/>
      <c r="V145" s="85"/>
      <c r="W145" s="85"/>
      <c r="X145" s="85"/>
      <c r="Y145" s="85"/>
      <c r="Z145" s="85"/>
      <c r="AA145" s="89"/>
      <c r="AB145" s="89"/>
      <c r="AC145" s="89"/>
      <c r="AD145" s="89"/>
      <c r="AE145" s="89"/>
      <c r="AF145" s="89"/>
      <c r="AG145" s="89"/>
      <c r="AH145" s="89"/>
      <c r="AI145" s="89"/>
      <c r="AJ145" s="89"/>
      <c r="AK145" s="89"/>
      <c r="AL145" s="89"/>
      <c r="AM145" s="89"/>
      <c r="AN145" s="89"/>
      <c r="AO145" s="89"/>
      <c r="AP145" s="89"/>
      <c r="AQ145" s="89"/>
      <c r="AR145" s="89"/>
      <c r="AS145" s="89"/>
      <c r="AT145" s="89"/>
      <c r="AU145" s="89"/>
      <c r="AV145" s="89"/>
      <c r="AW145" s="89"/>
      <c r="AX145" s="89"/>
    </row>
    <row r="146" spans="1:50" ht="15" customHeight="1" x14ac:dyDescent="0.25">
      <c r="A146" s="86"/>
      <c r="B146" s="89"/>
      <c r="C146" s="89"/>
      <c r="D146" s="89"/>
      <c r="E146" s="89"/>
      <c r="F146" s="89"/>
      <c r="G146" s="90"/>
      <c r="H146" s="90"/>
      <c r="I146" s="90"/>
      <c r="J146" s="90"/>
      <c r="K146" s="89"/>
      <c r="L146" s="89"/>
      <c r="M146" s="89"/>
      <c r="N146" s="89"/>
      <c r="O146" s="85"/>
      <c r="P146" s="85"/>
      <c r="Q146" s="85"/>
      <c r="R146" s="85"/>
      <c r="S146" s="85"/>
      <c r="T146" s="85"/>
      <c r="U146" s="85"/>
      <c r="V146" s="85"/>
      <c r="W146" s="85"/>
      <c r="X146" s="85"/>
      <c r="Y146" s="85"/>
      <c r="Z146" s="85"/>
      <c r="AA146" s="89"/>
      <c r="AB146" s="89"/>
      <c r="AC146" s="89"/>
      <c r="AD146" s="89"/>
      <c r="AE146" s="89"/>
      <c r="AF146" s="89"/>
      <c r="AG146" s="89"/>
      <c r="AH146" s="89"/>
      <c r="AI146" s="89"/>
      <c r="AJ146" s="89"/>
      <c r="AK146" s="89"/>
      <c r="AL146" s="89"/>
      <c r="AM146" s="89"/>
      <c r="AN146" s="89"/>
      <c r="AO146" s="89"/>
      <c r="AP146" s="89"/>
      <c r="AQ146" s="89"/>
      <c r="AR146" s="89"/>
      <c r="AS146" s="89"/>
      <c r="AT146" s="89"/>
      <c r="AU146" s="89"/>
      <c r="AV146" s="89"/>
      <c r="AW146" s="89"/>
      <c r="AX146" s="89"/>
    </row>
    <row r="147" spans="1:50" ht="15" customHeight="1" x14ac:dyDescent="0.25">
      <c r="A147" s="86"/>
      <c r="B147" s="89"/>
      <c r="C147" s="89"/>
      <c r="D147" s="89"/>
      <c r="E147" s="89"/>
      <c r="F147" s="89"/>
      <c r="G147" s="90"/>
      <c r="H147" s="90"/>
      <c r="I147" s="90"/>
      <c r="J147" s="90"/>
      <c r="K147" s="89"/>
      <c r="L147" s="89"/>
      <c r="M147" s="89"/>
      <c r="N147" s="89"/>
      <c r="O147" s="85"/>
      <c r="P147" s="85"/>
      <c r="Q147" s="85"/>
      <c r="R147" s="85"/>
      <c r="S147" s="85"/>
      <c r="T147" s="85"/>
      <c r="U147" s="85"/>
      <c r="V147" s="85"/>
      <c r="W147" s="85"/>
      <c r="X147" s="85"/>
      <c r="Y147" s="85"/>
      <c r="Z147" s="85"/>
      <c r="AA147" s="89"/>
      <c r="AB147" s="89"/>
      <c r="AC147" s="89"/>
      <c r="AD147" s="89"/>
      <c r="AE147" s="89"/>
      <c r="AF147" s="89"/>
      <c r="AG147" s="89"/>
      <c r="AH147" s="89"/>
      <c r="AI147" s="89"/>
      <c r="AJ147" s="89"/>
      <c r="AK147" s="89"/>
      <c r="AL147" s="89"/>
      <c r="AM147" s="89"/>
      <c r="AN147" s="89"/>
      <c r="AO147" s="89"/>
      <c r="AP147" s="89"/>
      <c r="AQ147" s="89"/>
      <c r="AR147" s="89"/>
      <c r="AS147" s="89"/>
      <c r="AT147" s="89"/>
      <c r="AU147" s="89"/>
      <c r="AV147" s="89"/>
      <c r="AW147" s="89"/>
      <c r="AX147" s="89"/>
    </row>
    <row r="148" spans="1:50" ht="15" customHeight="1" x14ac:dyDescent="0.25">
      <c r="A148" s="86"/>
      <c r="B148" s="89"/>
      <c r="C148" s="89"/>
      <c r="D148" s="89"/>
      <c r="E148" s="89"/>
      <c r="F148" s="89"/>
      <c r="G148" s="90"/>
      <c r="H148" s="90"/>
      <c r="I148" s="90"/>
      <c r="J148" s="90"/>
      <c r="K148" s="89"/>
      <c r="L148" s="89"/>
      <c r="M148" s="89"/>
      <c r="N148" s="89"/>
      <c r="O148" s="85"/>
      <c r="P148" s="85"/>
      <c r="Q148" s="85"/>
      <c r="R148" s="85"/>
      <c r="S148" s="85"/>
      <c r="T148" s="85"/>
      <c r="U148" s="85"/>
      <c r="V148" s="85"/>
      <c r="W148" s="85"/>
      <c r="X148" s="85"/>
      <c r="Y148" s="85"/>
      <c r="Z148" s="85"/>
      <c r="AA148" s="89"/>
      <c r="AB148" s="89"/>
      <c r="AC148" s="89"/>
      <c r="AD148" s="89"/>
      <c r="AE148" s="89"/>
      <c r="AF148" s="89"/>
      <c r="AG148" s="89"/>
      <c r="AH148" s="89"/>
      <c r="AI148" s="89"/>
      <c r="AJ148" s="89"/>
      <c r="AK148" s="89"/>
      <c r="AL148" s="89"/>
      <c r="AM148" s="89"/>
      <c r="AN148" s="89"/>
      <c r="AO148" s="89"/>
      <c r="AP148" s="89"/>
      <c r="AQ148" s="89"/>
      <c r="AR148" s="89"/>
      <c r="AS148" s="89"/>
      <c r="AT148" s="89"/>
      <c r="AU148" s="89"/>
      <c r="AV148" s="89"/>
      <c r="AW148" s="89"/>
      <c r="AX148" s="89"/>
    </row>
    <row r="149" spans="1:50" ht="15" customHeight="1" x14ac:dyDescent="0.25">
      <c r="A149" s="66" t="str">
        <f ca="1">A$1 &amp; ": " &amp; Translate!E$626</f>
        <v>Charts: Sheet checks</v>
      </c>
      <c r="B149" s="66"/>
      <c r="C149" s="66"/>
      <c r="D149" s="66"/>
      <c r="E149" s="66"/>
      <c r="F149" s="66"/>
      <c r="G149" s="66"/>
      <c r="H149" s="66"/>
      <c r="I149" s="66"/>
      <c r="J149" s="66"/>
      <c r="K149" s="89"/>
      <c r="L149" s="89"/>
      <c r="M149" s="89"/>
      <c r="N149" s="89"/>
      <c r="O149" s="85"/>
      <c r="P149" s="85"/>
      <c r="Q149" s="85"/>
      <c r="R149" s="85"/>
      <c r="S149" s="85"/>
      <c r="T149" s="85"/>
      <c r="U149" s="85"/>
      <c r="V149" s="85"/>
      <c r="W149" s="85"/>
      <c r="X149" s="85"/>
      <c r="Y149" s="85"/>
      <c r="Z149" s="85"/>
      <c r="AA149" s="89"/>
      <c r="AB149" s="89"/>
      <c r="AC149" s="89"/>
      <c r="AD149" s="89"/>
      <c r="AE149" s="89"/>
      <c r="AF149" s="89"/>
      <c r="AG149" s="89"/>
      <c r="AH149" s="89"/>
      <c r="AI149" s="89"/>
      <c r="AJ149" s="89"/>
      <c r="AK149" s="89"/>
      <c r="AL149" s="89"/>
      <c r="AM149" s="89"/>
      <c r="AN149" s="89"/>
      <c r="AO149" s="89"/>
      <c r="AP149" s="89"/>
      <c r="AQ149" s="89"/>
      <c r="AR149" s="89"/>
      <c r="AS149" s="89"/>
      <c r="AT149" s="89"/>
      <c r="AU149" s="89"/>
      <c r="AV149" s="89"/>
      <c r="AW149" s="89"/>
      <c r="AX149" s="89"/>
    </row>
    <row r="150" spans="1:50" ht="15" customHeight="1" x14ac:dyDescent="0.25">
      <c r="A150" s="67"/>
      <c r="B150" s="68"/>
      <c r="C150" s="1077"/>
      <c r="D150" s="69"/>
      <c r="E150" s="67"/>
      <c r="F150" s="1077" t="str">
        <f xml:space="preserve"> Translate!E$651</f>
        <v>do not delete row</v>
      </c>
      <c r="G150" s="67"/>
      <c r="H150" s="67"/>
      <c r="I150" s="67"/>
      <c r="J150" s="67"/>
      <c r="K150" s="89"/>
      <c r="L150" s="89"/>
      <c r="M150" s="89"/>
      <c r="N150" s="89"/>
      <c r="O150" s="85"/>
      <c r="P150" s="85"/>
      <c r="Q150" s="85"/>
      <c r="R150" s="85"/>
      <c r="S150" s="85"/>
      <c r="T150" s="85"/>
      <c r="U150" s="85"/>
      <c r="V150" s="85"/>
      <c r="W150" s="85"/>
      <c r="X150" s="85"/>
      <c r="Y150" s="85"/>
      <c r="Z150" s="85"/>
      <c r="AA150" s="89"/>
      <c r="AB150" s="89"/>
      <c r="AC150" s="89"/>
      <c r="AD150" s="89"/>
      <c r="AE150" s="89"/>
      <c r="AF150" s="89"/>
      <c r="AG150" s="89"/>
      <c r="AH150" s="89"/>
      <c r="AI150" s="89"/>
      <c r="AJ150" s="89"/>
      <c r="AK150" s="89"/>
      <c r="AL150" s="89"/>
      <c r="AM150" s="89"/>
      <c r="AN150" s="89"/>
      <c r="AO150" s="89"/>
      <c r="AP150" s="89"/>
      <c r="AQ150" s="89"/>
      <c r="AR150" s="89"/>
      <c r="AS150" s="89"/>
      <c r="AT150" s="89"/>
      <c r="AU150" s="89"/>
      <c r="AV150" s="89"/>
      <c r="AW150" s="89"/>
      <c r="AX150" s="89"/>
    </row>
    <row r="151" spans="1:50" ht="15" customHeight="1" x14ac:dyDescent="0.25">
      <c r="A151" s="56"/>
      <c r="B151"/>
      <c r="C151" s="89"/>
      <c r="D151" s="89"/>
      <c r="E151" s="89" t="str">
        <f xml:space="preserve"> E$91</f>
        <v>Check: Project revenues and costs</v>
      </c>
      <c r="F151" s="72">
        <f ca="1" xml:space="preserve"> F$91</f>
        <v>0</v>
      </c>
      <c r="G151" s="90" t="str">
        <f xml:space="preserve"> G$91</f>
        <v>US$ mn 2021</v>
      </c>
      <c r="H151" s="90"/>
      <c r="I151" s="90"/>
      <c r="J151" s="90"/>
      <c r="K151" s="89"/>
      <c r="L151" s="89"/>
      <c r="M151" s="89"/>
      <c r="N151" s="89"/>
      <c r="O151" s="85"/>
      <c r="P151" s="85"/>
      <c r="Q151" s="85"/>
      <c r="R151" s="85"/>
      <c r="S151" s="85"/>
      <c r="T151" s="85"/>
      <c r="U151" s="85"/>
      <c r="V151" s="85"/>
      <c r="W151" s="85"/>
      <c r="X151" s="85"/>
      <c r="Y151" s="85"/>
      <c r="Z151" s="85"/>
      <c r="AA151" s="89"/>
      <c r="AB151" s="89"/>
      <c r="AC151" s="89"/>
      <c r="AD151" s="89"/>
      <c r="AE151" s="89"/>
      <c r="AF151" s="89"/>
      <c r="AG151" s="89"/>
      <c r="AH151" s="89"/>
      <c r="AI151" s="89"/>
      <c r="AJ151" s="89"/>
      <c r="AK151" s="89"/>
      <c r="AL151" s="89"/>
      <c r="AM151" s="89"/>
      <c r="AN151" s="89"/>
      <c r="AO151" s="89"/>
      <c r="AP151" s="89"/>
      <c r="AQ151" s="89"/>
      <c r="AR151" s="89"/>
      <c r="AS151" s="89"/>
      <c r="AT151" s="89"/>
      <c r="AU151" s="89"/>
      <c r="AV151" s="89"/>
      <c r="AW151" s="89"/>
      <c r="AX151" s="89"/>
    </row>
    <row r="152" spans="1:50" ht="15" customHeight="1" x14ac:dyDescent="0.25">
      <c r="A152" s="67"/>
      <c r="B152" s="1077"/>
      <c r="C152" s="1077"/>
      <c r="D152" s="1077"/>
      <c r="E152" s="1077"/>
      <c r="F152" s="1077" t="str">
        <f xml:space="preserve"> Translate!E$651</f>
        <v>do not delete row</v>
      </c>
      <c r="G152" s="67"/>
      <c r="H152" s="67"/>
      <c r="I152" s="67"/>
      <c r="J152" s="67"/>
      <c r="K152" s="89"/>
      <c r="L152" s="89"/>
      <c r="M152" s="89"/>
      <c r="N152" s="89"/>
      <c r="O152" s="85"/>
      <c r="P152" s="85"/>
      <c r="Q152" s="85"/>
      <c r="R152" s="85"/>
      <c r="S152" s="85"/>
      <c r="T152" s="85"/>
      <c r="U152" s="85"/>
      <c r="V152" s="85"/>
      <c r="W152" s="85"/>
      <c r="X152" s="85"/>
      <c r="Y152" s="85"/>
      <c r="Z152" s="85"/>
      <c r="AA152" s="89"/>
      <c r="AB152" s="89"/>
      <c r="AC152" s="89"/>
      <c r="AD152" s="89"/>
      <c r="AE152" s="89"/>
      <c r="AF152" s="89"/>
      <c r="AG152" s="89"/>
      <c r="AH152" s="89"/>
      <c r="AI152" s="89"/>
      <c r="AJ152" s="89"/>
      <c r="AK152" s="89"/>
      <c r="AL152" s="89"/>
      <c r="AM152" s="89"/>
      <c r="AN152" s="89"/>
      <c r="AO152" s="89"/>
      <c r="AP152" s="89"/>
      <c r="AQ152" s="89"/>
      <c r="AR152" s="89"/>
      <c r="AS152" s="89"/>
      <c r="AT152" s="89"/>
      <c r="AU152" s="89"/>
      <c r="AV152" s="89"/>
      <c r="AW152" s="89"/>
      <c r="AX152" s="89"/>
    </row>
    <row r="153" spans="1:50" ht="15" customHeight="1" x14ac:dyDescent="0.25">
      <c r="A153" s="21"/>
      <c r="B153" s="89"/>
      <c r="C153" s="89"/>
      <c r="D153" s="89"/>
      <c r="E153" s="544" t="str">
        <f ca="1" xml:space="preserve"> Translate!E$604 &amp; ": " &amp; A$1</f>
        <v>Check: Charts</v>
      </c>
      <c r="F153" s="72">
        <f ca="1" xml:space="preserve"> SUM(F150:F152)</f>
        <v>0</v>
      </c>
      <c r="G153" s="90" t="str">
        <f xml:space="preserve"> Translate!E$604</f>
        <v>Check</v>
      </c>
      <c r="H153" s="90"/>
      <c r="I153" s="90"/>
      <c r="J153" s="90"/>
      <c r="K153" s="89"/>
      <c r="L153" s="89"/>
      <c r="M153" s="89"/>
      <c r="N153" s="89"/>
      <c r="O153" s="85"/>
      <c r="P153" s="85"/>
      <c r="Q153" s="85"/>
      <c r="R153" s="85"/>
      <c r="S153" s="85"/>
      <c r="T153" s="85"/>
      <c r="U153" s="85"/>
      <c r="V153" s="85"/>
      <c r="W153" s="85"/>
      <c r="X153" s="85"/>
      <c r="Y153" s="85"/>
      <c r="Z153" s="85"/>
      <c r="AA153" s="89"/>
      <c r="AB153" s="89"/>
      <c r="AC153" s="89"/>
      <c r="AD153" s="89"/>
      <c r="AE153" s="89"/>
      <c r="AF153" s="89"/>
      <c r="AG153" s="89"/>
      <c r="AH153" s="89"/>
      <c r="AI153" s="89"/>
      <c r="AJ153" s="89"/>
      <c r="AK153" s="89"/>
      <c r="AL153" s="89"/>
      <c r="AM153" s="89"/>
      <c r="AN153" s="89"/>
      <c r="AO153" s="89"/>
      <c r="AP153" s="89"/>
      <c r="AQ153" s="89"/>
      <c r="AR153" s="89"/>
      <c r="AS153" s="89"/>
      <c r="AT153" s="89"/>
      <c r="AU153" s="89"/>
      <c r="AV153" s="89"/>
      <c r="AW153" s="89"/>
      <c r="AX153" s="89"/>
    </row>
  </sheetData>
  <conditionalFormatting sqref="F91">
    <cfRule type="cellIs" dxfId="76" priority="19" stopIfTrue="1" operator="notEqual">
      <formula>0</formula>
    </cfRule>
    <cfRule type="cellIs" dxfId="75" priority="20" stopIfTrue="1" operator="equal">
      <formula>""</formula>
    </cfRule>
  </conditionalFormatting>
  <conditionalFormatting sqref="F153">
    <cfRule type="cellIs" dxfId="74" priority="17" stopIfTrue="1" operator="notEqual">
      <formula>0</formula>
    </cfRule>
    <cfRule type="cellIs" dxfId="73" priority="18" stopIfTrue="1" operator="equal">
      <formula>""</formula>
    </cfRule>
  </conditionalFormatting>
  <conditionalFormatting sqref="F153">
    <cfRule type="cellIs" dxfId="72" priority="15" stopIfTrue="1" operator="notEqual">
      <formula>0</formula>
    </cfRule>
    <cfRule type="cellIs" dxfId="71" priority="16" stopIfTrue="1" operator="equal">
      <formula>""</formula>
    </cfRule>
  </conditionalFormatting>
  <conditionalFormatting sqref="F151">
    <cfRule type="cellIs" dxfId="70" priority="13" stopIfTrue="1" operator="notEqual">
      <formula>0</formula>
    </cfRule>
    <cfRule type="cellIs" dxfId="69" priority="14" stopIfTrue="1" operator="equal">
      <formula>""</formula>
    </cfRule>
  </conditionalFormatting>
  <conditionalFormatting sqref="F151">
    <cfRule type="cellIs" dxfId="68" priority="11" stopIfTrue="1" operator="notEqual">
      <formula>0</formula>
    </cfRule>
    <cfRule type="cellIs" dxfId="67" priority="12" stopIfTrue="1" operator="equal">
      <formula>""</formula>
    </cfRule>
  </conditionalFormatting>
  <conditionalFormatting sqref="F3">
    <cfRule type="cellIs" dxfId="66" priority="9" stopIfTrue="1" operator="notEqual">
      <formula>0</formula>
    </cfRule>
    <cfRule type="cellIs" dxfId="65" priority="10" stopIfTrue="1" operator="equal">
      <formula>""</formula>
    </cfRule>
  </conditionalFormatting>
  <conditionalFormatting sqref="F3">
    <cfRule type="cellIs" dxfId="64" priority="7" stopIfTrue="1" operator="notEqual">
      <formula>0</formula>
    </cfRule>
    <cfRule type="cellIs" dxfId="63" priority="8" stopIfTrue="1" operator="equal">
      <formula>""</formula>
    </cfRule>
  </conditionalFormatting>
  <conditionalFormatting sqref="K3">
    <cfRule type="cellIs" dxfId="62" priority="1" stopIfTrue="1" operator="notEqual">
      <formula>0</formula>
    </cfRule>
    <cfRule type="cellIs" dxfId="61" priority="2" stopIfTrue="1" operator="equal">
      <formula>""</formula>
    </cfRule>
  </conditionalFormatting>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7CAFD-5467-4A12-8301-83E9025B0718}">
  <sheetPr codeName="Sheet15">
    <tabColor rgb="FFFFC000"/>
    <outlinePr summaryBelow="0" summaryRight="0"/>
  </sheetPr>
  <dimension ref="A1:AX81"/>
  <sheetViews>
    <sheetView defaultGridColor="0" colorId="22" zoomScale="85" zoomScaleNormal="85" workbookViewId="0">
      <pane xSplit="10" ySplit="3" topLeftCell="K4" activePane="bottomRight" state="frozen"/>
      <selection pane="topRight" activeCell="H2" sqref="H2"/>
      <selection pane="bottomLeft" activeCell="H2" sqref="H2"/>
      <selection pane="bottomRight" activeCell="K4" sqref="K4"/>
    </sheetView>
  </sheetViews>
  <sheetFormatPr defaultColWidth="0" defaultRowHeight="15" customHeight="1" outlineLevelCol="1" x14ac:dyDescent="0.25"/>
  <cols>
    <col min="1" max="2" width="1.26953125" style="21" customWidth="1"/>
    <col min="3" max="3" width="1.26953125" style="288" customWidth="1"/>
    <col min="4" max="4" width="1.26953125" style="289" customWidth="1"/>
    <col min="5" max="5" width="50.7265625" style="22" customWidth="1"/>
    <col min="6" max="6" width="12.7265625" style="22" customWidth="1"/>
    <col min="7" max="7" width="15.7265625" style="22" customWidth="1" collapsed="1"/>
    <col min="8" max="8" width="40.7265625" style="22" hidden="1" customWidth="1" outlineLevel="1"/>
    <col min="9" max="9" width="12.7265625" style="22" customWidth="1"/>
    <col min="10" max="10" width="3.7265625" style="22" customWidth="1"/>
    <col min="11" max="50" width="10.7265625" style="22" customWidth="1"/>
    <col min="51" max="16384" width="9.1796875" style="22" hidden="1"/>
  </cols>
  <sheetData>
    <row r="1" spans="1:50" s="439" customFormat="1" ht="15" customHeight="1" x14ac:dyDescent="0.35">
      <c r="A1" s="396" t="str">
        <f ca="1" xml:space="preserve"> RIGHT( CELL("filename",$A$1), LEN( CELL("filename",$A$1)) - SEARCH("]", CELL("filename",$A$1)))</f>
        <v>800MMbbl_A</v>
      </c>
      <c r="B1" s="436"/>
      <c r="C1" s="437"/>
      <c r="D1" s="438"/>
      <c r="E1" s="1080"/>
      <c r="F1" s="440"/>
      <c r="G1" s="364"/>
      <c r="H1" s="364"/>
      <c r="I1" s="364"/>
      <c r="J1" s="364"/>
      <c r="K1" s="364">
        <f xml:space="preserve"> ProjectCashflows!K$34</f>
        <v>2021</v>
      </c>
      <c r="L1" s="364">
        <f xml:space="preserve"> ProjectCashflows!L$34</f>
        <v>2022</v>
      </c>
      <c r="M1" s="364">
        <f xml:space="preserve"> ProjectCashflows!M$34</f>
        <v>2023</v>
      </c>
      <c r="N1" s="364">
        <f xml:space="preserve"> ProjectCashflows!N$34</f>
        <v>2024</v>
      </c>
      <c r="O1" s="364">
        <f xml:space="preserve"> ProjectCashflows!O$34</f>
        <v>2025</v>
      </c>
      <c r="P1" s="364">
        <f xml:space="preserve"> ProjectCashflows!P$34</f>
        <v>2026</v>
      </c>
      <c r="Q1" s="364">
        <f xml:space="preserve"> ProjectCashflows!Q$34</f>
        <v>2027</v>
      </c>
      <c r="R1" s="364">
        <f xml:space="preserve"> ProjectCashflows!R$34</f>
        <v>2028</v>
      </c>
      <c r="S1" s="364">
        <f xml:space="preserve"> ProjectCashflows!S$34</f>
        <v>2029</v>
      </c>
      <c r="T1" s="364">
        <f xml:space="preserve"> ProjectCashflows!T$34</f>
        <v>2030</v>
      </c>
      <c r="U1" s="364">
        <f xml:space="preserve"> ProjectCashflows!U$34</f>
        <v>2031</v>
      </c>
      <c r="V1" s="364">
        <f xml:space="preserve"> ProjectCashflows!V$34</f>
        <v>2032</v>
      </c>
      <c r="W1" s="364">
        <f xml:space="preserve"> ProjectCashflows!W$34</f>
        <v>2033</v>
      </c>
      <c r="X1" s="364">
        <f xml:space="preserve"> ProjectCashflows!X$34</f>
        <v>2034</v>
      </c>
      <c r="Y1" s="364">
        <f xml:space="preserve"> ProjectCashflows!Y$34</f>
        <v>2035</v>
      </c>
      <c r="Z1" s="364">
        <f xml:space="preserve"> ProjectCashflows!Z$34</f>
        <v>2036</v>
      </c>
      <c r="AA1" s="364">
        <f xml:space="preserve"> ProjectCashflows!AA$34</f>
        <v>2037</v>
      </c>
      <c r="AB1" s="364">
        <f xml:space="preserve"> ProjectCashflows!AB$34</f>
        <v>2038</v>
      </c>
      <c r="AC1" s="364">
        <f xml:space="preserve"> ProjectCashflows!AC$34</f>
        <v>2039</v>
      </c>
      <c r="AD1" s="364">
        <f xml:space="preserve"> ProjectCashflows!AD$34</f>
        <v>2040</v>
      </c>
      <c r="AE1" s="364">
        <f xml:space="preserve"> ProjectCashflows!AE$34</f>
        <v>2041</v>
      </c>
      <c r="AF1" s="364">
        <f xml:space="preserve"> ProjectCashflows!AF$34</f>
        <v>2042</v>
      </c>
      <c r="AG1" s="364">
        <f xml:space="preserve"> ProjectCashflows!AG$34</f>
        <v>2043</v>
      </c>
      <c r="AH1" s="364">
        <f xml:space="preserve"> ProjectCashflows!AH$34</f>
        <v>2044</v>
      </c>
      <c r="AI1" s="364">
        <f xml:space="preserve"> ProjectCashflows!AI$34</f>
        <v>2045</v>
      </c>
      <c r="AJ1" s="364">
        <f xml:space="preserve"> ProjectCashflows!AJ$34</f>
        <v>2046</v>
      </c>
      <c r="AK1" s="364">
        <f xml:space="preserve"> ProjectCashflows!AK$34</f>
        <v>2047</v>
      </c>
      <c r="AL1" s="364">
        <f xml:space="preserve"> ProjectCashflows!AL$34</f>
        <v>2048</v>
      </c>
      <c r="AM1" s="364">
        <f xml:space="preserve"> ProjectCashflows!AM$34</f>
        <v>2049</v>
      </c>
      <c r="AN1" s="364">
        <f xml:space="preserve"> ProjectCashflows!AN$34</f>
        <v>2050</v>
      </c>
      <c r="AO1" s="364">
        <f xml:space="preserve"> ProjectCashflows!AO$34</f>
        <v>2051</v>
      </c>
      <c r="AP1" s="364">
        <f xml:space="preserve"> ProjectCashflows!AP$34</f>
        <v>2052</v>
      </c>
      <c r="AQ1" s="364">
        <f xml:space="preserve"> ProjectCashflows!AQ$34</f>
        <v>2053</v>
      </c>
      <c r="AR1" s="364">
        <f xml:space="preserve"> ProjectCashflows!AR$34</f>
        <v>2054</v>
      </c>
      <c r="AS1" s="364">
        <f xml:space="preserve"> ProjectCashflows!AS$34</f>
        <v>2055</v>
      </c>
      <c r="AT1" s="364">
        <f xml:space="preserve"> ProjectCashflows!AT$34</f>
        <v>2056</v>
      </c>
      <c r="AU1" s="364">
        <f xml:space="preserve"> ProjectCashflows!AU$34</f>
        <v>2057</v>
      </c>
      <c r="AV1" s="364">
        <f xml:space="preserve"> ProjectCashflows!AV$34</f>
        <v>2058</v>
      </c>
      <c r="AW1" s="364">
        <f xml:space="preserve"> ProjectCashflows!AW$34</f>
        <v>2059</v>
      </c>
      <c r="AX1" s="364">
        <f xml:space="preserve"> ProjectCashflows!AX$34</f>
        <v>2060</v>
      </c>
    </row>
    <row r="2" spans="1:50" ht="15" customHeight="1" x14ac:dyDescent="0.25">
      <c r="E2" s="3" t="str">
        <f xml:space="preserve"> Translate!E$597</f>
        <v>Row description</v>
      </c>
      <c r="F2" s="250" t="str">
        <f xml:space="preserve"> Translate!E$598</f>
        <v>Constant</v>
      </c>
      <c r="G2" s="931" t="str">
        <f xml:space="preserve"> Translate!E$599</f>
        <v>Units</v>
      </c>
      <c r="H2" s="90" t="str">
        <f>Translate!E600</f>
        <v>Comments</v>
      </c>
      <c r="I2" s="213" t="str">
        <f xml:space="preserve"> Translate!E$601</f>
        <v>Total</v>
      </c>
      <c r="J2" s="48"/>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row>
    <row r="3" spans="1:50" s="27" customFormat="1" ht="15" customHeight="1" x14ac:dyDescent="0.25">
      <c r="A3" s="39"/>
      <c r="B3" s="39"/>
      <c r="C3" s="302"/>
      <c r="D3" s="303"/>
      <c r="E3" s="89"/>
      <c r="F3" s="159">
        <f ca="1" xml:space="preserve"> ReadMe!$D$7</f>
        <v>0</v>
      </c>
      <c r="G3" s="90" t="str">
        <f xml:space="preserve"> ReadMe!$E$7</f>
        <v>Checks</v>
      </c>
      <c r="H3" s="90"/>
      <c r="I3" s="90"/>
      <c r="J3" s="48"/>
      <c r="K3" s="304"/>
      <c r="L3" s="304"/>
      <c r="M3" s="304"/>
      <c r="N3" s="304"/>
      <c r="O3" s="304"/>
      <c r="P3" s="304"/>
      <c r="Q3" s="304"/>
      <c r="R3" s="304"/>
      <c r="S3" s="304"/>
      <c r="T3" s="304"/>
      <c r="U3" s="304"/>
      <c r="V3" s="304"/>
      <c r="W3" s="304"/>
      <c r="X3" s="304"/>
      <c r="Y3" s="304"/>
      <c r="Z3" s="304"/>
      <c r="AA3" s="304"/>
      <c r="AB3" s="304"/>
      <c r="AC3" s="304"/>
      <c r="AD3" s="304"/>
      <c r="AE3" s="304"/>
      <c r="AF3" s="304"/>
      <c r="AG3" s="304"/>
      <c r="AH3" s="304"/>
      <c r="AI3" s="304"/>
      <c r="AJ3" s="304"/>
      <c r="AK3" s="304"/>
      <c r="AL3" s="304"/>
      <c r="AM3" s="304"/>
      <c r="AN3" s="304"/>
      <c r="AO3" s="304"/>
      <c r="AP3" s="304"/>
      <c r="AQ3" s="304"/>
      <c r="AR3" s="304"/>
      <c r="AS3" s="304"/>
      <c r="AT3" s="304"/>
      <c r="AU3" s="304"/>
      <c r="AV3" s="304"/>
      <c r="AW3" s="304"/>
      <c r="AX3" s="304"/>
    </row>
    <row r="4" spans="1:50" ht="15" customHeight="1" x14ac:dyDescent="0.25">
      <c r="A4" s="99" t="str">
        <f>Translate!E$726</f>
        <v>Project data</v>
      </c>
      <c r="B4" s="99"/>
      <c r="C4" s="99"/>
      <c r="D4" s="99"/>
      <c r="E4" s="101"/>
      <c r="F4" s="99"/>
      <c r="G4" s="99"/>
      <c r="H4" s="99"/>
      <c r="I4" s="99"/>
      <c r="J4" s="99"/>
      <c r="K4" s="99"/>
      <c r="L4" s="99"/>
      <c r="M4" s="99"/>
      <c r="N4" s="99"/>
      <c r="O4" s="99"/>
      <c r="P4" s="99"/>
      <c r="Q4" s="99"/>
      <c r="R4" s="99"/>
      <c r="S4" s="99"/>
      <c r="T4" s="99"/>
      <c r="U4" s="99"/>
      <c r="V4" s="99"/>
      <c r="W4" s="99"/>
      <c r="X4" s="99"/>
      <c r="Y4" s="99"/>
      <c r="Z4" s="99"/>
      <c r="AA4" s="99"/>
      <c r="AB4" s="99"/>
      <c r="AC4" s="99"/>
      <c r="AD4" s="99"/>
      <c r="AE4" s="99"/>
      <c r="AF4" s="99"/>
      <c r="AG4" s="99"/>
      <c r="AH4" s="99"/>
      <c r="AI4" s="99"/>
      <c r="AJ4" s="99"/>
      <c r="AK4" s="99"/>
      <c r="AL4" s="99"/>
      <c r="AM4" s="99"/>
      <c r="AN4" s="99"/>
      <c r="AO4" s="99"/>
      <c r="AP4" s="99"/>
      <c r="AQ4" s="99"/>
      <c r="AR4" s="99"/>
      <c r="AS4" s="99"/>
      <c r="AT4" s="99"/>
      <c r="AU4" s="99"/>
      <c r="AV4" s="99"/>
      <c r="AW4" s="99"/>
      <c r="AX4" s="99"/>
    </row>
    <row r="6" spans="1:50" ht="15" customHeight="1" x14ac:dyDescent="0.25">
      <c r="E6" s="24" t="str">
        <f xml:space="preserve"> Translate!E$709</f>
        <v>This project example sheet name</v>
      </c>
      <c r="F6" s="349" t="str">
        <f ca="1" xml:space="preserve"> A1</f>
        <v>800MMbbl_A</v>
      </c>
      <c r="G6" s="56" t="str">
        <f>Translate!E$528</f>
        <v>Label</v>
      </c>
      <c r="H6" s="544"/>
      <c r="I6" s="544"/>
      <c r="J6" s="544"/>
      <c r="K6" s="544"/>
      <c r="L6" s="544"/>
      <c r="M6" s="544"/>
      <c r="N6" s="544"/>
      <c r="O6" s="544"/>
      <c r="P6" s="544"/>
      <c r="Q6" s="544"/>
      <c r="R6" s="544"/>
      <c r="S6" s="544"/>
      <c r="T6" s="544"/>
      <c r="U6" s="544"/>
      <c r="V6" s="544"/>
      <c r="W6" s="544"/>
      <c r="X6" s="544"/>
      <c r="Y6" s="544"/>
      <c r="Z6" s="544"/>
      <c r="AA6" s="544"/>
      <c r="AB6" s="544"/>
      <c r="AC6" s="544"/>
      <c r="AD6" s="544"/>
      <c r="AE6" s="544"/>
      <c r="AF6" s="544"/>
      <c r="AG6" s="544"/>
      <c r="AH6" s="544"/>
      <c r="AI6" s="544"/>
      <c r="AJ6" s="544"/>
      <c r="AK6" s="544"/>
      <c r="AL6" s="544"/>
      <c r="AM6" s="544"/>
      <c r="AN6" s="544"/>
      <c r="AO6" s="544"/>
      <c r="AP6" s="544"/>
      <c r="AQ6" s="544"/>
      <c r="AR6" s="544"/>
      <c r="AS6" s="544"/>
      <c r="AT6" s="544"/>
      <c r="AU6" s="544"/>
      <c r="AV6" s="544"/>
      <c r="AW6" s="544"/>
      <c r="AX6" s="544"/>
    </row>
    <row r="7" spans="1:50" ht="15" customHeight="1" x14ac:dyDescent="0.25">
      <c r="E7" s="544"/>
      <c r="F7" s="544"/>
      <c r="G7" s="544"/>
      <c r="H7" s="544"/>
      <c r="I7" s="544"/>
      <c r="J7" s="544"/>
      <c r="K7" s="544"/>
      <c r="L7" s="544"/>
      <c r="M7" s="544"/>
      <c r="N7" s="544"/>
      <c r="O7" s="544"/>
      <c r="P7" s="544"/>
      <c r="Q7" s="544"/>
      <c r="R7" s="544"/>
      <c r="S7" s="544"/>
      <c r="T7" s="544"/>
      <c r="U7" s="544"/>
      <c r="V7" s="544"/>
      <c r="W7" s="544"/>
      <c r="X7" s="544"/>
      <c r="Y7" s="544"/>
      <c r="Z7" s="544"/>
      <c r="AA7" s="544"/>
      <c r="AB7" s="544"/>
      <c r="AC7" s="544"/>
      <c r="AD7" s="544"/>
      <c r="AE7" s="544"/>
      <c r="AF7" s="544"/>
      <c r="AG7" s="544"/>
      <c r="AH7" s="544"/>
      <c r="AI7" s="544"/>
      <c r="AJ7" s="544"/>
      <c r="AK7" s="544"/>
      <c r="AL7" s="544"/>
      <c r="AM7" s="544"/>
      <c r="AN7" s="544"/>
      <c r="AO7" s="544"/>
      <c r="AP7" s="544"/>
      <c r="AQ7" s="544"/>
      <c r="AR7" s="544"/>
      <c r="AS7" s="544"/>
      <c r="AT7" s="544"/>
      <c r="AU7" s="544"/>
      <c r="AV7" s="544"/>
      <c r="AW7" s="544"/>
      <c r="AX7" s="544"/>
    </row>
    <row r="8" spans="1:50" ht="15" customHeight="1" x14ac:dyDescent="0.25">
      <c r="B8" s="21" t="str">
        <f>Translate!E$726</f>
        <v>Project data</v>
      </c>
      <c r="E8" s="544"/>
      <c r="F8" s="544"/>
      <c r="G8" s="544"/>
      <c r="H8" s="544"/>
      <c r="I8" s="544"/>
      <c r="J8" s="1023"/>
      <c r="K8" s="1" t="str">
        <f xml:space="preserve"> Translate!E$798</f>
        <v>Do not change row of this block</v>
      </c>
      <c r="L8" s="1023"/>
      <c r="M8" s="1023"/>
      <c r="N8" s="1023"/>
      <c r="O8" s="1023"/>
      <c r="P8" s="1023"/>
      <c r="Q8" s="1023"/>
      <c r="R8" s="1023"/>
      <c r="S8" s="1023"/>
      <c r="T8" s="1023"/>
      <c r="U8" s="1023"/>
      <c r="V8" s="1023"/>
      <c r="W8" s="1023"/>
      <c r="X8" s="1023"/>
      <c r="Y8" s="1023"/>
      <c r="Z8" s="1023"/>
      <c r="AA8" s="1023"/>
      <c r="AB8" s="1023"/>
      <c r="AC8" s="1023"/>
      <c r="AD8" s="1023"/>
      <c r="AE8" s="1023"/>
      <c r="AF8" s="1023"/>
      <c r="AG8" s="1023"/>
      <c r="AH8" s="1023"/>
      <c r="AI8" s="1023"/>
      <c r="AJ8" s="1023"/>
      <c r="AK8" s="1023"/>
      <c r="AL8" s="1023"/>
      <c r="AM8" s="1023"/>
      <c r="AN8" s="1023"/>
      <c r="AO8" s="1023"/>
      <c r="AP8" s="1023"/>
      <c r="AQ8" s="1023"/>
      <c r="AR8" s="1023"/>
      <c r="AS8" s="1023"/>
      <c r="AT8" s="1023"/>
      <c r="AU8" s="1023"/>
      <c r="AV8" s="1023"/>
      <c r="AW8" s="1023"/>
      <c r="AX8" s="1023"/>
    </row>
    <row r="9" spans="1:50" ht="15" customHeight="1" x14ac:dyDescent="0.25">
      <c r="E9" s="544" t="str">
        <f>Translate!E710</f>
        <v>Oil production RATE</v>
      </c>
      <c r="F9" s="544"/>
      <c r="G9" s="544" t="str">
        <f xml:space="preserve"> Translate!E$611</f>
        <v>KBOPD</v>
      </c>
      <c r="H9" s="544"/>
      <c r="I9" s="544"/>
      <c r="J9" s="1023"/>
      <c r="K9" s="1081">
        <v>0</v>
      </c>
      <c r="L9" s="1081">
        <v>0</v>
      </c>
      <c r="M9" s="1081">
        <v>0</v>
      </c>
      <c r="N9" s="1081">
        <v>0</v>
      </c>
      <c r="O9" s="1081">
        <v>9.5471162223815913</v>
      </c>
      <c r="P9" s="1081">
        <v>75</v>
      </c>
      <c r="Q9" s="1081">
        <v>150</v>
      </c>
      <c r="R9" s="1081">
        <v>150</v>
      </c>
      <c r="S9" s="1081">
        <v>150</v>
      </c>
      <c r="T9" s="1081">
        <v>150</v>
      </c>
      <c r="U9" s="1081">
        <v>150</v>
      </c>
      <c r="V9" s="1081">
        <v>150</v>
      </c>
      <c r="W9" s="1081">
        <v>150</v>
      </c>
      <c r="X9" s="1081">
        <v>150</v>
      </c>
      <c r="Y9" s="1081">
        <v>150</v>
      </c>
      <c r="Z9" s="1081">
        <v>150</v>
      </c>
      <c r="AA9" s="1081">
        <v>121.50000000000001</v>
      </c>
      <c r="AB9" s="1081">
        <v>98.41500000000002</v>
      </c>
      <c r="AC9" s="1081">
        <v>79.716150000000027</v>
      </c>
      <c r="AD9" s="1081">
        <v>64.570081500000029</v>
      </c>
      <c r="AE9" s="1081">
        <v>52.301766015000027</v>
      </c>
      <c r="AF9" s="1081">
        <v>42.364430472150026</v>
      </c>
      <c r="AG9" s="1081">
        <v>34.315188682441523</v>
      </c>
      <c r="AH9" s="1081">
        <v>27.795302832777637</v>
      </c>
      <c r="AI9" s="1081">
        <v>22.514195294549886</v>
      </c>
      <c r="AJ9" s="1081">
        <v>18.236498188585408</v>
      </c>
      <c r="AK9" s="1081">
        <v>14.771563532754181</v>
      </c>
      <c r="AL9" s="1081">
        <v>11.964966461530887</v>
      </c>
      <c r="AM9" s="1081">
        <v>9.6916228338400181</v>
      </c>
      <c r="AN9" s="1081">
        <v>7.8502144954104152</v>
      </c>
      <c r="AO9" s="1081">
        <v>6.3586737412824368</v>
      </c>
      <c r="AP9" s="1081"/>
      <c r="AQ9" s="1081"/>
      <c r="AR9" s="1081"/>
      <c r="AS9" s="1081"/>
      <c r="AT9" s="1081"/>
      <c r="AU9" s="1081"/>
      <c r="AV9" s="1081"/>
      <c r="AW9" s="1081"/>
      <c r="AX9" s="1081"/>
    </row>
    <row r="10" spans="1:50" ht="15" customHeight="1" x14ac:dyDescent="0.25">
      <c r="E10" s="544" t="str">
        <f>Translate!E711</f>
        <v>Transport costs post-fiscal point</v>
      </c>
      <c r="F10" s="544"/>
      <c r="G10" s="24" t="str">
        <f xml:space="preserve"> Inputs!F$52</f>
        <v>US$ mn 2021</v>
      </c>
      <c r="H10" s="544"/>
      <c r="I10" s="544">
        <f t="shared" ref="I10:I15" si="0" xml:space="preserve"> SUM(K10:AX10)</f>
        <v>0</v>
      </c>
      <c r="J10" s="1023"/>
      <c r="K10" s="1081">
        <f xml:space="preserve"> K9 * $F18 / $F19 * $F23</f>
        <v>0</v>
      </c>
      <c r="L10" s="1081">
        <f t="shared" ref="L10:AX10" si="1" xml:space="preserve"> L9 * $F18 / $F19 * $F23</f>
        <v>0</v>
      </c>
      <c r="M10" s="1081">
        <f t="shared" si="1"/>
        <v>0</v>
      </c>
      <c r="N10" s="1081">
        <f t="shared" si="1"/>
        <v>0</v>
      </c>
      <c r="O10" s="1081">
        <f t="shared" si="1"/>
        <v>0</v>
      </c>
      <c r="P10" s="1081">
        <f t="shared" si="1"/>
        <v>0</v>
      </c>
      <c r="Q10" s="1081">
        <f t="shared" si="1"/>
        <v>0</v>
      </c>
      <c r="R10" s="1081">
        <f t="shared" si="1"/>
        <v>0</v>
      </c>
      <c r="S10" s="1081">
        <f t="shared" si="1"/>
        <v>0</v>
      </c>
      <c r="T10" s="1081">
        <f t="shared" si="1"/>
        <v>0</v>
      </c>
      <c r="U10" s="1081">
        <f t="shared" si="1"/>
        <v>0</v>
      </c>
      <c r="V10" s="1081">
        <f t="shared" si="1"/>
        <v>0</v>
      </c>
      <c r="W10" s="1081">
        <f t="shared" si="1"/>
        <v>0</v>
      </c>
      <c r="X10" s="1081">
        <f t="shared" si="1"/>
        <v>0</v>
      </c>
      <c r="Y10" s="1081">
        <f t="shared" si="1"/>
        <v>0</v>
      </c>
      <c r="Z10" s="1081">
        <f t="shared" si="1"/>
        <v>0</v>
      </c>
      <c r="AA10" s="1081">
        <f t="shared" si="1"/>
        <v>0</v>
      </c>
      <c r="AB10" s="1081">
        <f t="shared" si="1"/>
        <v>0</v>
      </c>
      <c r="AC10" s="1081">
        <f t="shared" si="1"/>
        <v>0</v>
      </c>
      <c r="AD10" s="1081">
        <f t="shared" si="1"/>
        <v>0</v>
      </c>
      <c r="AE10" s="1081">
        <f t="shared" si="1"/>
        <v>0</v>
      </c>
      <c r="AF10" s="1081">
        <f t="shared" si="1"/>
        <v>0</v>
      </c>
      <c r="AG10" s="1081">
        <f t="shared" si="1"/>
        <v>0</v>
      </c>
      <c r="AH10" s="1081">
        <f t="shared" si="1"/>
        <v>0</v>
      </c>
      <c r="AI10" s="1081">
        <f t="shared" si="1"/>
        <v>0</v>
      </c>
      <c r="AJ10" s="1081">
        <f t="shared" si="1"/>
        <v>0</v>
      </c>
      <c r="AK10" s="1081">
        <f t="shared" si="1"/>
        <v>0</v>
      </c>
      <c r="AL10" s="1081">
        <f t="shared" si="1"/>
        <v>0</v>
      </c>
      <c r="AM10" s="1081">
        <f t="shared" si="1"/>
        <v>0</v>
      </c>
      <c r="AN10" s="1081">
        <f t="shared" si="1"/>
        <v>0</v>
      </c>
      <c r="AO10" s="1081">
        <f t="shared" si="1"/>
        <v>0</v>
      </c>
      <c r="AP10" s="1081">
        <f t="shared" si="1"/>
        <v>0</v>
      </c>
      <c r="AQ10" s="1081">
        <f t="shared" si="1"/>
        <v>0</v>
      </c>
      <c r="AR10" s="1081">
        <f t="shared" si="1"/>
        <v>0</v>
      </c>
      <c r="AS10" s="1081">
        <f t="shared" si="1"/>
        <v>0</v>
      </c>
      <c r="AT10" s="1081">
        <f t="shared" si="1"/>
        <v>0</v>
      </c>
      <c r="AU10" s="1081">
        <f t="shared" si="1"/>
        <v>0</v>
      </c>
      <c r="AV10" s="1081">
        <f t="shared" si="1"/>
        <v>0</v>
      </c>
      <c r="AW10" s="1081">
        <f t="shared" si="1"/>
        <v>0</v>
      </c>
      <c r="AX10" s="1081">
        <f t="shared" si="1"/>
        <v>0</v>
      </c>
    </row>
    <row r="11" spans="1:50" ht="15" customHeight="1" x14ac:dyDescent="0.25">
      <c r="E11" s="544" t="str">
        <f>Translate!E712</f>
        <v>Exploration costs</v>
      </c>
      <c r="F11" s="1082"/>
      <c r="G11" s="544" t="str">
        <f xml:space="preserve"> Inputs!F$52</f>
        <v>US$ mn 2021</v>
      </c>
      <c r="H11" s="544"/>
      <c r="I11" s="544">
        <f t="shared" si="0"/>
        <v>420</v>
      </c>
      <c r="J11" s="1023"/>
      <c r="K11" s="1081">
        <v>420</v>
      </c>
      <c r="L11" s="1081"/>
      <c r="M11" s="1081"/>
      <c r="N11" s="1081">
        <v>0</v>
      </c>
      <c r="O11" s="1081">
        <v>0</v>
      </c>
      <c r="P11" s="1081">
        <v>0</v>
      </c>
      <c r="Q11" s="1081">
        <v>0</v>
      </c>
      <c r="R11" s="1081">
        <v>0</v>
      </c>
      <c r="S11" s="1081">
        <v>0</v>
      </c>
      <c r="T11" s="1081">
        <v>0</v>
      </c>
      <c r="U11" s="1081">
        <v>0</v>
      </c>
      <c r="V11" s="1081">
        <v>0</v>
      </c>
      <c r="W11" s="1081">
        <v>0</v>
      </c>
      <c r="X11" s="1081">
        <v>0</v>
      </c>
      <c r="Y11" s="1081">
        <v>0</v>
      </c>
      <c r="Z11" s="1081">
        <v>0</v>
      </c>
      <c r="AA11" s="1081">
        <v>0</v>
      </c>
      <c r="AB11" s="1081">
        <v>0</v>
      </c>
      <c r="AC11" s="1081">
        <v>0</v>
      </c>
      <c r="AD11" s="1081">
        <v>0</v>
      </c>
      <c r="AE11" s="1081">
        <v>0</v>
      </c>
      <c r="AF11" s="1081">
        <v>0</v>
      </c>
      <c r="AG11" s="1081">
        <v>0</v>
      </c>
      <c r="AH11" s="1081">
        <v>0</v>
      </c>
      <c r="AI11" s="1081">
        <v>0</v>
      </c>
      <c r="AJ11" s="1081">
        <v>0</v>
      </c>
      <c r="AK11" s="1081">
        <v>0</v>
      </c>
      <c r="AL11" s="1081">
        <v>0</v>
      </c>
      <c r="AM11" s="1081">
        <v>0</v>
      </c>
      <c r="AN11" s="1081">
        <v>0</v>
      </c>
      <c r="AO11" s="1081">
        <v>0</v>
      </c>
      <c r="AP11" s="1081"/>
      <c r="AQ11" s="1081"/>
      <c r="AR11" s="1081"/>
      <c r="AS11" s="1081"/>
      <c r="AT11" s="1081"/>
      <c r="AU11" s="1081"/>
      <c r="AV11" s="1081"/>
      <c r="AW11" s="1081"/>
      <c r="AX11" s="1081"/>
    </row>
    <row r="12" spans="1:50" ht="15" customHeight="1" x14ac:dyDescent="0.25">
      <c r="E12" s="544" t="str">
        <f>Translate!E713</f>
        <v>Development costs</v>
      </c>
      <c r="F12" s="1082"/>
      <c r="G12" s="544" t="str">
        <f xml:space="preserve"> Inputs!F$52</f>
        <v>US$ mn 2021</v>
      </c>
      <c r="H12" s="544"/>
      <c r="I12" s="544">
        <f t="shared" si="0"/>
        <v>9050</v>
      </c>
      <c r="J12" s="1023"/>
      <c r="K12" s="1081"/>
      <c r="L12" s="1081">
        <v>50</v>
      </c>
      <c r="M12" s="1081">
        <v>300</v>
      </c>
      <c r="N12" s="1081">
        <v>1200</v>
      </c>
      <c r="O12" s="1081">
        <v>1200</v>
      </c>
      <c r="P12" s="1081">
        <v>2100</v>
      </c>
      <c r="Q12" s="1081">
        <v>1100</v>
      </c>
      <c r="R12" s="1081">
        <v>450</v>
      </c>
      <c r="S12" s="1081">
        <v>250</v>
      </c>
      <c r="T12" s="1081">
        <v>250</v>
      </c>
      <c r="U12" s="1081">
        <v>250</v>
      </c>
      <c r="V12" s="1081">
        <v>250</v>
      </c>
      <c r="W12" s="1081">
        <v>250</v>
      </c>
      <c r="X12" s="1081">
        <v>250</v>
      </c>
      <c r="Y12" s="1081">
        <v>250</v>
      </c>
      <c r="Z12" s="1081">
        <v>250</v>
      </c>
      <c r="AA12" s="1081">
        <v>250</v>
      </c>
      <c r="AB12" s="1081">
        <v>0</v>
      </c>
      <c r="AC12" s="1081">
        <v>0</v>
      </c>
      <c r="AD12" s="1081">
        <v>200</v>
      </c>
      <c r="AE12" s="1081">
        <v>200</v>
      </c>
      <c r="AF12" s="1081">
        <v>0</v>
      </c>
      <c r="AG12" s="1081">
        <v>0</v>
      </c>
      <c r="AH12" s="1081">
        <v>0</v>
      </c>
      <c r="AI12" s="1081">
        <v>0</v>
      </c>
      <c r="AJ12" s="1081">
        <v>0</v>
      </c>
      <c r="AK12" s="1081">
        <v>0</v>
      </c>
      <c r="AL12" s="1081">
        <v>0</v>
      </c>
      <c r="AM12" s="1081">
        <v>0</v>
      </c>
      <c r="AN12" s="1081">
        <v>0</v>
      </c>
      <c r="AO12" s="1081">
        <v>0</v>
      </c>
      <c r="AP12" s="1081"/>
      <c r="AQ12" s="1081"/>
      <c r="AR12" s="1081"/>
      <c r="AS12" s="1081"/>
      <c r="AT12" s="1081"/>
      <c r="AU12" s="1081"/>
      <c r="AV12" s="1081"/>
      <c r="AW12" s="1081"/>
      <c r="AX12" s="1081"/>
    </row>
    <row r="13" spans="1:50" ht="15" customHeight="1" x14ac:dyDescent="0.25">
      <c r="E13" s="544" t="str">
        <f>Translate!E714</f>
        <v>Replacement capital costs</v>
      </c>
      <c r="F13" s="1082"/>
      <c r="G13" s="544" t="str">
        <f xml:space="preserve"> Inputs!F$52</f>
        <v>US$ mn 2021</v>
      </c>
      <c r="H13" s="544"/>
      <c r="I13" s="544">
        <f t="shared" si="0"/>
        <v>0</v>
      </c>
      <c r="J13" s="1023"/>
      <c r="K13" s="1081"/>
      <c r="L13" s="1081"/>
      <c r="M13" s="1081"/>
      <c r="N13" s="1081"/>
      <c r="O13" s="1081"/>
      <c r="P13" s="1081"/>
      <c r="Q13" s="1081"/>
      <c r="R13" s="1081"/>
      <c r="S13" s="1081"/>
      <c r="T13" s="1081"/>
      <c r="U13" s="1081"/>
      <c r="V13" s="1081"/>
      <c r="W13" s="1081"/>
      <c r="X13" s="1081"/>
      <c r="Y13" s="1081"/>
      <c r="Z13" s="1081"/>
      <c r="AA13" s="1081"/>
      <c r="AB13" s="1081"/>
      <c r="AC13" s="1081"/>
      <c r="AD13" s="1081"/>
      <c r="AE13" s="1081"/>
      <c r="AF13" s="1081"/>
      <c r="AG13" s="1081"/>
      <c r="AH13" s="1081"/>
      <c r="AI13" s="1081"/>
      <c r="AJ13" s="1081"/>
      <c r="AK13" s="1081"/>
      <c r="AL13" s="1081"/>
      <c r="AM13" s="1081"/>
      <c r="AN13" s="1081"/>
      <c r="AO13" s="1081"/>
      <c r="AP13" s="1081"/>
      <c r="AQ13" s="1081"/>
      <c r="AR13" s="1081"/>
      <c r="AS13" s="1081"/>
      <c r="AT13" s="1081"/>
      <c r="AU13" s="1081"/>
      <c r="AV13" s="1081"/>
      <c r="AW13" s="1081"/>
      <c r="AX13" s="1081"/>
    </row>
    <row r="14" spans="1:50" ht="15" customHeight="1" x14ac:dyDescent="0.25">
      <c r="E14" s="544" t="str">
        <f>Translate!E715</f>
        <v>Operating costs</v>
      </c>
      <c r="F14" s="1082"/>
      <c r="G14" s="544" t="str">
        <f xml:space="preserve"> Inputs!F$52</f>
        <v>US$ mn 2021</v>
      </c>
      <c r="H14" s="544"/>
      <c r="I14" s="544">
        <f t="shared" si="0"/>
        <v>4601</v>
      </c>
      <c r="J14" s="1023"/>
      <c r="K14" s="1081"/>
      <c r="L14" s="1081">
        <v>0</v>
      </c>
      <c r="M14" s="1081"/>
      <c r="N14" s="1081"/>
      <c r="O14" s="1081">
        <v>50</v>
      </c>
      <c r="P14" s="1081">
        <v>180</v>
      </c>
      <c r="Q14" s="1081">
        <v>260</v>
      </c>
      <c r="R14" s="1081">
        <v>260</v>
      </c>
      <c r="S14" s="1081">
        <v>260</v>
      </c>
      <c r="T14" s="1081">
        <v>260</v>
      </c>
      <c r="U14" s="1081">
        <v>260</v>
      </c>
      <c r="V14" s="1081">
        <v>260</v>
      </c>
      <c r="W14" s="1081">
        <v>260</v>
      </c>
      <c r="X14" s="1081">
        <v>260</v>
      </c>
      <c r="Y14" s="1081">
        <v>260</v>
      </c>
      <c r="Z14" s="1081">
        <v>260</v>
      </c>
      <c r="AA14" s="1081">
        <v>260</v>
      </c>
      <c r="AB14" s="1081">
        <v>260</v>
      </c>
      <c r="AC14" s="1081">
        <v>150</v>
      </c>
      <c r="AD14" s="1081">
        <v>140</v>
      </c>
      <c r="AE14" s="1081">
        <v>120</v>
      </c>
      <c r="AF14" s="1081">
        <v>111</v>
      </c>
      <c r="AG14" s="1081">
        <v>100</v>
      </c>
      <c r="AH14" s="1081">
        <v>95</v>
      </c>
      <c r="AI14" s="1081">
        <v>90</v>
      </c>
      <c r="AJ14" s="1081">
        <v>85</v>
      </c>
      <c r="AK14" s="1081">
        <v>80</v>
      </c>
      <c r="AL14" s="1081">
        <v>75</v>
      </c>
      <c r="AM14" s="1081">
        <v>70</v>
      </c>
      <c r="AN14" s="1081">
        <v>70</v>
      </c>
      <c r="AO14" s="1081">
        <v>65</v>
      </c>
      <c r="AP14" s="1081"/>
      <c r="AQ14" s="1081"/>
      <c r="AR14" s="1081"/>
      <c r="AS14" s="1081"/>
      <c r="AT14" s="1081"/>
      <c r="AU14" s="1081"/>
      <c r="AV14" s="1081"/>
      <c r="AW14" s="1081"/>
      <c r="AX14" s="1081"/>
    </row>
    <row r="15" spans="1:50" ht="15" customHeight="1" x14ac:dyDescent="0.25">
      <c r="E15" s="544" t="str">
        <f>Translate!E716</f>
        <v>Decommissioning costs</v>
      </c>
      <c r="F15" s="1082"/>
      <c r="G15" s="544" t="str">
        <f xml:space="preserve"> Inputs!F$52</f>
        <v>US$ mn 2021</v>
      </c>
      <c r="H15" s="544"/>
      <c r="I15" s="544">
        <f t="shared" si="0"/>
        <v>750</v>
      </c>
      <c r="J15" s="544"/>
      <c r="K15" s="1081"/>
      <c r="L15" s="1081">
        <v>0</v>
      </c>
      <c r="M15" s="1081">
        <v>0</v>
      </c>
      <c r="N15" s="1081">
        <v>0</v>
      </c>
      <c r="O15" s="1081">
        <v>0</v>
      </c>
      <c r="P15" s="1081">
        <v>0</v>
      </c>
      <c r="Q15" s="1081">
        <v>0</v>
      </c>
      <c r="R15" s="1081">
        <v>0</v>
      </c>
      <c r="S15" s="1081">
        <v>0</v>
      </c>
      <c r="T15" s="1081">
        <v>0</v>
      </c>
      <c r="U15" s="1081">
        <v>0</v>
      </c>
      <c r="V15" s="1081">
        <v>0</v>
      </c>
      <c r="W15" s="1081">
        <v>0</v>
      </c>
      <c r="X15" s="1081">
        <v>0</v>
      </c>
      <c r="Y15" s="1081">
        <v>0</v>
      </c>
      <c r="Z15" s="1081">
        <v>0</v>
      </c>
      <c r="AA15" s="1081">
        <v>0</v>
      </c>
      <c r="AB15" s="1081">
        <v>0</v>
      </c>
      <c r="AC15" s="1081">
        <v>0</v>
      </c>
      <c r="AD15" s="1081">
        <v>0</v>
      </c>
      <c r="AE15" s="1081">
        <v>0</v>
      </c>
      <c r="AF15" s="1081">
        <v>0</v>
      </c>
      <c r="AG15" s="1081">
        <v>0</v>
      </c>
      <c r="AH15" s="1081">
        <v>0</v>
      </c>
      <c r="AI15" s="1081">
        <v>0</v>
      </c>
      <c r="AJ15" s="1081">
        <v>0</v>
      </c>
      <c r="AK15" s="1081"/>
      <c r="AL15" s="1081">
        <v>250</v>
      </c>
      <c r="AM15" s="1081">
        <v>0</v>
      </c>
      <c r="AN15" s="1081">
        <v>0</v>
      </c>
      <c r="AO15" s="1081">
        <v>0</v>
      </c>
      <c r="AP15" s="1081">
        <v>250</v>
      </c>
      <c r="AQ15" s="1081">
        <v>250</v>
      </c>
      <c r="AR15" s="1081"/>
      <c r="AS15" s="1081"/>
      <c r="AT15" s="1081"/>
      <c r="AU15" s="1081"/>
      <c r="AV15" s="1081"/>
      <c r="AW15" s="1081"/>
      <c r="AX15" s="1081"/>
    </row>
    <row r="16" spans="1:50" ht="15" customHeight="1" x14ac:dyDescent="0.25">
      <c r="E16" s="544" t="str">
        <f>Translate!E717</f>
        <v>Total costs</v>
      </c>
      <c r="F16" s="1082"/>
      <c r="G16" s="544" t="str">
        <f xml:space="preserve"> Inputs!F$52</f>
        <v>US$ mn 2021</v>
      </c>
      <c r="H16" s="544"/>
      <c r="I16" s="544">
        <f xml:space="preserve"> SUM(K16:AX16)</f>
        <v>14821</v>
      </c>
      <c r="J16" s="1023"/>
      <c r="K16" s="1023">
        <f xml:space="preserve"> SUM(K10:K15)</f>
        <v>420</v>
      </c>
      <c r="L16" s="1023">
        <f t="shared" ref="L16:AX16" si="2" xml:space="preserve"> SUM(L10:L15)</f>
        <v>50</v>
      </c>
      <c r="M16" s="1023">
        <f t="shared" si="2"/>
        <v>300</v>
      </c>
      <c r="N16" s="1023">
        <f t="shared" si="2"/>
        <v>1200</v>
      </c>
      <c r="O16" s="1023">
        <f t="shared" si="2"/>
        <v>1250</v>
      </c>
      <c r="P16" s="1023">
        <f t="shared" si="2"/>
        <v>2280</v>
      </c>
      <c r="Q16" s="1023">
        <f t="shared" si="2"/>
        <v>1360</v>
      </c>
      <c r="R16" s="1023">
        <f t="shared" si="2"/>
        <v>710</v>
      </c>
      <c r="S16" s="1023">
        <f t="shared" si="2"/>
        <v>510</v>
      </c>
      <c r="T16" s="1023">
        <f t="shared" si="2"/>
        <v>510</v>
      </c>
      <c r="U16" s="1023">
        <f t="shared" si="2"/>
        <v>510</v>
      </c>
      <c r="V16" s="1023">
        <f t="shared" si="2"/>
        <v>510</v>
      </c>
      <c r="W16" s="1023">
        <f t="shared" si="2"/>
        <v>510</v>
      </c>
      <c r="X16" s="1023">
        <f t="shared" si="2"/>
        <v>510</v>
      </c>
      <c r="Y16" s="1023">
        <f t="shared" si="2"/>
        <v>510</v>
      </c>
      <c r="Z16" s="1023">
        <f t="shared" si="2"/>
        <v>510</v>
      </c>
      <c r="AA16" s="1023">
        <f t="shared" si="2"/>
        <v>510</v>
      </c>
      <c r="AB16" s="1023">
        <f t="shared" si="2"/>
        <v>260</v>
      </c>
      <c r="AC16" s="1023">
        <f t="shared" si="2"/>
        <v>150</v>
      </c>
      <c r="AD16" s="1023">
        <f t="shared" si="2"/>
        <v>340</v>
      </c>
      <c r="AE16" s="1023">
        <f t="shared" si="2"/>
        <v>320</v>
      </c>
      <c r="AF16" s="1023">
        <f t="shared" si="2"/>
        <v>111</v>
      </c>
      <c r="AG16" s="1023">
        <f t="shared" si="2"/>
        <v>100</v>
      </c>
      <c r="AH16" s="1023">
        <f t="shared" si="2"/>
        <v>95</v>
      </c>
      <c r="AI16" s="1023">
        <f t="shared" si="2"/>
        <v>90</v>
      </c>
      <c r="AJ16" s="1023">
        <f t="shared" si="2"/>
        <v>85</v>
      </c>
      <c r="AK16" s="1023">
        <f t="shared" si="2"/>
        <v>80</v>
      </c>
      <c r="AL16" s="1023">
        <f t="shared" si="2"/>
        <v>325</v>
      </c>
      <c r="AM16" s="1023">
        <f t="shared" si="2"/>
        <v>70</v>
      </c>
      <c r="AN16" s="1023">
        <f t="shared" si="2"/>
        <v>70</v>
      </c>
      <c r="AO16" s="1023">
        <f t="shared" si="2"/>
        <v>65</v>
      </c>
      <c r="AP16" s="1023">
        <f t="shared" si="2"/>
        <v>250</v>
      </c>
      <c r="AQ16" s="1023">
        <f t="shared" si="2"/>
        <v>250</v>
      </c>
      <c r="AR16" s="1023">
        <f t="shared" si="2"/>
        <v>0</v>
      </c>
      <c r="AS16" s="1023">
        <f t="shared" si="2"/>
        <v>0</v>
      </c>
      <c r="AT16" s="1023">
        <f t="shared" si="2"/>
        <v>0</v>
      </c>
      <c r="AU16" s="1023">
        <f t="shared" si="2"/>
        <v>0</v>
      </c>
      <c r="AV16" s="1023">
        <f t="shared" si="2"/>
        <v>0</v>
      </c>
      <c r="AW16" s="1023">
        <f t="shared" si="2"/>
        <v>0</v>
      </c>
      <c r="AX16" s="1023">
        <f t="shared" si="2"/>
        <v>0</v>
      </c>
    </row>
    <row r="17" spans="2:50" ht="15" customHeight="1" x14ac:dyDescent="0.25">
      <c r="E17" s="544"/>
      <c r="F17" s="544"/>
      <c r="G17" s="544"/>
      <c r="H17" s="544"/>
      <c r="I17" s="544"/>
      <c r="J17" s="1023"/>
      <c r="K17" s="1023"/>
      <c r="L17" s="1023"/>
      <c r="M17" s="1023"/>
      <c r="N17" s="1023"/>
      <c r="O17" s="1023"/>
      <c r="P17" s="1023"/>
      <c r="Q17" s="1023"/>
      <c r="R17" s="1023"/>
      <c r="S17" s="1023"/>
      <c r="T17" s="1023"/>
      <c r="U17" s="1023"/>
      <c r="V17" s="1023"/>
      <c r="W17" s="1023"/>
      <c r="X17" s="1023"/>
      <c r="Y17" s="1023"/>
      <c r="Z17" s="1023"/>
      <c r="AA17" s="1023"/>
      <c r="AB17" s="1023"/>
      <c r="AC17" s="1023"/>
      <c r="AD17" s="1023"/>
      <c r="AE17" s="1023"/>
      <c r="AF17" s="1023"/>
      <c r="AG17" s="1023"/>
      <c r="AH17" s="1023"/>
      <c r="AI17" s="1023"/>
      <c r="AJ17" s="1023"/>
      <c r="AK17" s="1023"/>
      <c r="AL17" s="1023"/>
      <c r="AM17" s="1023"/>
      <c r="AN17" s="1023"/>
      <c r="AO17" s="1023"/>
      <c r="AP17" s="1023"/>
      <c r="AQ17" s="1023"/>
      <c r="AR17" s="1023"/>
      <c r="AS17" s="1023"/>
      <c r="AT17" s="1023"/>
      <c r="AU17" s="1023"/>
      <c r="AV17" s="1023"/>
      <c r="AW17" s="1023"/>
      <c r="AX17" s="1023"/>
    </row>
    <row r="18" spans="2:50" ht="15" customHeight="1" x14ac:dyDescent="0.25">
      <c r="E18" s="304" t="str">
        <f xml:space="preserve"> Inputs!E$79</f>
        <v>Production days per year</v>
      </c>
      <c r="F18" s="304">
        <f xml:space="preserve"> Inputs!F$79</f>
        <v>365</v>
      </c>
      <c r="G18" s="304" t="str">
        <f xml:space="preserve"> Inputs!G$79</f>
        <v>Days</v>
      </c>
      <c r="H18" s="544"/>
      <c r="I18" s="544"/>
      <c r="J18" s="1023"/>
      <c r="K18" s="1023"/>
      <c r="L18" s="1023"/>
      <c r="M18" s="1023"/>
      <c r="N18" s="1023"/>
      <c r="O18" s="1023"/>
      <c r="P18" s="1023"/>
      <c r="Q18" s="1023"/>
      <c r="R18" s="1023"/>
      <c r="S18" s="1023"/>
      <c r="T18" s="1023"/>
      <c r="U18" s="1023"/>
      <c r="V18" s="1023"/>
      <c r="W18" s="1023"/>
      <c r="X18" s="1023"/>
      <c r="Y18" s="1023"/>
      <c r="Z18" s="1023"/>
      <c r="AA18" s="1023"/>
      <c r="AB18" s="1023"/>
      <c r="AC18" s="1023"/>
      <c r="AD18" s="1023"/>
      <c r="AE18" s="1023"/>
      <c r="AF18" s="1023"/>
      <c r="AG18" s="1023"/>
      <c r="AH18" s="1023"/>
      <c r="AI18" s="1023"/>
      <c r="AJ18" s="1023"/>
      <c r="AK18" s="1023"/>
      <c r="AL18" s="1023"/>
      <c r="AM18" s="1023"/>
      <c r="AN18" s="1023"/>
      <c r="AO18" s="1023"/>
      <c r="AP18" s="1023"/>
      <c r="AQ18" s="1023"/>
      <c r="AR18" s="1023"/>
      <c r="AS18" s="1023"/>
      <c r="AT18" s="1023"/>
      <c r="AU18" s="1023"/>
      <c r="AV18" s="1023"/>
      <c r="AW18" s="1023"/>
      <c r="AX18" s="1023"/>
    </row>
    <row r="19" spans="2:50" ht="15" customHeight="1" x14ac:dyDescent="0.25">
      <c r="E19" s="304" t="str">
        <f xml:space="preserve"> Inputs!E$81</f>
        <v>one thousand</v>
      </c>
      <c r="F19" s="304">
        <f xml:space="preserve"> Inputs!F$81</f>
        <v>1000</v>
      </c>
      <c r="G19" s="304" t="str">
        <f xml:space="preserve"> Inputs!G$81</f>
        <v>Constant</v>
      </c>
      <c r="H19" s="544"/>
      <c r="I19" s="544"/>
      <c r="J19" s="1023"/>
      <c r="K19" s="1023"/>
      <c r="L19" s="1023"/>
      <c r="M19" s="1023"/>
      <c r="N19" s="1023"/>
      <c r="O19" s="1023"/>
      <c r="P19" s="1023"/>
      <c r="Q19" s="1023"/>
      <c r="R19" s="1023"/>
      <c r="S19" s="1023"/>
      <c r="T19" s="1023"/>
      <c r="U19" s="1023"/>
      <c r="V19" s="1023"/>
      <c r="W19" s="1023"/>
      <c r="X19" s="1023"/>
      <c r="Y19" s="1023"/>
      <c r="Z19" s="1023"/>
      <c r="AA19" s="1023"/>
      <c r="AB19" s="1023"/>
      <c r="AC19" s="1023"/>
      <c r="AD19" s="1023"/>
      <c r="AE19" s="1023"/>
      <c r="AF19" s="1023"/>
      <c r="AG19" s="1023"/>
      <c r="AH19" s="1023"/>
      <c r="AI19" s="1023"/>
      <c r="AJ19" s="1023"/>
      <c r="AK19" s="1023"/>
      <c r="AL19" s="1023"/>
      <c r="AM19" s="1023"/>
      <c r="AN19" s="1023"/>
      <c r="AO19" s="1023"/>
      <c r="AP19" s="1023"/>
      <c r="AQ19" s="1023"/>
      <c r="AR19" s="1023"/>
      <c r="AS19" s="1023"/>
      <c r="AT19" s="1023"/>
      <c r="AU19" s="1023"/>
      <c r="AV19" s="1023"/>
      <c r="AW19" s="1023"/>
      <c r="AX19" s="1023"/>
    </row>
    <row r="20" spans="2:50" ht="15" customHeight="1" x14ac:dyDescent="0.25">
      <c r="E20" s="544" t="str">
        <f>Translate!E$601 &amp; ": " &amp; Translate!E718</f>
        <v>Total: Oil production</v>
      </c>
      <c r="F20" s="544">
        <f xml:space="preserve"> SUM(K9:AX9) * F18 / F19</f>
        <v>801.87316114953683</v>
      </c>
      <c r="G20" s="544" t="str">
        <f xml:space="preserve"> Translate!E$88</f>
        <v>Mn Bbl</v>
      </c>
      <c r="H20" s="544"/>
      <c r="I20" s="544"/>
      <c r="J20" s="1023"/>
      <c r="K20" s="1023"/>
      <c r="L20" s="1023"/>
      <c r="M20" s="1023"/>
      <c r="N20" s="1023"/>
      <c r="O20" s="1023"/>
      <c r="P20" s="1023"/>
      <c r="Q20" s="1023"/>
      <c r="R20" s="1023"/>
      <c r="S20" s="1023"/>
      <c r="T20" s="1023"/>
      <c r="U20" s="1023"/>
      <c r="V20" s="1023"/>
      <c r="W20" s="1023"/>
      <c r="X20" s="1023"/>
      <c r="Y20" s="1023"/>
      <c r="Z20" s="1023"/>
      <c r="AA20" s="1023"/>
      <c r="AB20" s="1023"/>
      <c r="AC20" s="1023"/>
      <c r="AD20" s="1023"/>
      <c r="AE20" s="1023"/>
      <c r="AF20" s="1023"/>
      <c r="AG20" s="1023"/>
      <c r="AH20" s="1023"/>
      <c r="AI20" s="1023"/>
      <c r="AJ20" s="1023"/>
      <c r="AK20" s="1023"/>
      <c r="AL20" s="1023"/>
      <c r="AM20" s="1023"/>
      <c r="AN20" s="1023"/>
      <c r="AO20" s="1023"/>
      <c r="AP20" s="1023"/>
      <c r="AQ20" s="1023"/>
      <c r="AR20" s="1023"/>
      <c r="AS20" s="1023"/>
      <c r="AT20" s="1023"/>
      <c r="AU20" s="1023"/>
      <c r="AV20" s="1023"/>
      <c r="AW20" s="1023"/>
      <c r="AX20" s="1023"/>
    </row>
    <row r="21" spans="2:50" ht="15" customHeight="1" x14ac:dyDescent="0.25">
      <c r="E21" s="544"/>
      <c r="F21" s="544"/>
      <c r="G21" s="544"/>
      <c r="H21" s="544"/>
      <c r="I21" s="544"/>
      <c r="J21" s="1023"/>
      <c r="K21" s="1023"/>
      <c r="L21" s="1023"/>
      <c r="M21" s="1023"/>
      <c r="N21" s="1023"/>
      <c r="O21" s="1023"/>
      <c r="P21" s="1023"/>
      <c r="Q21" s="1023"/>
      <c r="R21" s="1023"/>
      <c r="S21" s="1023"/>
      <c r="T21" s="1023"/>
      <c r="U21" s="1023"/>
      <c r="V21" s="1023"/>
      <c r="W21" s="1023"/>
      <c r="X21" s="1023"/>
      <c r="Y21" s="1023"/>
      <c r="Z21" s="1023"/>
      <c r="AA21" s="1023"/>
      <c r="AB21" s="1023"/>
      <c r="AC21" s="1023"/>
      <c r="AD21" s="1023"/>
      <c r="AE21" s="1023"/>
      <c r="AF21" s="1023"/>
      <c r="AG21" s="1023"/>
      <c r="AH21" s="1023"/>
      <c r="AI21" s="1023"/>
      <c r="AJ21" s="1023"/>
      <c r="AK21" s="1023"/>
      <c r="AL21" s="1023"/>
      <c r="AM21" s="1023"/>
      <c r="AN21" s="1023"/>
      <c r="AO21" s="1023"/>
      <c r="AP21" s="1023"/>
      <c r="AQ21" s="1023"/>
      <c r="AR21" s="1023"/>
      <c r="AS21" s="1023"/>
      <c r="AT21" s="1023"/>
      <c r="AU21" s="1023"/>
      <c r="AV21" s="1023"/>
      <c r="AW21" s="1023"/>
      <c r="AX21" s="1023"/>
    </row>
    <row r="22" spans="2:50" ht="15" customHeight="1" x14ac:dyDescent="0.25">
      <c r="B22" s="21" t="str">
        <f>Translate!E$725</f>
        <v>Cost inputs</v>
      </c>
      <c r="E22" s="544"/>
      <c r="F22" s="544"/>
      <c r="G22" s="544"/>
      <c r="H22" s="544"/>
      <c r="I22" s="544"/>
      <c r="J22" s="1023"/>
      <c r="K22" s="1023"/>
      <c r="L22" s="1023"/>
      <c r="M22" s="1023"/>
      <c r="N22" s="1023"/>
      <c r="O22" s="1023"/>
      <c r="P22" s="1023"/>
      <c r="Q22" s="1023"/>
      <c r="R22" s="1023"/>
      <c r="S22" s="1023"/>
      <c r="T22" s="1023"/>
      <c r="U22" s="1023"/>
      <c r="V22" s="1023"/>
      <c r="W22" s="1023"/>
      <c r="X22" s="1023"/>
      <c r="Y22" s="1023"/>
      <c r="Z22" s="1023"/>
      <c r="AA22" s="1023"/>
      <c r="AB22" s="1023"/>
      <c r="AC22" s="1023"/>
      <c r="AD22" s="1023"/>
      <c r="AE22" s="1023"/>
      <c r="AF22" s="1023"/>
      <c r="AG22" s="1023"/>
      <c r="AH22" s="1023"/>
      <c r="AI22" s="1023"/>
      <c r="AJ22" s="1023"/>
      <c r="AK22" s="1023"/>
      <c r="AL22" s="1023"/>
      <c r="AM22" s="1023"/>
      <c r="AN22" s="1023"/>
      <c r="AO22" s="1023"/>
      <c r="AP22" s="1023"/>
      <c r="AQ22" s="1023"/>
      <c r="AR22" s="1023"/>
      <c r="AS22" s="1023"/>
      <c r="AT22" s="1023"/>
      <c r="AU22" s="1023"/>
      <c r="AV22" s="1023"/>
      <c r="AW22" s="1023"/>
      <c r="AX22" s="1023"/>
    </row>
    <row r="23" spans="2:50" ht="15" customHeight="1" x14ac:dyDescent="0.25">
      <c r="E23" s="544" t="str">
        <f>E10</f>
        <v>Transport costs post-fiscal point</v>
      </c>
      <c r="F23" s="1081">
        <v>0</v>
      </c>
      <c r="G23" s="190" t="str">
        <f xml:space="preserve"> Inputs!F$56</f>
        <v>US$ 2021 / bbl</v>
      </c>
      <c r="H23" s="544"/>
      <c r="I23" s="544"/>
      <c r="J23" s="1023"/>
      <c r="K23" s="1023"/>
      <c r="L23" s="1023"/>
      <c r="M23" s="1023"/>
      <c r="N23" s="1023"/>
      <c r="O23" s="1023"/>
      <c r="P23" s="1023"/>
      <c r="Q23" s="1023"/>
      <c r="R23" s="1023"/>
      <c r="S23" s="1023"/>
      <c r="T23" s="1023"/>
      <c r="U23" s="1023"/>
      <c r="V23" s="1023"/>
      <c r="W23" s="1023"/>
      <c r="X23" s="1023"/>
      <c r="Y23" s="1023"/>
      <c r="Z23" s="1023"/>
      <c r="AA23" s="1023"/>
      <c r="AB23" s="1023"/>
      <c r="AC23" s="1023"/>
      <c r="AD23" s="1023"/>
      <c r="AE23" s="1023"/>
      <c r="AF23" s="1023"/>
      <c r="AG23" s="1023"/>
      <c r="AH23" s="1023"/>
      <c r="AI23" s="1023"/>
      <c r="AJ23" s="1023"/>
      <c r="AK23" s="1023"/>
      <c r="AL23" s="1023"/>
      <c r="AM23" s="1023"/>
      <c r="AN23" s="1023"/>
      <c r="AO23" s="1023"/>
      <c r="AP23" s="1023"/>
      <c r="AQ23" s="1023"/>
      <c r="AR23" s="1023"/>
      <c r="AS23" s="1023"/>
      <c r="AT23" s="1023"/>
      <c r="AU23" s="1023"/>
      <c r="AV23" s="1023"/>
      <c r="AW23" s="1023"/>
      <c r="AX23" s="1023"/>
    </row>
    <row r="24" spans="2:50" ht="15" customHeight="1" x14ac:dyDescent="0.25">
      <c r="E24" s="544"/>
      <c r="F24" s="544"/>
      <c r="G24" s="544"/>
      <c r="H24" s="544"/>
      <c r="I24" s="544"/>
      <c r="J24" s="1023"/>
      <c r="K24" s="1023"/>
      <c r="L24" s="1023"/>
      <c r="M24" s="1023"/>
      <c r="N24" s="1023"/>
      <c r="O24" s="1023"/>
      <c r="P24" s="1023"/>
      <c r="Q24" s="1023"/>
      <c r="R24" s="1023"/>
      <c r="S24" s="1023"/>
      <c r="T24" s="1023"/>
      <c r="U24" s="1023"/>
      <c r="V24" s="1023"/>
      <c r="W24" s="1023"/>
      <c r="X24" s="1023"/>
      <c r="Y24" s="1023"/>
      <c r="Z24" s="1023"/>
      <c r="AA24" s="1023"/>
      <c r="AB24" s="1023"/>
      <c r="AC24" s="1023"/>
      <c r="AD24" s="1023"/>
      <c r="AE24" s="1023"/>
      <c r="AF24" s="1023"/>
      <c r="AG24" s="1023"/>
      <c r="AH24" s="1023"/>
      <c r="AI24" s="1023"/>
      <c r="AJ24" s="1023"/>
      <c r="AK24" s="1023"/>
      <c r="AL24" s="1023"/>
      <c r="AM24" s="1023"/>
      <c r="AN24" s="1023"/>
      <c r="AO24" s="1023"/>
      <c r="AP24" s="1023"/>
      <c r="AQ24" s="1023"/>
      <c r="AR24" s="1023"/>
      <c r="AS24" s="1023"/>
      <c r="AT24" s="1023"/>
      <c r="AU24" s="1023"/>
      <c r="AV24" s="1023"/>
      <c r="AW24" s="1023"/>
      <c r="AX24" s="1023"/>
    </row>
    <row r="25" spans="2:50" ht="15" customHeight="1" x14ac:dyDescent="0.25">
      <c r="B25" s="21" t="str">
        <f>Translate!E727</f>
        <v>Unit costs</v>
      </c>
      <c r="E25" s="544"/>
      <c r="F25" s="544"/>
      <c r="G25" s="544"/>
      <c r="H25" s="544"/>
      <c r="I25" s="544"/>
      <c r="J25" s="1023"/>
      <c r="K25" s="1023"/>
      <c r="L25" s="1023"/>
      <c r="M25" s="1023"/>
      <c r="N25" s="1023"/>
      <c r="O25" s="1023"/>
      <c r="P25" s="1023"/>
      <c r="Q25" s="1023"/>
      <c r="R25" s="1023"/>
      <c r="S25" s="1023"/>
      <c r="T25" s="1023"/>
      <c r="U25" s="1023"/>
      <c r="V25" s="1023"/>
      <c r="W25" s="1023"/>
      <c r="X25" s="1023"/>
      <c r="Y25" s="1023"/>
      <c r="Z25" s="1023"/>
      <c r="AA25" s="1023"/>
      <c r="AB25" s="1023"/>
      <c r="AC25" s="1023"/>
      <c r="AD25" s="1023"/>
      <c r="AE25" s="1023"/>
      <c r="AF25" s="1023"/>
      <c r="AG25" s="1023"/>
      <c r="AH25" s="1023"/>
      <c r="AI25" s="1023"/>
      <c r="AJ25" s="1023"/>
      <c r="AK25" s="1023"/>
      <c r="AL25" s="1023"/>
      <c r="AM25" s="1023"/>
      <c r="AN25" s="1023"/>
      <c r="AO25" s="1023"/>
      <c r="AP25" s="1023"/>
      <c r="AQ25" s="1023"/>
      <c r="AR25" s="1023"/>
      <c r="AS25" s="1023"/>
      <c r="AT25" s="1023"/>
      <c r="AU25" s="1023"/>
      <c r="AV25" s="1023"/>
      <c r="AW25" s="1023"/>
      <c r="AX25" s="1023"/>
    </row>
    <row r="26" spans="2:50" ht="15" customHeight="1" x14ac:dyDescent="0.25">
      <c r="E26" s="544" t="str">
        <f t="shared" ref="E26:E32" si="3" xml:space="preserve"> E10</f>
        <v>Transport costs post-fiscal point</v>
      </c>
      <c r="F26" s="1082">
        <f t="shared" ref="F26:F31" si="4" xml:space="preserve"> SUM(K10:AX10) / F$20</f>
        <v>0</v>
      </c>
      <c r="G26" s="190" t="str">
        <f xml:space="preserve"> Inputs!F$56</f>
        <v>US$ 2021 / bbl</v>
      </c>
      <c r="H26" s="544"/>
      <c r="I26" s="544"/>
      <c r="J26" s="1023"/>
      <c r="K26" s="1023"/>
      <c r="L26" s="1023"/>
      <c r="M26" s="1023"/>
      <c r="N26" s="1023"/>
      <c r="O26" s="1023"/>
      <c r="P26" s="1023"/>
      <c r="Q26" s="1023"/>
      <c r="R26" s="1023"/>
      <c r="S26" s="1023"/>
      <c r="T26" s="1023"/>
      <c r="U26" s="1023"/>
      <c r="V26" s="1023"/>
      <c r="W26" s="1023"/>
      <c r="X26" s="1023"/>
      <c r="Y26" s="1023"/>
      <c r="Z26" s="1023"/>
      <c r="AA26" s="1023"/>
      <c r="AB26" s="1023"/>
      <c r="AC26" s="1023"/>
      <c r="AD26" s="1023"/>
      <c r="AE26" s="1023"/>
      <c r="AF26" s="1023"/>
      <c r="AG26" s="1023"/>
      <c r="AH26" s="1023"/>
      <c r="AI26" s="1023"/>
      <c r="AJ26" s="1023"/>
      <c r="AK26" s="1023"/>
      <c r="AL26" s="1023"/>
      <c r="AM26" s="1023"/>
      <c r="AN26" s="1023"/>
      <c r="AO26" s="1023"/>
      <c r="AP26" s="1023"/>
      <c r="AQ26" s="1023"/>
      <c r="AR26" s="1023"/>
      <c r="AS26" s="1023"/>
      <c r="AT26" s="1023"/>
      <c r="AU26" s="1023"/>
      <c r="AV26" s="1023"/>
      <c r="AW26" s="1023"/>
      <c r="AX26" s="1023"/>
    </row>
    <row r="27" spans="2:50" ht="15" customHeight="1" x14ac:dyDescent="0.25">
      <c r="E27" s="544" t="str">
        <f t="shared" si="3"/>
        <v>Exploration costs</v>
      </c>
      <c r="F27" s="1082">
        <f t="shared" si="4"/>
        <v>0.52377360952934615</v>
      </c>
      <c r="G27" s="190" t="str">
        <f xml:space="preserve"> Inputs!F$56</f>
        <v>US$ 2021 / bbl</v>
      </c>
      <c r="H27" s="544"/>
      <c r="I27" s="544"/>
      <c r="J27" s="1023"/>
      <c r="K27" s="1023"/>
      <c r="L27" s="1023"/>
      <c r="M27" s="1023"/>
      <c r="N27" s="1023"/>
      <c r="O27" s="1023"/>
      <c r="P27" s="1023"/>
      <c r="Q27" s="1023"/>
      <c r="R27" s="1023"/>
      <c r="S27" s="1023"/>
      <c r="T27" s="1023"/>
      <c r="U27" s="1023"/>
      <c r="V27" s="1023"/>
      <c r="W27" s="1023"/>
      <c r="X27" s="1023"/>
      <c r="Y27" s="1023"/>
      <c r="Z27" s="1023"/>
      <c r="AA27" s="1023"/>
      <c r="AB27" s="1023"/>
      <c r="AC27" s="1023"/>
      <c r="AD27" s="1023"/>
      <c r="AE27" s="1023"/>
      <c r="AF27" s="1023"/>
      <c r="AG27" s="1023"/>
      <c r="AH27" s="1023"/>
      <c r="AI27" s="1023"/>
      <c r="AJ27" s="1023"/>
      <c r="AK27" s="1023"/>
      <c r="AL27" s="1023"/>
      <c r="AM27" s="1023"/>
      <c r="AN27" s="1023"/>
      <c r="AO27" s="1023"/>
      <c r="AP27" s="1023"/>
      <c r="AQ27" s="1023"/>
      <c r="AR27" s="1023"/>
      <c r="AS27" s="1023"/>
      <c r="AT27" s="1023"/>
      <c r="AU27" s="1023"/>
      <c r="AV27" s="1023"/>
      <c r="AW27" s="1023"/>
      <c r="AX27" s="1023"/>
    </row>
    <row r="28" spans="2:50" ht="15" customHeight="1" x14ac:dyDescent="0.25">
      <c r="E28" s="544" t="str">
        <f t="shared" si="3"/>
        <v>Development costs</v>
      </c>
      <c r="F28" s="1082">
        <f t="shared" si="4"/>
        <v>11.286074205334721</v>
      </c>
      <c r="G28" s="190" t="str">
        <f xml:space="preserve"> Inputs!F$56</f>
        <v>US$ 2021 / bbl</v>
      </c>
      <c r="H28" s="544"/>
      <c r="I28" s="544"/>
      <c r="J28" s="1023"/>
      <c r="K28" s="1023"/>
      <c r="L28" s="1023"/>
      <c r="M28" s="1023"/>
      <c r="N28" s="1023"/>
      <c r="O28" s="1023"/>
      <c r="P28" s="1023"/>
      <c r="Q28" s="1023"/>
      <c r="R28" s="1023"/>
      <c r="S28" s="1023"/>
      <c r="T28" s="1023"/>
      <c r="U28" s="1023"/>
      <c r="V28" s="1023"/>
      <c r="W28" s="1023"/>
      <c r="X28" s="1023"/>
      <c r="Y28" s="1023"/>
      <c r="Z28" s="1023"/>
      <c r="AA28" s="1023"/>
      <c r="AB28" s="1023"/>
      <c r="AC28" s="1023"/>
      <c r="AD28" s="1023"/>
      <c r="AE28" s="1023"/>
      <c r="AF28" s="1023"/>
      <c r="AG28" s="1023"/>
      <c r="AH28" s="1023"/>
      <c r="AI28" s="1023"/>
      <c r="AJ28" s="1023"/>
      <c r="AK28" s="1023"/>
      <c r="AL28" s="1023"/>
      <c r="AM28" s="1023"/>
      <c r="AN28" s="1023"/>
      <c r="AO28" s="1023"/>
      <c r="AP28" s="1023"/>
      <c r="AQ28" s="1023"/>
      <c r="AR28" s="1023"/>
      <c r="AS28" s="1023"/>
      <c r="AT28" s="1023"/>
      <c r="AU28" s="1023"/>
      <c r="AV28" s="1023"/>
      <c r="AW28" s="1023"/>
      <c r="AX28" s="1023"/>
    </row>
    <row r="29" spans="2:50" ht="15" customHeight="1" x14ac:dyDescent="0.25">
      <c r="E29" s="544" t="str">
        <f t="shared" si="3"/>
        <v>Replacement capital costs</v>
      </c>
      <c r="F29" s="1082">
        <f t="shared" si="4"/>
        <v>0</v>
      </c>
      <c r="G29" s="190" t="str">
        <f xml:space="preserve"> Inputs!F$56</f>
        <v>US$ 2021 / bbl</v>
      </c>
      <c r="H29" s="544"/>
      <c r="I29" s="544"/>
      <c r="J29" s="1023"/>
      <c r="K29" s="1023"/>
      <c r="L29" s="1023"/>
      <c r="M29" s="1023"/>
      <c r="N29" s="1023"/>
      <c r="O29" s="1023"/>
      <c r="P29" s="1023"/>
      <c r="Q29" s="1023"/>
      <c r="R29" s="1023"/>
      <c r="S29" s="1023"/>
      <c r="T29" s="1023"/>
      <c r="U29" s="1023"/>
      <c r="V29" s="1023"/>
      <c r="W29" s="1023"/>
      <c r="X29" s="1023"/>
      <c r="Y29" s="1023"/>
      <c r="Z29" s="1023"/>
      <c r="AA29" s="1023"/>
      <c r="AB29" s="1023"/>
      <c r="AC29" s="1023"/>
      <c r="AD29" s="1023"/>
      <c r="AE29" s="1023"/>
      <c r="AF29" s="1023"/>
      <c r="AG29" s="1023"/>
      <c r="AH29" s="1023"/>
      <c r="AI29" s="1023"/>
      <c r="AJ29" s="1023"/>
      <c r="AK29" s="1023"/>
      <c r="AL29" s="1023"/>
      <c r="AM29" s="1023"/>
      <c r="AN29" s="1023"/>
      <c r="AO29" s="1023"/>
      <c r="AP29" s="1023"/>
      <c r="AQ29" s="1023"/>
      <c r="AR29" s="1023"/>
      <c r="AS29" s="1023"/>
      <c r="AT29" s="1023"/>
      <c r="AU29" s="1023"/>
      <c r="AV29" s="1023"/>
      <c r="AW29" s="1023"/>
      <c r="AX29" s="1023"/>
    </row>
    <row r="30" spans="2:50" ht="15" customHeight="1" x14ac:dyDescent="0.25">
      <c r="E30" s="544" t="str">
        <f t="shared" si="3"/>
        <v>Operating costs</v>
      </c>
      <c r="F30" s="1082">
        <f t="shared" si="4"/>
        <v>5.7378151843917191</v>
      </c>
      <c r="G30" s="190" t="str">
        <f xml:space="preserve"> Inputs!F$56</f>
        <v>US$ 2021 / bbl</v>
      </c>
      <c r="H30" s="544"/>
      <c r="I30" s="544"/>
      <c r="J30" s="1023"/>
      <c r="K30" s="1023"/>
      <c r="L30" s="1023"/>
      <c r="M30" s="1023"/>
      <c r="N30" s="1023"/>
      <c r="O30" s="1023"/>
      <c r="P30" s="1023"/>
      <c r="Q30" s="1023"/>
      <c r="R30" s="1023"/>
      <c r="S30" s="1023"/>
      <c r="T30" s="1023"/>
      <c r="U30" s="1023"/>
      <c r="V30" s="1023"/>
      <c r="W30" s="1023"/>
      <c r="X30" s="1023"/>
      <c r="Y30" s="1023"/>
      <c r="Z30" s="1023"/>
      <c r="AA30" s="1023"/>
      <c r="AB30" s="1023"/>
      <c r="AC30" s="1023"/>
      <c r="AD30" s="1023"/>
      <c r="AE30" s="1023"/>
      <c r="AF30" s="1023"/>
      <c r="AG30" s="1023"/>
      <c r="AH30" s="1023"/>
      <c r="AI30" s="1023"/>
      <c r="AJ30" s="1023"/>
      <c r="AK30" s="1023"/>
      <c r="AL30" s="1023"/>
      <c r="AM30" s="1023"/>
      <c r="AN30" s="1023"/>
      <c r="AO30" s="1023"/>
      <c r="AP30" s="1023"/>
      <c r="AQ30" s="1023"/>
      <c r="AR30" s="1023"/>
      <c r="AS30" s="1023"/>
      <c r="AT30" s="1023"/>
      <c r="AU30" s="1023"/>
      <c r="AV30" s="1023"/>
      <c r="AW30" s="1023"/>
      <c r="AX30" s="1023"/>
    </row>
    <row r="31" spans="2:50" ht="15" customHeight="1" x14ac:dyDescent="0.25">
      <c r="E31" s="544" t="str">
        <f t="shared" si="3"/>
        <v>Decommissioning costs</v>
      </c>
      <c r="F31" s="1082">
        <f t="shared" si="4"/>
        <v>0.93531001701668959</v>
      </c>
      <c r="G31" s="190" t="str">
        <f xml:space="preserve"> Inputs!F$56</f>
        <v>US$ 2021 / bbl</v>
      </c>
      <c r="H31" s="544"/>
      <c r="I31" s="544"/>
      <c r="J31" s="1023"/>
      <c r="K31" s="1023"/>
      <c r="L31" s="1023"/>
      <c r="M31" s="1023"/>
      <c r="N31" s="1023"/>
      <c r="O31" s="1023"/>
      <c r="P31" s="1023"/>
      <c r="Q31" s="1023"/>
      <c r="R31" s="1023"/>
      <c r="S31" s="1023"/>
      <c r="T31" s="1023"/>
      <c r="U31" s="1023"/>
      <c r="V31" s="1023"/>
      <c r="W31" s="1023"/>
      <c r="X31" s="1023"/>
      <c r="Y31" s="1023"/>
      <c r="Z31" s="1023"/>
      <c r="AA31" s="1023"/>
      <c r="AB31" s="1023"/>
      <c r="AC31" s="1023"/>
      <c r="AD31" s="1023"/>
      <c r="AE31" s="1023"/>
      <c r="AF31" s="1023"/>
      <c r="AG31" s="1023"/>
      <c r="AH31" s="1023"/>
      <c r="AI31" s="1023"/>
      <c r="AJ31" s="1023"/>
      <c r="AK31" s="1023"/>
      <c r="AL31" s="1023"/>
      <c r="AM31" s="1023"/>
      <c r="AN31" s="1023"/>
      <c r="AO31" s="1023"/>
      <c r="AP31" s="1023"/>
      <c r="AQ31" s="1023"/>
      <c r="AR31" s="1023"/>
      <c r="AS31" s="1023"/>
      <c r="AT31" s="1023"/>
      <c r="AU31" s="1023"/>
      <c r="AV31" s="1023"/>
      <c r="AW31" s="1023"/>
      <c r="AX31" s="1023"/>
    </row>
    <row r="32" spans="2:50" ht="15" customHeight="1" x14ac:dyDescent="0.25">
      <c r="E32" s="544" t="str">
        <f t="shared" si="3"/>
        <v>Total costs</v>
      </c>
      <c r="F32" s="1082">
        <f>SUM(F26:F31)</f>
        <v>18.482973016272474</v>
      </c>
      <c r="G32" s="190" t="str">
        <f xml:space="preserve"> Inputs!F$56</f>
        <v>US$ 2021 / bbl</v>
      </c>
      <c r="H32" s="544"/>
      <c r="I32" s="544"/>
      <c r="J32" s="1023"/>
      <c r="K32" s="1023"/>
      <c r="L32" s="1023"/>
      <c r="M32" s="1023"/>
      <c r="N32" s="1023"/>
      <c r="O32" s="1023"/>
      <c r="P32" s="1023"/>
      <c r="Q32" s="1023"/>
      <c r="R32" s="1023"/>
      <c r="S32" s="1023"/>
      <c r="T32" s="1023"/>
      <c r="U32" s="1023"/>
      <c r="V32" s="1023"/>
      <c r="W32" s="1023"/>
      <c r="X32" s="1023"/>
      <c r="Y32" s="1023"/>
      <c r="Z32" s="1023"/>
      <c r="AA32" s="1023"/>
      <c r="AB32" s="1023"/>
      <c r="AC32" s="1023"/>
      <c r="AD32" s="1023"/>
      <c r="AE32" s="1023"/>
      <c r="AF32" s="1023"/>
      <c r="AG32" s="1023"/>
      <c r="AH32" s="1023"/>
      <c r="AI32" s="1023"/>
      <c r="AJ32" s="1023"/>
      <c r="AK32" s="1023"/>
      <c r="AL32" s="1023"/>
      <c r="AM32" s="1023"/>
      <c r="AN32" s="1023"/>
      <c r="AO32" s="1023"/>
      <c r="AP32" s="1023"/>
      <c r="AQ32" s="1023"/>
      <c r="AR32" s="1023"/>
      <c r="AS32" s="1023"/>
      <c r="AT32" s="1023"/>
      <c r="AU32" s="1023"/>
      <c r="AV32" s="1023"/>
      <c r="AW32" s="1023"/>
      <c r="AX32" s="1023"/>
    </row>
    <row r="33" spans="1:50" ht="15" customHeight="1" x14ac:dyDescent="0.25">
      <c r="E33"/>
      <c r="F33" s="544"/>
      <c r="G33" s="544"/>
      <c r="H33" s="544"/>
      <c r="I33" s="544"/>
      <c r="J33" s="1023"/>
      <c r="K33" s="1023"/>
      <c r="L33" s="1023"/>
      <c r="M33" s="1023"/>
      <c r="N33" s="1023"/>
      <c r="O33" s="1023"/>
      <c r="P33" s="1023"/>
      <c r="Q33" s="1023"/>
      <c r="R33" s="1023"/>
      <c r="S33" s="1023"/>
      <c r="T33" s="1023"/>
      <c r="U33" s="1023"/>
      <c r="V33" s="1023"/>
      <c r="W33" s="1023"/>
      <c r="X33" s="1023"/>
      <c r="Y33" s="1023"/>
      <c r="Z33" s="1023"/>
      <c r="AA33" s="1023"/>
      <c r="AB33" s="1023"/>
      <c r="AC33" s="1023"/>
      <c r="AD33" s="1023"/>
      <c r="AE33" s="1023"/>
      <c r="AF33" s="1023"/>
      <c r="AG33" s="1023"/>
      <c r="AH33" s="1023"/>
      <c r="AI33" s="1023"/>
      <c r="AJ33" s="1023"/>
      <c r="AK33" s="1023"/>
      <c r="AL33" s="1023"/>
      <c r="AM33" s="1023"/>
      <c r="AN33" s="1023"/>
      <c r="AO33" s="1023"/>
      <c r="AP33" s="1023"/>
      <c r="AQ33" s="1023"/>
      <c r="AR33" s="1023"/>
      <c r="AS33" s="1023"/>
      <c r="AT33" s="1023"/>
      <c r="AU33" s="1023"/>
      <c r="AV33" s="1023"/>
      <c r="AW33" s="1023"/>
      <c r="AX33" s="1023"/>
    </row>
    <row r="34" spans="1:50" s="3" customFormat="1" ht="15" customHeight="1" x14ac:dyDescent="0.25">
      <c r="A34" s="89"/>
      <c r="B34" s="87" t="str">
        <f>Translate!E$679</f>
        <v>Check project data in correct row</v>
      </c>
      <c r="C34" s="89"/>
      <c r="D34" s="89"/>
      <c r="E34" s="89"/>
      <c r="F34"/>
      <c r="G34" s="90"/>
      <c r="H34" s="89"/>
      <c r="I34" s="89"/>
      <c r="J34" s="89"/>
      <c r="K34" s="89"/>
      <c r="L34" s="89"/>
      <c r="M34" s="89"/>
      <c r="N34" s="89"/>
      <c r="O34" s="89"/>
      <c r="P34" s="89"/>
      <c r="Q34" s="89"/>
      <c r="R34" s="89"/>
      <c r="S34" s="89"/>
      <c r="T34" s="89"/>
      <c r="U34" s="89"/>
      <c r="V34" s="89"/>
      <c r="W34" s="89"/>
      <c r="X34" s="89"/>
      <c r="Y34" s="89"/>
      <c r="Z34" s="89"/>
      <c r="AA34" s="89"/>
      <c r="AB34" s="89"/>
      <c r="AC34" s="89"/>
      <c r="AD34" s="89"/>
      <c r="AE34" s="89"/>
      <c r="AF34" s="89"/>
      <c r="AG34" s="89"/>
      <c r="AH34" s="89"/>
      <c r="AI34" s="89"/>
      <c r="AJ34" s="89"/>
      <c r="AK34" s="89"/>
      <c r="AL34" s="89"/>
      <c r="AM34" s="89"/>
      <c r="AN34" s="89"/>
      <c r="AO34" s="89"/>
      <c r="AP34" s="89"/>
      <c r="AQ34" s="89"/>
      <c r="AR34" s="89"/>
      <c r="AS34" s="89"/>
      <c r="AT34" s="89"/>
      <c r="AU34" s="89"/>
      <c r="AV34" s="89"/>
      <c r="AW34" s="89"/>
      <c r="AX34" s="89"/>
    </row>
    <row r="35" spans="1:50" s="3" customFormat="1" ht="15" customHeight="1" x14ac:dyDescent="0.25">
      <c r="A35" s="89"/>
      <c r="B35" s="89"/>
      <c r="C35" s="89"/>
      <c r="D35" s="89"/>
      <c r="E35" s="139" t="str">
        <f xml:space="preserve"> Inputs!E$15</f>
        <v>First row of project data</v>
      </c>
      <c r="F35" s="139">
        <f xml:space="preserve"> Inputs!F$15</f>
        <v>9</v>
      </c>
      <c r="G35" s="139" t="str">
        <f xml:space="preserve"> Inputs!G$15</f>
        <v>row</v>
      </c>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9"/>
      <c r="AN35" s="89"/>
      <c r="AO35" s="89"/>
      <c r="AP35" s="89"/>
      <c r="AQ35" s="89"/>
      <c r="AR35" s="89"/>
      <c r="AS35" s="89"/>
      <c r="AT35" s="89"/>
      <c r="AU35" s="89"/>
      <c r="AV35" s="89"/>
      <c r="AW35" s="89"/>
      <c r="AX35" s="89"/>
    </row>
    <row r="36" spans="1:50" s="3" customFormat="1" ht="15" customHeight="1" x14ac:dyDescent="0.25">
      <c r="A36" s="89"/>
      <c r="B36" s="89"/>
      <c r="C36" s="89"/>
      <c r="D36" s="89"/>
      <c r="E36" s="89" t="str">
        <f>Translate!E722</f>
        <v>First row of project data</v>
      </c>
      <c r="F36" s="48">
        <f xml:space="preserve"> ROW(F9)</f>
        <v>9</v>
      </c>
      <c r="G36" s="90" t="str">
        <f xml:space="preserve"> Translate!E$775</f>
        <v>row</v>
      </c>
      <c r="H36" s="89"/>
      <c r="I36" s="89"/>
      <c r="J36" s="89"/>
      <c r="K36" s="89"/>
      <c r="L36" s="89"/>
      <c r="M36" s="89"/>
      <c r="N36" s="89"/>
      <c r="O36" s="89"/>
      <c r="P36" s="89"/>
      <c r="Q36" s="89"/>
      <c r="R36" s="89"/>
      <c r="S36" s="89"/>
      <c r="T36" s="89"/>
      <c r="U36" s="89"/>
      <c r="V36" s="89"/>
      <c r="W36" s="89"/>
      <c r="X36" s="89"/>
      <c r="Y36" s="89"/>
      <c r="Z36" s="89"/>
      <c r="AA36" s="89"/>
      <c r="AB36" s="89"/>
      <c r="AC36" s="89"/>
      <c r="AD36" s="89"/>
      <c r="AE36" s="89"/>
      <c r="AF36" s="89"/>
      <c r="AG36" s="89"/>
      <c r="AH36" s="89"/>
      <c r="AI36" s="89"/>
      <c r="AJ36" s="89"/>
      <c r="AK36" s="89"/>
      <c r="AL36" s="89"/>
      <c r="AM36" s="89"/>
      <c r="AN36" s="89"/>
      <c r="AO36" s="89"/>
      <c r="AP36" s="89"/>
      <c r="AQ36" s="89"/>
      <c r="AR36" s="89"/>
      <c r="AS36" s="89"/>
      <c r="AT36" s="89"/>
      <c r="AU36" s="89"/>
      <c r="AV36" s="89"/>
      <c r="AW36" s="89"/>
      <c r="AX36" s="89"/>
    </row>
    <row r="37" spans="1:50" s="3" customFormat="1" ht="15" customHeight="1" x14ac:dyDescent="0.25">
      <c r="A37" s="89"/>
      <c r="B37" s="89"/>
      <c r="C37" s="89"/>
      <c r="D37" s="89"/>
      <c r="E37" s="89" t="str">
        <f>Translate!E722</f>
        <v>First row of project data</v>
      </c>
      <c r="F37" s="159">
        <f xml:space="preserve"> IF( ABS(F35 - F36) &lt;&gt; 0, 1, 0)</f>
        <v>0</v>
      </c>
      <c r="G37" s="90" t="str">
        <f xml:space="preserve"> Translate!E$604</f>
        <v>Check</v>
      </c>
      <c r="H37" s="89"/>
      <c r="I37" s="89"/>
      <c r="J37" s="89"/>
      <c r="K37" s="89"/>
      <c r="L37" s="89"/>
      <c r="M37" s="89"/>
      <c r="N37" s="89"/>
      <c r="O37" s="89"/>
      <c r="P37" s="89"/>
      <c r="Q37" s="89"/>
      <c r="R37" s="89"/>
      <c r="S37" s="89"/>
      <c r="T37" s="89"/>
      <c r="U37" s="89"/>
      <c r="V37" s="89"/>
      <c r="W37" s="89"/>
      <c r="X37" s="89"/>
      <c r="Y37" s="89"/>
      <c r="Z37" s="89"/>
      <c r="AA37" s="89"/>
      <c r="AB37" s="89"/>
      <c r="AC37" s="89"/>
      <c r="AD37" s="89"/>
      <c r="AE37" s="89"/>
      <c r="AF37" s="89"/>
      <c r="AG37" s="89"/>
      <c r="AH37" s="89"/>
      <c r="AI37" s="89"/>
      <c r="AJ37" s="89"/>
      <c r="AK37" s="89"/>
      <c r="AL37" s="89"/>
      <c r="AM37" s="89"/>
      <c r="AN37" s="89"/>
      <c r="AO37" s="89"/>
      <c r="AP37" s="89"/>
      <c r="AQ37" s="89"/>
      <c r="AR37" s="89"/>
      <c r="AS37" s="89"/>
      <c r="AT37" s="89"/>
      <c r="AU37" s="89"/>
      <c r="AV37" s="89"/>
      <c r="AW37" s="89"/>
      <c r="AX37" s="89"/>
    </row>
    <row r="38" spans="1:50" ht="15" customHeight="1" x14ac:dyDescent="0.25">
      <c r="E38"/>
      <c r="F38" s="544"/>
      <c r="G38" s="544"/>
      <c r="H38" s="544"/>
      <c r="I38" s="544"/>
      <c r="J38" s="1023"/>
      <c r="K38" s="1023"/>
      <c r="L38" s="1023"/>
      <c r="M38" s="1023"/>
      <c r="N38" s="1023"/>
      <c r="O38" s="1023"/>
      <c r="P38" s="1023"/>
      <c r="Q38" s="1023"/>
      <c r="R38" s="1023"/>
      <c r="S38" s="1023"/>
      <c r="T38" s="1023"/>
      <c r="U38" s="1023"/>
      <c r="V38" s="1023"/>
      <c r="W38" s="1023"/>
      <c r="X38" s="1023"/>
      <c r="Y38" s="1023"/>
      <c r="Z38" s="1023"/>
      <c r="AA38" s="1023"/>
      <c r="AB38" s="1023"/>
      <c r="AC38" s="1023"/>
      <c r="AD38" s="1023"/>
      <c r="AE38" s="1023"/>
      <c r="AF38" s="1023"/>
      <c r="AG38" s="1023"/>
      <c r="AH38" s="1023"/>
      <c r="AI38" s="1023"/>
      <c r="AJ38" s="1023"/>
      <c r="AK38" s="1023"/>
      <c r="AL38" s="1023"/>
      <c r="AM38" s="1023"/>
      <c r="AN38" s="1023"/>
      <c r="AO38" s="1023"/>
      <c r="AP38" s="1023"/>
      <c r="AQ38" s="1023"/>
      <c r="AR38" s="1023"/>
      <c r="AS38" s="1023"/>
      <c r="AT38" s="1023"/>
      <c r="AU38" s="1023"/>
      <c r="AV38" s="1023"/>
      <c r="AW38" s="1023"/>
      <c r="AX38" s="1023"/>
    </row>
    <row r="39" spans="1:50" ht="15" customHeight="1" x14ac:dyDescent="0.25">
      <c r="E39"/>
      <c r="F39" s="544"/>
      <c r="G39" s="544"/>
      <c r="H39" s="544"/>
      <c r="I39" s="544"/>
      <c r="J39" s="1023"/>
      <c r="K39" s="1023"/>
      <c r="L39" s="1023"/>
      <c r="M39" s="1023"/>
      <c r="N39" s="1023"/>
      <c r="O39" s="1023"/>
      <c r="P39" s="1023"/>
      <c r="Q39" s="1023"/>
      <c r="R39" s="1023"/>
      <c r="S39" s="1023"/>
      <c r="T39" s="1023"/>
      <c r="U39" s="1023"/>
      <c r="V39" s="1023"/>
      <c r="W39" s="1023"/>
      <c r="X39" s="1023"/>
      <c r="Y39" s="1023"/>
      <c r="Z39" s="1023"/>
      <c r="AA39" s="1023"/>
      <c r="AB39" s="1023"/>
      <c r="AC39" s="1023"/>
      <c r="AD39" s="1023"/>
      <c r="AE39" s="1023"/>
      <c r="AF39" s="1023"/>
      <c r="AG39" s="1023"/>
      <c r="AH39" s="1023"/>
      <c r="AI39" s="1023"/>
      <c r="AJ39" s="1023"/>
      <c r="AK39" s="1023"/>
      <c r="AL39" s="1023"/>
      <c r="AM39" s="1023"/>
      <c r="AN39" s="1023"/>
      <c r="AO39" s="1023"/>
      <c r="AP39" s="1023"/>
      <c r="AQ39" s="1023"/>
      <c r="AR39" s="1023"/>
      <c r="AS39" s="1023"/>
      <c r="AT39" s="1023"/>
      <c r="AU39" s="1023"/>
      <c r="AV39" s="1023"/>
      <c r="AW39" s="1023"/>
      <c r="AX39" s="1023"/>
    </row>
    <row r="40" spans="1:50" ht="15" customHeight="1" x14ac:dyDescent="0.25">
      <c r="A40" s="99" t="str">
        <f>Translate!E727</f>
        <v>Unit costs</v>
      </c>
      <c r="B40" s="99"/>
      <c r="C40" s="99"/>
      <c r="D40" s="99"/>
      <c r="E40" s="101"/>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c r="AI40" s="99"/>
      <c r="AJ40" s="99"/>
      <c r="AK40" s="99"/>
      <c r="AL40" s="99"/>
      <c r="AM40" s="99"/>
      <c r="AN40" s="99"/>
      <c r="AO40" s="99"/>
      <c r="AP40" s="99"/>
      <c r="AQ40" s="99"/>
      <c r="AR40" s="99"/>
      <c r="AS40" s="99"/>
      <c r="AT40" s="99"/>
      <c r="AU40" s="99"/>
      <c r="AV40" s="99"/>
      <c r="AW40" s="99"/>
      <c r="AX40" s="99"/>
    </row>
    <row r="42" spans="1:50" ht="15" customHeight="1" x14ac:dyDescent="0.25">
      <c r="E42" s="544" t="str">
        <f xml:space="preserve"> E$9</f>
        <v>Oil production RATE</v>
      </c>
      <c r="F42" s="544">
        <f t="shared" ref="F42:AX42" si="5" xml:space="preserve"> F$9</f>
        <v>0</v>
      </c>
      <c r="G42" s="544" t="str">
        <f t="shared" si="5"/>
        <v>KBOPD</v>
      </c>
      <c r="H42" s="544">
        <f t="shared" si="5"/>
        <v>0</v>
      </c>
      <c r="I42" s="544">
        <f t="shared" si="5"/>
        <v>0</v>
      </c>
      <c r="J42" s="544">
        <f t="shared" si="5"/>
        <v>0</v>
      </c>
      <c r="K42" s="544">
        <f t="shared" si="5"/>
        <v>0</v>
      </c>
      <c r="L42" s="544">
        <f t="shared" si="5"/>
        <v>0</v>
      </c>
      <c r="M42" s="544">
        <f t="shared" si="5"/>
        <v>0</v>
      </c>
      <c r="N42" s="544">
        <f t="shared" si="5"/>
        <v>0</v>
      </c>
      <c r="O42" s="544">
        <f t="shared" si="5"/>
        <v>9.5471162223815913</v>
      </c>
      <c r="P42" s="544">
        <f t="shared" si="5"/>
        <v>75</v>
      </c>
      <c r="Q42" s="544">
        <f t="shared" si="5"/>
        <v>150</v>
      </c>
      <c r="R42" s="544">
        <f t="shared" si="5"/>
        <v>150</v>
      </c>
      <c r="S42" s="544">
        <f t="shared" si="5"/>
        <v>150</v>
      </c>
      <c r="T42" s="544">
        <f t="shared" si="5"/>
        <v>150</v>
      </c>
      <c r="U42" s="544">
        <f t="shared" si="5"/>
        <v>150</v>
      </c>
      <c r="V42" s="544">
        <f t="shared" si="5"/>
        <v>150</v>
      </c>
      <c r="W42" s="544">
        <f t="shared" si="5"/>
        <v>150</v>
      </c>
      <c r="X42" s="544">
        <f t="shared" si="5"/>
        <v>150</v>
      </c>
      <c r="Y42" s="544">
        <f t="shared" si="5"/>
        <v>150</v>
      </c>
      <c r="Z42" s="544">
        <f t="shared" si="5"/>
        <v>150</v>
      </c>
      <c r="AA42" s="544">
        <f t="shared" si="5"/>
        <v>121.50000000000001</v>
      </c>
      <c r="AB42" s="544">
        <f t="shared" si="5"/>
        <v>98.41500000000002</v>
      </c>
      <c r="AC42" s="544">
        <f t="shared" si="5"/>
        <v>79.716150000000027</v>
      </c>
      <c r="AD42" s="544">
        <f t="shared" si="5"/>
        <v>64.570081500000029</v>
      </c>
      <c r="AE42" s="544">
        <f t="shared" si="5"/>
        <v>52.301766015000027</v>
      </c>
      <c r="AF42" s="544">
        <f t="shared" si="5"/>
        <v>42.364430472150026</v>
      </c>
      <c r="AG42" s="544">
        <f t="shared" si="5"/>
        <v>34.315188682441523</v>
      </c>
      <c r="AH42" s="544">
        <f t="shared" si="5"/>
        <v>27.795302832777637</v>
      </c>
      <c r="AI42" s="544">
        <f t="shared" si="5"/>
        <v>22.514195294549886</v>
      </c>
      <c r="AJ42" s="544">
        <f t="shared" si="5"/>
        <v>18.236498188585408</v>
      </c>
      <c r="AK42" s="544">
        <f t="shared" si="5"/>
        <v>14.771563532754181</v>
      </c>
      <c r="AL42" s="544">
        <f t="shared" si="5"/>
        <v>11.964966461530887</v>
      </c>
      <c r="AM42" s="544">
        <f t="shared" si="5"/>
        <v>9.6916228338400181</v>
      </c>
      <c r="AN42" s="544">
        <f t="shared" si="5"/>
        <v>7.8502144954104152</v>
      </c>
      <c r="AO42" s="544">
        <f t="shared" si="5"/>
        <v>6.3586737412824368</v>
      </c>
      <c r="AP42" s="544">
        <f t="shared" si="5"/>
        <v>0</v>
      </c>
      <c r="AQ42" s="544">
        <f t="shared" si="5"/>
        <v>0</v>
      </c>
      <c r="AR42" s="544">
        <f t="shared" si="5"/>
        <v>0</v>
      </c>
      <c r="AS42" s="544">
        <f t="shared" si="5"/>
        <v>0</v>
      </c>
      <c r="AT42" s="544">
        <f t="shared" si="5"/>
        <v>0</v>
      </c>
      <c r="AU42" s="544">
        <f t="shared" si="5"/>
        <v>0</v>
      </c>
      <c r="AV42" s="544">
        <f t="shared" si="5"/>
        <v>0</v>
      </c>
      <c r="AW42" s="544">
        <f t="shared" si="5"/>
        <v>0</v>
      </c>
      <c r="AX42" s="544">
        <f t="shared" si="5"/>
        <v>0</v>
      </c>
    </row>
    <row r="43" spans="1:50" ht="15" customHeight="1" x14ac:dyDescent="0.25">
      <c r="E43" s="304" t="str">
        <f xml:space="preserve"> Inputs!E$79</f>
        <v>Production days per year</v>
      </c>
      <c r="F43" s="304">
        <f xml:space="preserve"> Inputs!F$79</f>
        <v>365</v>
      </c>
      <c r="G43" s="304" t="str">
        <f xml:space="preserve"> Inputs!G$79</f>
        <v>Days</v>
      </c>
      <c r="H43" s="544"/>
      <c r="I43" s="544"/>
      <c r="J43" s="544"/>
      <c r="K43" s="544"/>
      <c r="L43" s="544"/>
      <c r="M43" s="544"/>
      <c r="N43" s="544"/>
      <c r="O43" s="544"/>
      <c r="P43" s="544"/>
      <c r="Q43" s="544"/>
      <c r="R43" s="544"/>
      <c r="S43" s="544"/>
      <c r="T43" s="544"/>
      <c r="U43" s="544"/>
      <c r="V43" s="544"/>
      <c r="W43" s="544"/>
      <c r="X43" s="544"/>
      <c r="Y43" s="544"/>
      <c r="Z43" s="544"/>
      <c r="AA43" s="544"/>
      <c r="AB43" s="544"/>
      <c r="AC43" s="544"/>
      <c r="AD43" s="544"/>
      <c r="AE43" s="544"/>
      <c r="AF43" s="544"/>
      <c r="AG43" s="544"/>
      <c r="AH43" s="544"/>
      <c r="AI43" s="544"/>
      <c r="AJ43" s="544"/>
      <c r="AK43" s="544"/>
      <c r="AL43" s="544"/>
      <c r="AM43" s="544"/>
      <c r="AN43" s="544"/>
      <c r="AO43" s="544"/>
      <c r="AP43" s="544"/>
      <c r="AQ43" s="544"/>
      <c r="AR43" s="544"/>
      <c r="AS43" s="544"/>
      <c r="AT43" s="544"/>
      <c r="AU43" s="544"/>
      <c r="AV43" s="544"/>
      <c r="AW43" s="544"/>
      <c r="AX43" s="544"/>
    </row>
    <row r="44" spans="1:50" ht="15" customHeight="1" x14ac:dyDescent="0.25">
      <c r="E44" s="304" t="str">
        <f xml:space="preserve"> Inputs!E$81</f>
        <v>one thousand</v>
      </c>
      <c r="F44" s="304">
        <f xml:space="preserve"> Inputs!F$81</f>
        <v>1000</v>
      </c>
      <c r="G44" s="304" t="str">
        <f xml:space="preserve"> Inputs!G$81</f>
        <v>Constant</v>
      </c>
      <c r="H44" s="544"/>
      <c r="I44" s="544"/>
      <c r="J44" s="544"/>
      <c r="K44" s="544"/>
      <c r="L44" s="544"/>
      <c r="M44" s="544"/>
      <c r="N44" s="544"/>
      <c r="O44" s="544"/>
      <c r="P44" s="544"/>
      <c r="Q44" s="544"/>
      <c r="R44" s="544"/>
      <c r="S44" s="544"/>
      <c r="T44" s="544"/>
      <c r="U44" s="544"/>
      <c r="V44" s="544"/>
      <c r="W44" s="544"/>
      <c r="X44" s="544"/>
      <c r="Y44" s="544"/>
      <c r="Z44" s="544"/>
      <c r="AA44" s="544"/>
      <c r="AB44" s="544"/>
      <c r="AC44" s="544"/>
      <c r="AD44" s="544"/>
      <c r="AE44" s="544"/>
      <c r="AF44" s="544"/>
      <c r="AG44" s="544"/>
      <c r="AH44" s="544"/>
      <c r="AI44" s="544"/>
      <c r="AJ44" s="544"/>
      <c r="AK44" s="544"/>
      <c r="AL44" s="544"/>
      <c r="AM44" s="544"/>
      <c r="AN44" s="544"/>
      <c r="AO44" s="544"/>
      <c r="AP44" s="544"/>
      <c r="AQ44" s="544"/>
      <c r="AR44" s="544"/>
      <c r="AS44" s="544"/>
      <c r="AT44" s="544"/>
      <c r="AU44" s="544"/>
      <c r="AV44" s="544"/>
      <c r="AW44" s="544"/>
      <c r="AX44" s="544"/>
    </row>
    <row r="45" spans="1:50" ht="15" customHeight="1" x14ac:dyDescent="0.25">
      <c r="E45" s="544" t="str">
        <f>Translate!E$723</f>
        <v>Oil production Volume</v>
      </c>
      <c r="F45" s="544"/>
      <c r="G45" s="544" t="str">
        <f xml:space="preserve"> Translate!E$88</f>
        <v>Mn Bbl</v>
      </c>
      <c r="H45" s="544"/>
      <c r="I45" s="544">
        <f xml:space="preserve"> SUM(K45:AX45)</f>
        <v>801.87316114953705</v>
      </c>
      <c r="J45" s="544"/>
      <c r="K45" s="544">
        <f t="shared" ref="K45:AX45" si="6" xml:space="preserve"> K42 * $F43 / $F44</f>
        <v>0</v>
      </c>
      <c r="L45" s="544">
        <f t="shared" si="6"/>
        <v>0</v>
      </c>
      <c r="M45" s="544">
        <f t="shared" si="6"/>
        <v>0</v>
      </c>
      <c r="N45" s="544">
        <f t="shared" si="6"/>
        <v>0</v>
      </c>
      <c r="O45" s="544">
        <f t="shared" si="6"/>
        <v>3.4846974211692809</v>
      </c>
      <c r="P45" s="544">
        <f t="shared" si="6"/>
        <v>27.375</v>
      </c>
      <c r="Q45" s="544">
        <f t="shared" si="6"/>
        <v>54.75</v>
      </c>
      <c r="R45" s="544">
        <f t="shared" si="6"/>
        <v>54.75</v>
      </c>
      <c r="S45" s="544">
        <f t="shared" si="6"/>
        <v>54.75</v>
      </c>
      <c r="T45" s="544">
        <f t="shared" si="6"/>
        <v>54.75</v>
      </c>
      <c r="U45" s="544">
        <f t="shared" si="6"/>
        <v>54.75</v>
      </c>
      <c r="V45" s="544">
        <f t="shared" si="6"/>
        <v>54.75</v>
      </c>
      <c r="W45" s="544">
        <f t="shared" si="6"/>
        <v>54.75</v>
      </c>
      <c r="X45" s="544">
        <f t="shared" si="6"/>
        <v>54.75</v>
      </c>
      <c r="Y45" s="544">
        <f t="shared" si="6"/>
        <v>54.75</v>
      </c>
      <c r="Z45" s="544">
        <f t="shared" si="6"/>
        <v>54.75</v>
      </c>
      <c r="AA45" s="544">
        <f t="shared" si="6"/>
        <v>44.347500000000011</v>
      </c>
      <c r="AB45" s="544">
        <f t="shared" si="6"/>
        <v>35.921475000000008</v>
      </c>
      <c r="AC45" s="544">
        <f t="shared" si="6"/>
        <v>29.096394750000009</v>
      </c>
      <c r="AD45" s="544">
        <f t="shared" si="6"/>
        <v>23.568079747500011</v>
      </c>
      <c r="AE45" s="544">
        <f t="shared" si="6"/>
        <v>19.09014459547501</v>
      </c>
      <c r="AF45" s="544">
        <f t="shared" si="6"/>
        <v>15.463017122334758</v>
      </c>
      <c r="AG45" s="544">
        <f t="shared" si="6"/>
        <v>12.525043869091157</v>
      </c>
      <c r="AH45" s="544">
        <f t="shared" si="6"/>
        <v>10.145285533963838</v>
      </c>
      <c r="AI45" s="544">
        <f t="shared" si="6"/>
        <v>8.2176812825107088</v>
      </c>
      <c r="AJ45" s="544">
        <f t="shared" si="6"/>
        <v>6.6563218388336738</v>
      </c>
      <c r="AK45" s="544">
        <f t="shared" si="6"/>
        <v>5.3916206894552765</v>
      </c>
      <c r="AL45" s="544">
        <f t="shared" si="6"/>
        <v>4.3672127584587734</v>
      </c>
      <c r="AM45" s="544">
        <f t="shared" si="6"/>
        <v>3.5374423343516064</v>
      </c>
      <c r="AN45" s="544">
        <f t="shared" si="6"/>
        <v>2.8653282908248014</v>
      </c>
      <c r="AO45" s="544">
        <f t="shared" si="6"/>
        <v>2.3209159155680896</v>
      </c>
      <c r="AP45" s="544">
        <f t="shared" si="6"/>
        <v>0</v>
      </c>
      <c r="AQ45" s="544">
        <f t="shared" si="6"/>
        <v>0</v>
      </c>
      <c r="AR45" s="544">
        <f t="shared" si="6"/>
        <v>0</v>
      </c>
      <c r="AS45" s="544">
        <f t="shared" si="6"/>
        <v>0</v>
      </c>
      <c r="AT45" s="544">
        <f t="shared" si="6"/>
        <v>0</v>
      </c>
      <c r="AU45" s="544">
        <f t="shared" si="6"/>
        <v>0</v>
      </c>
      <c r="AV45" s="544">
        <f t="shared" si="6"/>
        <v>0</v>
      </c>
      <c r="AW45" s="544">
        <f t="shared" si="6"/>
        <v>0</v>
      </c>
      <c r="AX45" s="544">
        <f t="shared" si="6"/>
        <v>0</v>
      </c>
    </row>
    <row r="47" spans="1:50" ht="15" customHeight="1" x14ac:dyDescent="0.25">
      <c r="E47" s="350" t="str">
        <f xml:space="preserve"> E$14</f>
        <v>Operating costs</v>
      </c>
      <c r="F47" s="350">
        <f t="shared" ref="F47:AX47" si="7" xml:space="preserve"> F$14</f>
        <v>0</v>
      </c>
      <c r="G47" s="350" t="str">
        <f t="shared" si="7"/>
        <v>US$ mn 2021</v>
      </c>
      <c r="H47" s="350">
        <f t="shared" si="7"/>
        <v>0</v>
      </c>
      <c r="I47" s="350">
        <f t="shared" si="7"/>
        <v>4601</v>
      </c>
      <c r="J47" s="350">
        <f t="shared" si="7"/>
        <v>0</v>
      </c>
      <c r="K47" s="350">
        <f t="shared" si="7"/>
        <v>0</v>
      </c>
      <c r="L47" s="350">
        <f t="shared" si="7"/>
        <v>0</v>
      </c>
      <c r="M47" s="350">
        <f t="shared" si="7"/>
        <v>0</v>
      </c>
      <c r="N47" s="350">
        <f t="shared" si="7"/>
        <v>0</v>
      </c>
      <c r="O47" s="350">
        <f t="shared" si="7"/>
        <v>50</v>
      </c>
      <c r="P47" s="350">
        <f t="shared" si="7"/>
        <v>180</v>
      </c>
      <c r="Q47" s="350">
        <f t="shared" si="7"/>
        <v>260</v>
      </c>
      <c r="R47" s="350">
        <f t="shared" si="7"/>
        <v>260</v>
      </c>
      <c r="S47" s="350">
        <f t="shared" si="7"/>
        <v>260</v>
      </c>
      <c r="T47" s="350">
        <f t="shared" si="7"/>
        <v>260</v>
      </c>
      <c r="U47" s="350">
        <f t="shared" si="7"/>
        <v>260</v>
      </c>
      <c r="V47" s="350">
        <f t="shared" si="7"/>
        <v>260</v>
      </c>
      <c r="W47" s="350">
        <f t="shared" si="7"/>
        <v>260</v>
      </c>
      <c r="X47" s="350">
        <f t="shared" si="7"/>
        <v>260</v>
      </c>
      <c r="Y47" s="350">
        <f t="shared" si="7"/>
        <v>260</v>
      </c>
      <c r="Z47" s="350">
        <f t="shared" si="7"/>
        <v>260</v>
      </c>
      <c r="AA47" s="350">
        <f t="shared" si="7"/>
        <v>260</v>
      </c>
      <c r="AB47" s="350">
        <f t="shared" si="7"/>
        <v>260</v>
      </c>
      <c r="AC47" s="350">
        <f t="shared" si="7"/>
        <v>150</v>
      </c>
      <c r="AD47" s="350">
        <f t="shared" si="7"/>
        <v>140</v>
      </c>
      <c r="AE47" s="350">
        <f t="shared" si="7"/>
        <v>120</v>
      </c>
      <c r="AF47" s="350">
        <f t="shared" si="7"/>
        <v>111</v>
      </c>
      <c r="AG47" s="350">
        <f t="shared" si="7"/>
        <v>100</v>
      </c>
      <c r="AH47" s="350">
        <f t="shared" si="7"/>
        <v>95</v>
      </c>
      <c r="AI47" s="350">
        <f t="shared" si="7"/>
        <v>90</v>
      </c>
      <c r="AJ47" s="350">
        <f t="shared" si="7"/>
        <v>85</v>
      </c>
      <c r="AK47" s="350">
        <f t="shared" si="7"/>
        <v>80</v>
      </c>
      <c r="AL47" s="350">
        <f t="shared" si="7"/>
        <v>75</v>
      </c>
      <c r="AM47" s="350">
        <f t="shared" si="7"/>
        <v>70</v>
      </c>
      <c r="AN47" s="350">
        <f t="shared" si="7"/>
        <v>70</v>
      </c>
      <c r="AO47" s="350">
        <f t="shared" si="7"/>
        <v>65</v>
      </c>
      <c r="AP47" s="350">
        <f t="shared" si="7"/>
        <v>0</v>
      </c>
      <c r="AQ47" s="350">
        <f t="shared" si="7"/>
        <v>0</v>
      </c>
      <c r="AR47" s="350">
        <f t="shared" si="7"/>
        <v>0</v>
      </c>
      <c r="AS47" s="350">
        <f t="shared" si="7"/>
        <v>0</v>
      </c>
      <c r="AT47" s="350">
        <f t="shared" si="7"/>
        <v>0</v>
      </c>
      <c r="AU47" s="350">
        <f t="shared" si="7"/>
        <v>0</v>
      </c>
      <c r="AV47" s="350">
        <f t="shared" si="7"/>
        <v>0</v>
      </c>
      <c r="AW47" s="350">
        <f t="shared" si="7"/>
        <v>0</v>
      </c>
      <c r="AX47" s="350">
        <f t="shared" si="7"/>
        <v>0</v>
      </c>
    </row>
    <row r="48" spans="1:50" ht="15" customHeight="1" x14ac:dyDescent="0.25">
      <c r="E48" s="544" t="str">
        <f ca="1">A1 &amp; " " &amp; Translate!E$786</f>
        <v>800MMbbl_A Unit opex</v>
      </c>
      <c r="F48" s="544"/>
      <c r="G48" s="190" t="str">
        <f xml:space="preserve"> Inputs!F$56</f>
        <v>US$ 2021 / bbl</v>
      </c>
      <c r="H48" s="544"/>
      <c r="I48" s="544"/>
      <c r="J48" s="544"/>
      <c r="K48" s="544">
        <f t="shared" ref="K48:AX48" si="8" xml:space="preserve"> IFERROR(K47 / K45, 0)</f>
        <v>0</v>
      </c>
      <c r="L48" s="544">
        <f t="shared" si="8"/>
        <v>0</v>
      </c>
      <c r="M48" s="544">
        <f t="shared" si="8"/>
        <v>0</v>
      </c>
      <c r="N48" s="544">
        <f t="shared" si="8"/>
        <v>0</v>
      </c>
      <c r="O48" s="544">
        <f t="shared" si="8"/>
        <v>14.348448073641537</v>
      </c>
      <c r="P48" s="544">
        <f t="shared" si="8"/>
        <v>6.5753424657534243</v>
      </c>
      <c r="Q48" s="544">
        <f t="shared" si="8"/>
        <v>4.7488584474885842</v>
      </c>
      <c r="R48" s="544">
        <f t="shared" si="8"/>
        <v>4.7488584474885842</v>
      </c>
      <c r="S48" s="544">
        <f t="shared" si="8"/>
        <v>4.7488584474885842</v>
      </c>
      <c r="T48" s="544">
        <f t="shared" si="8"/>
        <v>4.7488584474885842</v>
      </c>
      <c r="U48" s="544">
        <f t="shared" si="8"/>
        <v>4.7488584474885842</v>
      </c>
      <c r="V48" s="544">
        <f t="shared" si="8"/>
        <v>4.7488584474885842</v>
      </c>
      <c r="W48" s="544">
        <f t="shared" si="8"/>
        <v>4.7488584474885842</v>
      </c>
      <c r="X48" s="544">
        <f t="shared" si="8"/>
        <v>4.7488584474885842</v>
      </c>
      <c r="Y48" s="544">
        <f t="shared" si="8"/>
        <v>4.7488584474885842</v>
      </c>
      <c r="Z48" s="544">
        <f t="shared" si="8"/>
        <v>4.7488584474885842</v>
      </c>
      <c r="AA48" s="544">
        <f t="shared" si="8"/>
        <v>5.8627882067760284</v>
      </c>
      <c r="AB48" s="544">
        <f t="shared" si="8"/>
        <v>7.2380101318222581</v>
      </c>
      <c r="AC48" s="544">
        <f t="shared" si="8"/>
        <v>5.1552778716682743</v>
      </c>
      <c r="AD48" s="544">
        <f t="shared" si="8"/>
        <v>5.9402378768194097</v>
      </c>
      <c r="AE48" s="544">
        <f t="shared" si="8"/>
        <v>6.2859660072163059</v>
      </c>
      <c r="AF48" s="544">
        <f t="shared" si="8"/>
        <v>7.1784179712038068</v>
      </c>
      <c r="AG48" s="544">
        <f t="shared" si="8"/>
        <v>7.9840039719762039</v>
      </c>
      <c r="AH48" s="544">
        <f t="shared" si="8"/>
        <v>9.3639552757745594</v>
      </c>
      <c r="AI48" s="544">
        <f t="shared" si="8"/>
        <v>10.951994474590128</v>
      </c>
      <c r="AJ48" s="544">
        <f t="shared" si="8"/>
        <v>12.76981523100358</v>
      </c>
      <c r="AK48" s="544">
        <f t="shared" si="8"/>
        <v>14.837839048370171</v>
      </c>
      <c r="AL48" s="544">
        <f t="shared" si="8"/>
        <v>17.173424824502515</v>
      </c>
      <c r="AM48" s="544">
        <f t="shared" si="8"/>
        <v>19.788308439755983</v>
      </c>
      <c r="AN48" s="544">
        <f t="shared" si="8"/>
        <v>24.430010419451829</v>
      </c>
      <c r="AO48" s="544">
        <f t="shared" si="8"/>
        <v>28.006184784204031</v>
      </c>
      <c r="AP48" s="544">
        <f t="shared" si="8"/>
        <v>0</v>
      </c>
      <c r="AQ48" s="544">
        <f t="shared" si="8"/>
        <v>0</v>
      </c>
      <c r="AR48" s="544">
        <f t="shared" si="8"/>
        <v>0</v>
      </c>
      <c r="AS48" s="544">
        <f t="shared" si="8"/>
        <v>0</v>
      </c>
      <c r="AT48" s="544">
        <f t="shared" si="8"/>
        <v>0</v>
      </c>
      <c r="AU48" s="544">
        <f t="shared" si="8"/>
        <v>0</v>
      </c>
      <c r="AV48" s="544">
        <f t="shared" si="8"/>
        <v>0</v>
      </c>
      <c r="AW48" s="544">
        <f t="shared" si="8"/>
        <v>0</v>
      </c>
      <c r="AX48" s="544">
        <f t="shared" si="8"/>
        <v>0</v>
      </c>
    </row>
    <row r="51" spans="1:50" ht="15" customHeight="1" x14ac:dyDescent="0.25">
      <c r="A51" s="99" t="str">
        <f>Translate!E728</f>
        <v>Charts</v>
      </c>
      <c r="B51" s="99"/>
      <c r="C51" s="99"/>
      <c r="D51" s="99"/>
      <c r="E51" s="101"/>
      <c r="F51" s="99"/>
      <c r="G51" s="99"/>
      <c r="H51" s="99"/>
      <c r="I51" s="99"/>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c r="AI51" s="99"/>
      <c r="AJ51" s="99"/>
      <c r="AK51" s="99"/>
      <c r="AL51" s="99"/>
      <c r="AM51" s="99"/>
      <c r="AN51" s="99"/>
      <c r="AO51" s="99"/>
      <c r="AP51" s="99"/>
      <c r="AQ51" s="99"/>
      <c r="AR51" s="99"/>
      <c r="AS51" s="99"/>
      <c r="AT51" s="99"/>
      <c r="AU51" s="99"/>
      <c r="AV51" s="99"/>
      <c r="AW51" s="99"/>
      <c r="AX51" s="99"/>
    </row>
    <row r="76" spans="1:50" ht="15" customHeight="1" x14ac:dyDescent="0.25">
      <c r="A76" s="66" t="str">
        <f ca="1">A$1 &amp; ": " &amp; Translate!E$626</f>
        <v>800MMbbl_A: Sheet checks</v>
      </c>
      <c r="B76" s="99"/>
      <c r="C76" s="99"/>
      <c r="D76" s="99"/>
      <c r="E76" s="101"/>
      <c r="F76" s="99"/>
      <c r="G76" s="99"/>
      <c r="H76" s="99"/>
      <c r="I76" s="99"/>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row>
    <row r="77" spans="1:50" ht="15" customHeight="1" x14ac:dyDescent="0.25">
      <c r="E77" s="544"/>
      <c r="F77" s="544"/>
      <c r="G77" s="544"/>
      <c r="H77" s="544"/>
      <c r="I77" s="544"/>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row>
    <row r="78" spans="1:50" ht="15" customHeight="1" x14ac:dyDescent="0.25">
      <c r="A78" s="67"/>
      <c r="B78" s="68"/>
      <c r="C78" s="287"/>
      <c r="D78" s="69"/>
      <c r="E78" s="67"/>
      <c r="F78" s="1077" t="str">
        <f xml:space="preserve"> Translate!E$651</f>
        <v>do not delete row</v>
      </c>
      <c r="G78" s="67"/>
      <c r="H78" s="67"/>
      <c r="I78" s="67"/>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row>
    <row r="79" spans="1:50" ht="15" customHeight="1" x14ac:dyDescent="0.25">
      <c r="A79" s="544"/>
      <c r="B79" s="544"/>
      <c r="C79" s="544"/>
      <c r="D79" s="544"/>
      <c r="E79" s="307" t="str">
        <f xml:space="preserve"> E$37</f>
        <v>First row of project data</v>
      </c>
      <c r="F79" s="36">
        <f xml:space="preserve"> F$37</f>
        <v>0</v>
      </c>
      <c r="G79" s="307" t="str">
        <f xml:space="preserve"> G$37</f>
        <v>Check</v>
      </c>
      <c r="H79" s="544"/>
      <c r="I79" s="544"/>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row>
    <row r="80" spans="1:50" ht="15" customHeight="1" x14ac:dyDescent="0.25">
      <c r="A80" s="67"/>
      <c r="B80" s="68"/>
      <c r="C80" s="287"/>
      <c r="D80" s="69"/>
      <c r="E80" s="67"/>
      <c r="F80" s="1077" t="str">
        <f xml:space="preserve"> Translate!E$651</f>
        <v>do not delete row</v>
      </c>
      <c r="G80" s="67"/>
      <c r="H80" s="67"/>
      <c r="I80" s="67"/>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row>
    <row r="81" spans="5:50" ht="15" customHeight="1" x14ac:dyDescent="0.25">
      <c r="E81" s="544" t="str">
        <f ca="1" xml:space="preserve"> Translate!E$604 &amp; ": " &amp; A$1</f>
        <v>Check: 800MMbbl_A</v>
      </c>
      <c r="F81" s="72">
        <f xml:space="preserve"> SUM(F78:F80)</f>
        <v>0</v>
      </c>
      <c r="G81" s="544" t="str">
        <f xml:space="preserve"> Translate!E$604</f>
        <v>Check</v>
      </c>
      <c r="H81" s="544"/>
      <c r="I81" s="544"/>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row>
  </sheetData>
  <conditionalFormatting sqref="F79">
    <cfRule type="cellIs" dxfId="60" priority="9" stopIfTrue="1" operator="notEqual">
      <formula>0</formula>
    </cfRule>
    <cfRule type="cellIs" dxfId="59" priority="10" stopIfTrue="1" operator="equal">
      <formula>""</formula>
    </cfRule>
  </conditionalFormatting>
  <conditionalFormatting sqref="F81">
    <cfRule type="cellIs" dxfId="58" priority="11" stopIfTrue="1" operator="notEqual">
      <formula>0</formula>
    </cfRule>
    <cfRule type="cellIs" dxfId="57" priority="12" stopIfTrue="1" operator="equal">
      <formula>""</formula>
    </cfRule>
  </conditionalFormatting>
  <conditionalFormatting sqref="F3">
    <cfRule type="cellIs" dxfId="56" priority="7" stopIfTrue="1" operator="notEqual">
      <formula>0</formula>
    </cfRule>
    <cfRule type="cellIs" dxfId="55" priority="8" stopIfTrue="1" operator="equal">
      <formula>""</formula>
    </cfRule>
  </conditionalFormatting>
  <conditionalFormatting sqref="F3">
    <cfRule type="cellIs" dxfId="54" priority="5" stopIfTrue="1" operator="notEqual">
      <formula>0</formula>
    </cfRule>
    <cfRule type="cellIs" dxfId="53" priority="6" stopIfTrue="1" operator="equal">
      <formula>""</formula>
    </cfRule>
  </conditionalFormatting>
  <conditionalFormatting sqref="F37">
    <cfRule type="cellIs" dxfId="52" priority="3" stopIfTrue="1" operator="notEqual">
      <formula>0</formula>
    </cfRule>
    <cfRule type="cellIs" dxfId="51" priority="4" stopIfTrue="1" operator="equal">
      <formula>""</formula>
    </cfRule>
  </conditionalFormatting>
  <conditionalFormatting sqref="F37">
    <cfRule type="cellIs" dxfId="50" priority="1" stopIfTrue="1" operator="notEqual">
      <formula>0</formula>
    </cfRule>
    <cfRule type="cellIs" dxfId="49" priority="2" stopIfTrue="1" operator="equal">
      <formula>""</formula>
    </cfRule>
  </conditionalFormatting>
  <printOptions headings="1"/>
  <pageMargins left="0.74803149606299213" right="0.70866141732283472" top="0.98425196850393704" bottom="0.74803149606299213" header="0.51181102362204722" footer="0.31496062992125984"/>
  <pageSetup scale="55" orientation="landscape" blackAndWhite="1" r:id="rId1"/>
  <headerFooter>
    <oddHeader>&amp;LPROJECT BULYANHULU&amp;CSheet:&amp;A&amp;RSTRICTLY CONFIDENTIAL</oddHeader>
    <oddFooter>&amp;L&amp;F ( printed on &amp;D at &amp;T )&amp;RPage &amp;P of &amp;N</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rgb="FFFFC000"/>
    <outlinePr summaryBelow="0" summaryRight="0"/>
  </sheetPr>
  <dimension ref="A1:AX81"/>
  <sheetViews>
    <sheetView defaultGridColor="0" colorId="22" zoomScale="85" zoomScaleNormal="85" workbookViewId="0">
      <pane xSplit="10" ySplit="3" topLeftCell="K4" activePane="bottomRight" state="frozen"/>
      <selection pane="topRight" activeCell="H2" sqref="H2"/>
      <selection pane="bottomLeft" activeCell="H2" sqref="H2"/>
      <selection pane="bottomRight" activeCell="K4" sqref="K4"/>
    </sheetView>
  </sheetViews>
  <sheetFormatPr defaultColWidth="0" defaultRowHeight="15" customHeight="1" outlineLevelCol="1" x14ac:dyDescent="0.25"/>
  <cols>
    <col min="1" max="2" width="1.26953125" style="21" customWidth="1"/>
    <col min="3" max="3" width="1.26953125" style="288" customWidth="1"/>
    <col min="4" max="4" width="1.26953125" style="289" customWidth="1"/>
    <col min="5" max="5" width="50.7265625" style="22" customWidth="1"/>
    <col min="6" max="6" width="12.7265625" style="22" customWidth="1"/>
    <col min="7" max="7" width="15.7265625" style="22" customWidth="1" collapsed="1"/>
    <col min="8" max="8" width="40.7265625" style="22" hidden="1" customWidth="1" outlineLevel="1"/>
    <col min="9" max="9" width="12.7265625" style="22" customWidth="1"/>
    <col min="10" max="10" width="3.7265625" style="22" customWidth="1"/>
    <col min="11" max="50" width="10.7265625" style="22" customWidth="1"/>
    <col min="51" max="16384" width="9.1796875" style="22" hidden="1"/>
  </cols>
  <sheetData>
    <row r="1" spans="1:50" s="439" customFormat="1" ht="15" customHeight="1" x14ac:dyDescent="0.35">
      <c r="A1" s="396" t="str">
        <f ca="1" xml:space="preserve"> RIGHT( CELL("filename",$A$1), LEN( CELL("filename",$A$1)) - SEARCH("]", CELL("filename",$A$1)))</f>
        <v>800MMbbl_B</v>
      </c>
      <c r="B1" s="436"/>
      <c r="C1" s="437"/>
      <c r="D1" s="438"/>
      <c r="E1" s="1080"/>
      <c r="F1" s="440"/>
      <c r="G1" s="364"/>
      <c r="H1" s="364"/>
      <c r="I1" s="364"/>
      <c r="J1" s="364"/>
      <c r="K1" s="364">
        <f xml:space="preserve"> ProjectCashflows!K$34</f>
        <v>2021</v>
      </c>
      <c r="L1" s="364">
        <f xml:space="preserve"> ProjectCashflows!L$34</f>
        <v>2022</v>
      </c>
      <c r="M1" s="364">
        <f xml:space="preserve"> ProjectCashflows!M$34</f>
        <v>2023</v>
      </c>
      <c r="N1" s="364">
        <f xml:space="preserve"> ProjectCashflows!N$34</f>
        <v>2024</v>
      </c>
      <c r="O1" s="364">
        <f xml:space="preserve"> ProjectCashflows!O$34</f>
        <v>2025</v>
      </c>
      <c r="P1" s="364">
        <f xml:space="preserve"> ProjectCashflows!P$34</f>
        <v>2026</v>
      </c>
      <c r="Q1" s="364">
        <f xml:space="preserve"> ProjectCashflows!Q$34</f>
        <v>2027</v>
      </c>
      <c r="R1" s="364">
        <f xml:space="preserve"> ProjectCashflows!R$34</f>
        <v>2028</v>
      </c>
      <c r="S1" s="364">
        <f xml:space="preserve"> ProjectCashflows!S$34</f>
        <v>2029</v>
      </c>
      <c r="T1" s="364">
        <f xml:space="preserve"> ProjectCashflows!T$34</f>
        <v>2030</v>
      </c>
      <c r="U1" s="364">
        <f xml:space="preserve"> ProjectCashflows!U$34</f>
        <v>2031</v>
      </c>
      <c r="V1" s="364">
        <f xml:space="preserve"> ProjectCashflows!V$34</f>
        <v>2032</v>
      </c>
      <c r="W1" s="364">
        <f xml:space="preserve"> ProjectCashflows!W$34</f>
        <v>2033</v>
      </c>
      <c r="X1" s="364">
        <f xml:space="preserve"> ProjectCashflows!X$34</f>
        <v>2034</v>
      </c>
      <c r="Y1" s="364">
        <f xml:space="preserve"> ProjectCashflows!Y$34</f>
        <v>2035</v>
      </c>
      <c r="Z1" s="364">
        <f xml:space="preserve"> ProjectCashflows!Z$34</f>
        <v>2036</v>
      </c>
      <c r="AA1" s="364">
        <f xml:space="preserve"> ProjectCashflows!AA$34</f>
        <v>2037</v>
      </c>
      <c r="AB1" s="364">
        <f xml:space="preserve"> ProjectCashflows!AB$34</f>
        <v>2038</v>
      </c>
      <c r="AC1" s="364">
        <f xml:space="preserve"> ProjectCashflows!AC$34</f>
        <v>2039</v>
      </c>
      <c r="AD1" s="364">
        <f xml:space="preserve"> ProjectCashflows!AD$34</f>
        <v>2040</v>
      </c>
      <c r="AE1" s="364">
        <f xml:space="preserve"> ProjectCashflows!AE$34</f>
        <v>2041</v>
      </c>
      <c r="AF1" s="364">
        <f xml:space="preserve"> ProjectCashflows!AF$34</f>
        <v>2042</v>
      </c>
      <c r="AG1" s="364">
        <f xml:space="preserve"> ProjectCashflows!AG$34</f>
        <v>2043</v>
      </c>
      <c r="AH1" s="364">
        <f xml:space="preserve"> ProjectCashflows!AH$34</f>
        <v>2044</v>
      </c>
      <c r="AI1" s="364">
        <f xml:space="preserve"> ProjectCashflows!AI$34</f>
        <v>2045</v>
      </c>
      <c r="AJ1" s="364">
        <f xml:space="preserve"> ProjectCashflows!AJ$34</f>
        <v>2046</v>
      </c>
      <c r="AK1" s="364">
        <f xml:space="preserve"> ProjectCashflows!AK$34</f>
        <v>2047</v>
      </c>
      <c r="AL1" s="364">
        <f xml:space="preserve"> ProjectCashflows!AL$34</f>
        <v>2048</v>
      </c>
      <c r="AM1" s="364">
        <f xml:space="preserve"> ProjectCashflows!AM$34</f>
        <v>2049</v>
      </c>
      <c r="AN1" s="364">
        <f xml:space="preserve"> ProjectCashflows!AN$34</f>
        <v>2050</v>
      </c>
      <c r="AO1" s="364">
        <f xml:space="preserve"> ProjectCashflows!AO$34</f>
        <v>2051</v>
      </c>
      <c r="AP1" s="364">
        <f xml:space="preserve"> ProjectCashflows!AP$34</f>
        <v>2052</v>
      </c>
      <c r="AQ1" s="364">
        <f xml:space="preserve"> ProjectCashflows!AQ$34</f>
        <v>2053</v>
      </c>
      <c r="AR1" s="364">
        <f xml:space="preserve"> ProjectCashflows!AR$34</f>
        <v>2054</v>
      </c>
      <c r="AS1" s="364">
        <f xml:space="preserve"> ProjectCashflows!AS$34</f>
        <v>2055</v>
      </c>
      <c r="AT1" s="364">
        <f xml:space="preserve"> ProjectCashflows!AT$34</f>
        <v>2056</v>
      </c>
      <c r="AU1" s="364">
        <f xml:space="preserve"> ProjectCashflows!AU$34</f>
        <v>2057</v>
      </c>
      <c r="AV1" s="364">
        <f xml:space="preserve"> ProjectCashflows!AV$34</f>
        <v>2058</v>
      </c>
      <c r="AW1" s="364">
        <f xml:space="preserve"> ProjectCashflows!AW$34</f>
        <v>2059</v>
      </c>
      <c r="AX1" s="364">
        <f xml:space="preserve"> ProjectCashflows!AX$34</f>
        <v>2060</v>
      </c>
    </row>
    <row r="2" spans="1:50" ht="15" customHeight="1" x14ac:dyDescent="0.25">
      <c r="E2" s="3" t="str">
        <f xml:space="preserve"> Translate!E$597</f>
        <v>Row description</v>
      </c>
      <c r="F2" s="250" t="str">
        <f xml:space="preserve"> Translate!E$598</f>
        <v>Constant</v>
      </c>
      <c r="G2" s="931" t="str">
        <f xml:space="preserve"> Translate!E$599</f>
        <v>Units</v>
      </c>
      <c r="H2" s="90" t="str">
        <f>Translate!E600</f>
        <v>Comments</v>
      </c>
      <c r="I2" s="213" t="str">
        <f xml:space="preserve"> Translate!E$601</f>
        <v>Total</v>
      </c>
      <c r="J2" s="48"/>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row>
    <row r="3" spans="1:50" s="27" customFormat="1" ht="15" customHeight="1" x14ac:dyDescent="0.25">
      <c r="A3" s="39"/>
      <c r="B3" s="39"/>
      <c r="C3" s="302"/>
      <c r="D3" s="303"/>
      <c r="E3" s="89"/>
      <c r="F3" s="159">
        <f ca="1" xml:space="preserve"> ReadMe!$D$7</f>
        <v>0</v>
      </c>
      <c r="G3" s="90" t="str">
        <f xml:space="preserve"> ReadMe!$E$7</f>
        <v>Checks</v>
      </c>
      <c r="H3" s="90"/>
      <c r="I3" s="90"/>
      <c r="J3" s="48"/>
      <c r="K3" s="304"/>
      <c r="L3" s="304"/>
      <c r="M3" s="304"/>
      <c r="N3" s="304"/>
      <c r="O3" s="304"/>
      <c r="P3" s="304"/>
      <c r="Q3" s="304"/>
      <c r="R3" s="304"/>
      <c r="S3" s="304"/>
      <c r="T3" s="304"/>
      <c r="U3" s="304"/>
      <c r="V3" s="304"/>
      <c r="W3" s="304"/>
      <c r="X3" s="304"/>
      <c r="Y3" s="304"/>
      <c r="Z3" s="304"/>
      <c r="AA3" s="304"/>
      <c r="AB3" s="304"/>
      <c r="AC3" s="304"/>
      <c r="AD3" s="304"/>
      <c r="AE3" s="304"/>
      <c r="AF3" s="304"/>
      <c r="AG3" s="304"/>
      <c r="AH3" s="304"/>
      <c r="AI3" s="304"/>
      <c r="AJ3" s="304"/>
      <c r="AK3" s="304"/>
      <c r="AL3" s="304"/>
      <c r="AM3" s="304"/>
      <c r="AN3" s="304"/>
      <c r="AO3" s="304"/>
      <c r="AP3" s="304"/>
      <c r="AQ3" s="304"/>
      <c r="AR3" s="304"/>
      <c r="AS3" s="304"/>
      <c r="AT3" s="304"/>
      <c r="AU3" s="304"/>
      <c r="AV3" s="304"/>
      <c r="AW3" s="304"/>
      <c r="AX3" s="304"/>
    </row>
    <row r="4" spans="1:50" ht="15" customHeight="1" x14ac:dyDescent="0.25">
      <c r="A4" s="99" t="str">
        <f>Translate!E$726</f>
        <v>Project data</v>
      </c>
      <c r="B4" s="99"/>
      <c r="C4" s="99"/>
      <c r="D4" s="99"/>
      <c r="E4" s="101"/>
      <c r="F4" s="99"/>
      <c r="G4" s="99"/>
      <c r="H4" s="99"/>
      <c r="I4" s="99"/>
      <c r="J4" s="99"/>
      <c r="K4" s="99"/>
      <c r="L4" s="99"/>
      <c r="M4" s="99"/>
      <c r="N4" s="99"/>
      <c r="O4" s="99"/>
      <c r="P4" s="99"/>
      <c r="Q4" s="99"/>
      <c r="R4" s="99"/>
      <c r="S4" s="99"/>
      <c r="T4" s="99"/>
      <c r="U4" s="99"/>
      <c r="V4" s="99"/>
      <c r="W4" s="99"/>
      <c r="X4" s="99"/>
      <c r="Y4" s="99"/>
      <c r="Z4" s="99"/>
      <c r="AA4" s="99"/>
      <c r="AB4" s="99"/>
      <c r="AC4" s="99"/>
      <c r="AD4" s="99"/>
      <c r="AE4" s="99"/>
      <c r="AF4" s="99"/>
      <c r="AG4" s="99"/>
      <c r="AH4" s="99"/>
      <c r="AI4" s="99"/>
      <c r="AJ4" s="99"/>
      <c r="AK4" s="99"/>
      <c r="AL4" s="99"/>
      <c r="AM4" s="99"/>
      <c r="AN4" s="99"/>
      <c r="AO4" s="99"/>
      <c r="AP4" s="99"/>
      <c r="AQ4" s="99"/>
      <c r="AR4" s="99"/>
      <c r="AS4" s="99"/>
      <c r="AT4" s="99"/>
      <c r="AU4" s="99"/>
      <c r="AV4" s="99"/>
      <c r="AW4" s="99"/>
      <c r="AX4" s="99"/>
    </row>
    <row r="6" spans="1:50" ht="15" customHeight="1" x14ac:dyDescent="0.25">
      <c r="E6" s="24" t="str">
        <f xml:space="preserve"> Translate!E$709</f>
        <v>This project example sheet name</v>
      </c>
      <c r="F6" s="349" t="str">
        <f ca="1" xml:space="preserve"> A1</f>
        <v>800MMbbl_B</v>
      </c>
      <c r="G6" s="56" t="str">
        <f>Translate!E$528</f>
        <v>Label</v>
      </c>
      <c r="H6" s="544"/>
      <c r="I6" s="544"/>
      <c r="J6" s="544"/>
      <c r="K6" s="544"/>
      <c r="L6" s="544"/>
      <c r="M6" s="544"/>
      <c r="N6" s="544"/>
      <c r="O6" s="544"/>
      <c r="P6" s="544"/>
      <c r="Q6" s="544"/>
      <c r="R6" s="544"/>
      <c r="S6" s="544"/>
      <c r="T6" s="544"/>
      <c r="U6" s="544"/>
      <c r="V6" s="544"/>
      <c r="W6" s="544"/>
      <c r="X6" s="544"/>
      <c r="Y6" s="544"/>
      <c r="Z6" s="544"/>
      <c r="AA6" s="544"/>
      <c r="AB6" s="544"/>
      <c r="AC6" s="544"/>
      <c r="AD6" s="544"/>
      <c r="AE6" s="544"/>
      <c r="AF6" s="544"/>
      <c r="AG6" s="544"/>
      <c r="AH6" s="544"/>
      <c r="AI6" s="544"/>
      <c r="AJ6" s="544"/>
      <c r="AK6" s="544"/>
      <c r="AL6" s="544"/>
      <c r="AM6" s="544"/>
      <c r="AN6" s="544"/>
      <c r="AO6" s="544"/>
      <c r="AP6" s="544"/>
      <c r="AQ6" s="544"/>
      <c r="AR6" s="544"/>
      <c r="AS6" s="544"/>
      <c r="AT6" s="544"/>
      <c r="AU6" s="544"/>
      <c r="AV6" s="544"/>
      <c r="AW6" s="544"/>
      <c r="AX6" s="544"/>
    </row>
    <row r="7" spans="1:50" ht="15" customHeight="1" x14ac:dyDescent="0.25">
      <c r="E7" s="544"/>
      <c r="F7" s="544"/>
      <c r="G7" s="544"/>
      <c r="H7" s="544"/>
      <c r="I7" s="544"/>
      <c r="J7" s="544"/>
      <c r="K7" s="544"/>
      <c r="L7" s="544"/>
      <c r="M7" s="544"/>
      <c r="N7" s="544"/>
      <c r="O7" s="544"/>
      <c r="P7" s="544"/>
      <c r="Q7" s="544"/>
      <c r="R7" s="544"/>
      <c r="S7" s="544"/>
      <c r="T7" s="544"/>
      <c r="U7" s="544"/>
      <c r="V7" s="544"/>
      <c r="W7" s="544"/>
      <c r="X7" s="544"/>
      <c r="Y7" s="544"/>
      <c r="Z7" s="544"/>
      <c r="AA7" s="544"/>
      <c r="AB7" s="544"/>
      <c r="AC7" s="544"/>
      <c r="AD7" s="544"/>
      <c r="AE7" s="544"/>
      <c r="AF7" s="544"/>
      <c r="AG7" s="544"/>
      <c r="AH7" s="544"/>
      <c r="AI7" s="544"/>
      <c r="AJ7" s="544"/>
      <c r="AK7" s="544"/>
      <c r="AL7" s="544"/>
      <c r="AM7" s="544"/>
      <c r="AN7" s="544"/>
      <c r="AO7" s="544"/>
      <c r="AP7" s="544"/>
      <c r="AQ7" s="544"/>
      <c r="AR7" s="544"/>
      <c r="AS7" s="544"/>
      <c r="AT7" s="544"/>
      <c r="AU7" s="544"/>
      <c r="AV7" s="544"/>
      <c r="AW7" s="544"/>
      <c r="AX7" s="544"/>
    </row>
    <row r="8" spans="1:50" ht="15" customHeight="1" x14ac:dyDescent="0.25">
      <c r="B8" s="21" t="str">
        <f>Translate!E$726</f>
        <v>Project data</v>
      </c>
      <c r="E8" s="544"/>
      <c r="F8" s="544"/>
      <c r="G8" s="544"/>
      <c r="H8" s="544"/>
      <c r="I8" s="544"/>
      <c r="J8" s="1023"/>
      <c r="K8" s="1" t="str">
        <f xml:space="preserve"> Translate!E$798</f>
        <v>Do not change row of this block</v>
      </c>
      <c r="L8" s="1023"/>
      <c r="M8" s="1023"/>
      <c r="N8" s="1023"/>
      <c r="O8" s="1023"/>
      <c r="P8" s="1023"/>
      <c r="Q8" s="1023"/>
      <c r="R8" s="1023"/>
      <c r="S8" s="1023"/>
      <c r="T8" s="1023"/>
      <c r="U8" s="1023"/>
      <c r="V8" s="1023"/>
      <c r="W8" s="1023"/>
      <c r="X8" s="1023"/>
      <c r="Y8" s="1023"/>
      <c r="Z8" s="1023"/>
      <c r="AA8" s="1023"/>
      <c r="AB8" s="1023"/>
      <c r="AC8" s="1023"/>
      <c r="AD8" s="1023"/>
      <c r="AE8" s="1023"/>
      <c r="AF8" s="1023"/>
      <c r="AG8" s="1023"/>
      <c r="AH8" s="1023"/>
      <c r="AI8" s="1023"/>
      <c r="AJ8" s="1023"/>
      <c r="AK8" s="1023"/>
      <c r="AL8" s="1023"/>
      <c r="AM8" s="1023"/>
      <c r="AN8" s="1023"/>
      <c r="AO8" s="1023"/>
      <c r="AP8" s="1023"/>
      <c r="AQ8" s="1023"/>
      <c r="AR8" s="1023"/>
      <c r="AS8" s="1023"/>
      <c r="AT8" s="1023"/>
      <c r="AU8" s="1023"/>
      <c r="AV8" s="1023"/>
      <c r="AW8" s="1023"/>
      <c r="AX8" s="1023"/>
    </row>
    <row r="9" spans="1:50" ht="15" customHeight="1" x14ac:dyDescent="0.25">
      <c r="E9" s="544" t="str">
        <f>Translate!E710</f>
        <v>Oil production RATE</v>
      </c>
      <c r="F9" s="544"/>
      <c r="G9" s="544" t="str">
        <f xml:space="preserve"> Translate!E$611</f>
        <v>KBOPD</v>
      </c>
      <c r="H9" s="544"/>
      <c r="I9" s="544"/>
      <c r="J9" s="1023"/>
      <c r="K9" s="1081">
        <v>0</v>
      </c>
      <c r="L9" s="1081">
        <v>0</v>
      </c>
      <c r="M9" s="1081">
        <v>0</v>
      </c>
      <c r="N9" s="1081">
        <v>0</v>
      </c>
      <c r="O9" s="1081">
        <v>0</v>
      </c>
      <c r="P9" s="1081">
        <v>0</v>
      </c>
      <c r="Q9" s="1081">
        <v>0</v>
      </c>
      <c r="R9" s="1081">
        <v>9.5471162223815913</v>
      </c>
      <c r="S9" s="1081">
        <v>75</v>
      </c>
      <c r="T9" s="1081">
        <v>150</v>
      </c>
      <c r="U9" s="1081">
        <v>150</v>
      </c>
      <c r="V9" s="1081">
        <v>150</v>
      </c>
      <c r="W9" s="1081">
        <v>150</v>
      </c>
      <c r="X9" s="1081">
        <v>150</v>
      </c>
      <c r="Y9" s="1081">
        <v>150</v>
      </c>
      <c r="Z9" s="1081">
        <v>150</v>
      </c>
      <c r="AA9" s="1081">
        <v>150</v>
      </c>
      <c r="AB9" s="1081">
        <v>150</v>
      </c>
      <c r="AC9" s="1081">
        <v>150</v>
      </c>
      <c r="AD9" s="1081">
        <v>121.50000000000001</v>
      </c>
      <c r="AE9" s="1081">
        <v>98.41500000000002</v>
      </c>
      <c r="AF9" s="1081">
        <v>79.716150000000027</v>
      </c>
      <c r="AG9" s="1081">
        <v>64.570081500000029</v>
      </c>
      <c r="AH9" s="1081">
        <v>52.301766015000027</v>
      </c>
      <c r="AI9" s="1081">
        <v>42.364430472150026</v>
      </c>
      <c r="AJ9" s="1081">
        <v>34.315188682441523</v>
      </c>
      <c r="AK9" s="1081">
        <v>27.795302832777637</v>
      </c>
      <c r="AL9" s="1081">
        <v>22.514195294549886</v>
      </c>
      <c r="AM9" s="1081">
        <v>18.236498188585408</v>
      </c>
      <c r="AN9" s="1081">
        <v>14.771563532754181</v>
      </c>
      <c r="AO9" s="1081">
        <v>11.964966461530887</v>
      </c>
      <c r="AP9" s="1081">
        <v>9.6916228338400181</v>
      </c>
      <c r="AQ9" s="1081">
        <v>7.8502144954104152</v>
      </c>
      <c r="AR9" s="1081">
        <v>6.3586737412824368</v>
      </c>
      <c r="AS9" s="1081"/>
      <c r="AT9" s="1081"/>
      <c r="AU9" s="1081"/>
      <c r="AV9" s="1081"/>
      <c r="AW9" s="1081"/>
      <c r="AX9" s="1081"/>
    </row>
    <row r="10" spans="1:50" ht="15" customHeight="1" x14ac:dyDescent="0.25">
      <c r="E10" s="544" t="str">
        <f>Translate!E711</f>
        <v>Transport costs post-fiscal point</v>
      </c>
      <c r="F10" s="544"/>
      <c r="G10" s="544" t="str">
        <f xml:space="preserve"> Inputs!F$52</f>
        <v>US$ mn 2021</v>
      </c>
      <c r="H10" s="544"/>
      <c r="I10" s="544">
        <f t="shared" ref="I10:I15" si="0" xml:space="preserve"> SUM(K10:AX10)</f>
        <v>0</v>
      </c>
      <c r="J10" s="1023"/>
      <c r="K10" s="1081">
        <f xml:space="preserve"> K9 * $F18 / $F19 * $F23</f>
        <v>0</v>
      </c>
      <c r="L10" s="1081">
        <f t="shared" ref="L10:AX10" si="1" xml:space="preserve"> L9 * $F18 / $F19 * $F23</f>
        <v>0</v>
      </c>
      <c r="M10" s="1081">
        <f t="shared" si="1"/>
        <v>0</v>
      </c>
      <c r="N10" s="1081">
        <f t="shared" si="1"/>
        <v>0</v>
      </c>
      <c r="O10" s="1081">
        <f t="shared" si="1"/>
        <v>0</v>
      </c>
      <c r="P10" s="1081">
        <f t="shared" si="1"/>
        <v>0</v>
      </c>
      <c r="Q10" s="1081">
        <f t="shared" si="1"/>
        <v>0</v>
      </c>
      <c r="R10" s="1081">
        <f t="shared" si="1"/>
        <v>0</v>
      </c>
      <c r="S10" s="1081">
        <f t="shared" si="1"/>
        <v>0</v>
      </c>
      <c r="T10" s="1081">
        <f t="shared" si="1"/>
        <v>0</v>
      </c>
      <c r="U10" s="1081">
        <f t="shared" si="1"/>
        <v>0</v>
      </c>
      <c r="V10" s="1081">
        <f t="shared" si="1"/>
        <v>0</v>
      </c>
      <c r="W10" s="1081">
        <f t="shared" si="1"/>
        <v>0</v>
      </c>
      <c r="X10" s="1081">
        <f t="shared" si="1"/>
        <v>0</v>
      </c>
      <c r="Y10" s="1081">
        <f t="shared" si="1"/>
        <v>0</v>
      </c>
      <c r="Z10" s="1081">
        <f t="shared" si="1"/>
        <v>0</v>
      </c>
      <c r="AA10" s="1081">
        <f t="shared" si="1"/>
        <v>0</v>
      </c>
      <c r="AB10" s="1081">
        <f t="shared" si="1"/>
        <v>0</v>
      </c>
      <c r="AC10" s="1081">
        <f t="shared" si="1"/>
        <v>0</v>
      </c>
      <c r="AD10" s="1081">
        <f t="shared" si="1"/>
        <v>0</v>
      </c>
      <c r="AE10" s="1081">
        <f t="shared" si="1"/>
        <v>0</v>
      </c>
      <c r="AF10" s="1081">
        <f t="shared" si="1"/>
        <v>0</v>
      </c>
      <c r="AG10" s="1081">
        <f t="shared" si="1"/>
        <v>0</v>
      </c>
      <c r="AH10" s="1081">
        <f t="shared" si="1"/>
        <v>0</v>
      </c>
      <c r="AI10" s="1081">
        <f t="shared" si="1"/>
        <v>0</v>
      </c>
      <c r="AJ10" s="1081">
        <f t="shared" si="1"/>
        <v>0</v>
      </c>
      <c r="AK10" s="1081">
        <f t="shared" si="1"/>
        <v>0</v>
      </c>
      <c r="AL10" s="1081">
        <f t="shared" si="1"/>
        <v>0</v>
      </c>
      <c r="AM10" s="1081">
        <f t="shared" si="1"/>
        <v>0</v>
      </c>
      <c r="AN10" s="1081">
        <f t="shared" si="1"/>
        <v>0</v>
      </c>
      <c r="AO10" s="1081">
        <f t="shared" si="1"/>
        <v>0</v>
      </c>
      <c r="AP10" s="1081">
        <f t="shared" si="1"/>
        <v>0</v>
      </c>
      <c r="AQ10" s="1081">
        <f t="shared" si="1"/>
        <v>0</v>
      </c>
      <c r="AR10" s="1081">
        <f t="shared" si="1"/>
        <v>0</v>
      </c>
      <c r="AS10" s="1081">
        <f t="shared" si="1"/>
        <v>0</v>
      </c>
      <c r="AT10" s="1081">
        <f t="shared" si="1"/>
        <v>0</v>
      </c>
      <c r="AU10" s="1081">
        <f t="shared" si="1"/>
        <v>0</v>
      </c>
      <c r="AV10" s="1081">
        <f t="shared" si="1"/>
        <v>0</v>
      </c>
      <c r="AW10" s="1081">
        <f t="shared" si="1"/>
        <v>0</v>
      </c>
      <c r="AX10" s="1081">
        <f t="shared" si="1"/>
        <v>0</v>
      </c>
    </row>
    <row r="11" spans="1:50" ht="15" customHeight="1" x14ac:dyDescent="0.25">
      <c r="E11" s="544" t="str">
        <f>Translate!E712</f>
        <v>Exploration costs</v>
      </c>
      <c r="F11" s="1082"/>
      <c r="G11" s="544" t="str">
        <f xml:space="preserve"> Inputs!F$52</f>
        <v>US$ mn 2021</v>
      </c>
      <c r="H11" s="544"/>
      <c r="I11" s="544">
        <f t="shared" si="0"/>
        <v>420</v>
      </c>
      <c r="J11" s="1023"/>
      <c r="K11" s="1081">
        <v>50</v>
      </c>
      <c r="L11" s="1081">
        <v>200</v>
      </c>
      <c r="M11" s="1081">
        <v>150</v>
      </c>
      <c r="N11" s="1081">
        <v>20</v>
      </c>
      <c r="O11" s="1081"/>
      <c r="P11" s="1081"/>
      <c r="Q11" s="1081">
        <v>0</v>
      </c>
      <c r="R11" s="1081">
        <v>0</v>
      </c>
      <c r="S11" s="1081">
        <v>0</v>
      </c>
      <c r="T11" s="1081">
        <v>0</v>
      </c>
      <c r="U11" s="1081">
        <v>0</v>
      </c>
      <c r="V11" s="1081">
        <v>0</v>
      </c>
      <c r="W11" s="1081">
        <v>0</v>
      </c>
      <c r="X11" s="1081">
        <v>0</v>
      </c>
      <c r="Y11" s="1081">
        <v>0</v>
      </c>
      <c r="Z11" s="1081">
        <v>0</v>
      </c>
      <c r="AA11" s="1081">
        <v>0</v>
      </c>
      <c r="AB11" s="1081">
        <v>0</v>
      </c>
      <c r="AC11" s="1081">
        <v>0</v>
      </c>
      <c r="AD11" s="1081">
        <v>0</v>
      </c>
      <c r="AE11" s="1081">
        <v>0</v>
      </c>
      <c r="AF11" s="1081">
        <v>0</v>
      </c>
      <c r="AG11" s="1081">
        <v>0</v>
      </c>
      <c r="AH11" s="1081">
        <v>0</v>
      </c>
      <c r="AI11" s="1081">
        <v>0</v>
      </c>
      <c r="AJ11" s="1081">
        <v>0</v>
      </c>
      <c r="AK11" s="1081">
        <v>0</v>
      </c>
      <c r="AL11" s="1081">
        <v>0</v>
      </c>
      <c r="AM11" s="1081">
        <v>0</v>
      </c>
      <c r="AN11" s="1081">
        <v>0</v>
      </c>
      <c r="AO11" s="1081">
        <v>0</v>
      </c>
      <c r="AP11" s="1081">
        <v>0</v>
      </c>
      <c r="AQ11" s="1081">
        <v>0</v>
      </c>
      <c r="AR11" s="1081">
        <v>0</v>
      </c>
      <c r="AS11" s="1081">
        <v>0</v>
      </c>
      <c r="AT11" s="1081">
        <v>0</v>
      </c>
      <c r="AU11" s="1081">
        <v>0</v>
      </c>
      <c r="AV11" s="1081">
        <v>0</v>
      </c>
      <c r="AW11" s="1081">
        <v>0</v>
      </c>
      <c r="AX11" s="1081"/>
    </row>
    <row r="12" spans="1:50" ht="15" customHeight="1" x14ac:dyDescent="0.25">
      <c r="E12" s="544" t="str">
        <f>Translate!E713</f>
        <v>Development costs</v>
      </c>
      <c r="F12" s="1082"/>
      <c r="G12" s="544" t="str">
        <f xml:space="preserve"> Inputs!F$52</f>
        <v>US$ mn 2021</v>
      </c>
      <c r="H12" s="544"/>
      <c r="I12" s="544">
        <f t="shared" si="0"/>
        <v>9050</v>
      </c>
      <c r="J12" s="1023"/>
      <c r="K12" s="1081">
        <v>0</v>
      </c>
      <c r="L12" s="1081">
        <v>0</v>
      </c>
      <c r="M12" s="1081">
        <v>0</v>
      </c>
      <c r="N12" s="1081">
        <v>0</v>
      </c>
      <c r="O12" s="1081">
        <v>50</v>
      </c>
      <c r="P12" s="1081">
        <v>300</v>
      </c>
      <c r="Q12" s="1081">
        <v>1200</v>
      </c>
      <c r="R12" s="1081">
        <v>1200</v>
      </c>
      <c r="S12" s="1081">
        <v>2100</v>
      </c>
      <c r="T12" s="1081">
        <v>1100</v>
      </c>
      <c r="U12" s="1081">
        <v>450</v>
      </c>
      <c r="V12" s="1081">
        <v>250</v>
      </c>
      <c r="W12" s="1081">
        <v>250</v>
      </c>
      <c r="X12" s="1081">
        <v>250</v>
      </c>
      <c r="Y12" s="1081">
        <v>250</v>
      </c>
      <c r="Z12" s="1081">
        <v>250</v>
      </c>
      <c r="AA12" s="1081">
        <v>250</v>
      </c>
      <c r="AB12" s="1081">
        <v>250</v>
      </c>
      <c r="AC12" s="1081">
        <v>250</v>
      </c>
      <c r="AD12" s="1081">
        <v>250</v>
      </c>
      <c r="AE12" s="1081">
        <v>0</v>
      </c>
      <c r="AF12" s="1081">
        <v>0</v>
      </c>
      <c r="AG12" s="1081">
        <v>200</v>
      </c>
      <c r="AH12" s="1081">
        <v>200</v>
      </c>
      <c r="AI12" s="1081">
        <v>0</v>
      </c>
      <c r="AJ12" s="1081">
        <v>0</v>
      </c>
      <c r="AK12" s="1081">
        <v>0</v>
      </c>
      <c r="AL12" s="1081">
        <v>0</v>
      </c>
      <c r="AM12" s="1081">
        <v>0</v>
      </c>
      <c r="AN12" s="1081">
        <v>0</v>
      </c>
      <c r="AO12" s="1081">
        <v>0</v>
      </c>
      <c r="AP12" s="1081">
        <v>0</v>
      </c>
      <c r="AQ12" s="1081">
        <v>0</v>
      </c>
      <c r="AR12" s="1081">
        <v>0</v>
      </c>
      <c r="AS12" s="1081">
        <v>0</v>
      </c>
      <c r="AT12" s="1081">
        <v>0</v>
      </c>
      <c r="AU12" s="1081">
        <v>0</v>
      </c>
      <c r="AV12" s="1081">
        <v>0</v>
      </c>
      <c r="AW12" s="1081">
        <v>0</v>
      </c>
      <c r="AX12" s="1081">
        <v>0</v>
      </c>
    </row>
    <row r="13" spans="1:50" ht="15" customHeight="1" x14ac:dyDescent="0.25">
      <c r="E13" s="544" t="str">
        <f>Translate!E714</f>
        <v>Replacement capital costs</v>
      </c>
      <c r="F13" s="1082"/>
      <c r="G13" s="544" t="str">
        <f xml:space="preserve"> Inputs!F$52</f>
        <v>US$ mn 2021</v>
      </c>
      <c r="H13" s="544"/>
      <c r="I13" s="544">
        <f t="shared" si="0"/>
        <v>0</v>
      </c>
      <c r="J13" s="1023"/>
      <c r="K13" s="1081"/>
      <c r="L13" s="1081"/>
      <c r="M13" s="1081"/>
      <c r="N13" s="1081"/>
      <c r="O13" s="1081"/>
      <c r="P13" s="1081"/>
      <c r="Q13" s="1081"/>
      <c r="R13" s="1081"/>
      <c r="S13" s="1081"/>
      <c r="T13" s="1081"/>
      <c r="U13" s="1081"/>
      <c r="V13" s="1081"/>
      <c r="W13" s="1081"/>
      <c r="X13" s="1081"/>
      <c r="Y13" s="1081"/>
      <c r="Z13" s="1081"/>
      <c r="AA13" s="1081"/>
      <c r="AB13" s="1081"/>
      <c r="AC13" s="1081"/>
      <c r="AD13" s="1081"/>
      <c r="AE13" s="1081"/>
      <c r="AF13" s="1081"/>
      <c r="AG13" s="1081"/>
      <c r="AH13" s="1081"/>
      <c r="AI13" s="1081"/>
      <c r="AJ13" s="1081"/>
      <c r="AK13" s="1081"/>
      <c r="AL13" s="1081"/>
      <c r="AM13" s="1081"/>
      <c r="AN13" s="1081"/>
      <c r="AO13" s="1081"/>
      <c r="AP13" s="1081"/>
      <c r="AQ13" s="1081"/>
      <c r="AR13" s="1081"/>
      <c r="AS13" s="1081"/>
      <c r="AT13" s="1081"/>
      <c r="AU13" s="1081"/>
      <c r="AV13" s="1081"/>
      <c r="AW13" s="1081"/>
      <c r="AX13" s="1081"/>
    </row>
    <row r="14" spans="1:50" ht="15" customHeight="1" x14ac:dyDescent="0.25">
      <c r="E14" s="544" t="str">
        <f>Translate!E715</f>
        <v>Operating costs</v>
      </c>
      <c r="F14" s="1082"/>
      <c r="G14" s="544" t="str">
        <f xml:space="preserve"> Inputs!F$52</f>
        <v>US$ mn 2021</v>
      </c>
      <c r="H14" s="544"/>
      <c r="I14" s="544">
        <f t="shared" si="0"/>
        <v>4601</v>
      </c>
      <c r="J14" s="1023"/>
      <c r="K14" s="1081"/>
      <c r="L14" s="1081">
        <v>0</v>
      </c>
      <c r="M14" s="1081"/>
      <c r="N14" s="1081"/>
      <c r="O14" s="1081"/>
      <c r="P14" s="1081"/>
      <c r="Q14" s="1081"/>
      <c r="R14" s="1081">
        <v>50</v>
      </c>
      <c r="S14" s="1081">
        <v>180</v>
      </c>
      <c r="T14" s="1081">
        <v>260</v>
      </c>
      <c r="U14" s="1081">
        <v>260</v>
      </c>
      <c r="V14" s="1081">
        <v>260</v>
      </c>
      <c r="W14" s="1081">
        <v>260</v>
      </c>
      <c r="X14" s="1081">
        <v>260</v>
      </c>
      <c r="Y14" s="1081">
        <v>260</v>
      </c>
      <c r="Z14" s="1081">
        <v>260</v>
      </c>
      <c r="AA14" s="1081">
        <v>260</v>
      </c>
      <c r="AB14" s="1081">
        <v>260</v>
      </c>
      <c r="AC14" s="1081">
        <v>260</v>
      </c>
      <c r="AD14" s="1081">
        <v>260</v>
      </c>
      <c r="AE14" s="1081">
        <v>260</v>
      </c>
      <c r="AF14" s="1081">
        <v>150</v>
      </c>
      <c r="AG14" s="1081">
        <v>140</v>
      </c>
      <c r="AH14" s="1081">
        <v>120</v>
      </c>
      <c r="AI14" s="1081">
        <v>111</v>
      </c>
      <c r="AJ14" s="1081">
        <v>100</v>
      </c>
      <c r="AK14" s="1081">
        <v>95</v>
      </c>
      <c r="AL14" s="1081">
        <v>90</v>
      </c>
      <c r="AM14" s="1081">
        <v>85</v>
      </c>
      <c r="AN14" s="1081">
        <v>80</v>
      </c>
      <c r="AO14" s="1081">
        <v>75</v>
      </c>
      <c r="AP14" s="1081">
        <v>70</v>
      </c>
      <c r="AQ14" s="1081">
        <v>70</v>
      </c>
      <c r="AR14" s="1081">
        <v>65</v>
      </c>
      <c r="AS14" s="1081"/>
      <c r="AT14" s="1081"/>
      <c r="AU14" s="1081"/>
      <c r="AV14" s="1081"/>
      <c r="AW14" s="1081"/>
      <c r="AX14" s="1081"/>
    </row>
    <row r="15" spans="1:50" ht="15" customHeight="1" x14ac:dyDescent="0.25">
      <c r="E15" s="544" t="str">
        <f>Translate!E716</f>
        <v>Decommissioning costs</v>
      </c>
      <c r="F15" s="1082"/>
      <c r="G15" s="544" t="str">
        <f xml:space="preserve"> Inputs!F$52</f>
        <v>US$ mn 2021</v>
      </c>
      <c r="H15" s="544"/>
      <c r="I15" s="544">
        <f t="shared" si="0"/>
        <v>750</v>
      </c>
      <c r="J15" s="544"/>
      <c r="K15" s="1081"/>
      <c r="L15" s="1081"/>
      <c r="M15" s="1081"/>
      <c r="N15" s="1081"/>
      <c r="O15" s="1081">
        <v>0</v>
      </c>
      <c r="P15" s="1081">
        <v>0</v>
      </c>
      <c r="Q15" s="1081">
        <v>0</v>
      </c>
      <c r="R15" s="1081">
        <v>0</v>
      </c>
      <c r="S15" s="1081">
        <v>0</v>
      </c>
      <c r="T15" s="1081">
        <v>0</v>
      </c>
      <c r="U15" s="1081">
        <v>0</v>
      </c>
      <c r="V15" s="1081">
        <v>0</v>
      </c>
      <c r="W15" s="1081">
        <v>0</v>
      </c>
      <c r="X15" s="1081">
        <v>0</v>
      </c>
      <c r="Y15" s="1081">
        <v>0</v>
      </c>
      <c r="Z15" s="1081">
        <v>0</v>
      </c>
      <c r="AA15" s="1081">
        <v>0</v>
      </c>
      <c r="AB15" s="1081">
        <v>0</v>
      </c>
      <c r="AC15" s="1081">
        <v>0</v>
      </c>
      <c r="AD15" s="1081">
        <v>0</v>
      </c>
      <c r="AE15" s="1081">
        <v>0</v>
      </c>
      <c r="AF15" s="1081">
        <v>0</v>
      </c>
      <c r="AG15" s="1081">
        <v>0</v>
      </c>
      <c r="AH15" s="1081">
        <v>0</v>
      </c>
      <c r="AI15" s="1081">
        <v>0</v>
      </c>
      <c r="AJ15" s="1081">
        <v>0</v>
      </c>
      <c r="AK15" s="1081">
        <v>0</v>
      </c>
      <c r="AL15" s="1081">
        <v>0</v>
      </c>
      <c r="AM15" s="1081">
        <v>0</v>
      </c>
      <c r="AN15" s="1081"/>
      <c r="AO15" s="1081">
        <v>250</v>
      </c>
      <c r="AP15" s="1081">
        <v>0</v>
      </c>
      <c r="AQ15" s="1081">
        <v>0</v>
      </c>
      <c r="AR15" s="1081">
        <v>0</v>
      </c>
      <c r="AS15" s="1081">
        <v>250</v>
      </c>
      <c r="AT15" s="1081">
        <v>250</v>
      </c>
      <c r="AU15" s="1081">
        <v>0</v>
      </c>
      <c r="AV15" s="1081">
        <v>0</v>
      </c>
      <c r="AW15" s="1081">
        <v>0</v>
      </c>
      <c r="AX15" s="1081"/>
    </row>
    <row r="16" spans="1:50" ht="15" customHeight="1" x14ac:dyDescent="0.25">
      <c r="E16" s="544" t="str">
        <f>Translate!E717</f>
        <v>Total costs</v>
      </c>
      <c r="F16" s="1082"/>
      <c r="G16" s="544" t="str">
        <f xml:space="preserve"> Inputs!F$52</f>
        <v>US$ mn 2021</v>
      </c>
      <c r="H16" s="544"/>
      <c r="I16" s="544">
        <f xml:space="preserve"> SUM(K16:AX16)</f>
        <v>14821</v>
      </c>
      <c r="J16" s="1023"/>
      <c r="K16" s="1023">
        <f xml:space="preserve"> SUM(K10:K15)</f>
        <v>50</v>
      </c>
      <c r="L16" s="1023">
        <f t="shared" ref="L16:AX16" si="2" xml:space="preserve"> SUM(L10:L15)</f>
        <v>200</v>
      </c>
      <c r="M16" s="1023">
        <f t="shared" si="2"/>
        <v>150</v>
      </c>
      <c r="N16" s="1023">
        <f t="shared" si="2"/>
        <v>20</v>
      </c>
      <c r="O16" s="1023">
        <f t="shared" si="2"/>
        <v>50</v>
      </c>
      <c r="P16" s="1023">
        <f t="shared" si="2"/>
        <v>300</v>
      </c>
      <c r="Q16" s="1023">
        <f t="shared" si="2"/>
        <v>1200</v>
      </c>
      <c r="R16" s="1023">
        <f t="shared" si="2"/>
        <v>1250</v>
      </c>
      <c r="S16" s="1023">
        <f t="shared" si="2"/>
        <v>2280</v>
      </c>
      <c r="T16" s="1023">
        <f t="shared" si="2"/>
        <v>1360</v>
      </c>
      <c r="U16" s="1023">
        <f t="shared" si="2"/>
        <v>710</v>
      </c>
      <c r="V16" s="1023">
        <f t="shared" si="2"/>
        <v>510</v>
      </c>
      <c r="W16" s="1023">
        <f t="shared" si="2"/>
        <v>510</v>
      </c>
      <c r="X16" s="1023">
        <f t="shared" si="2"/>
        <v>510</v>
      </c>
      <c r="Y16" s="1023">
        <f t="shared" si="2"/>
        <v>510</v>
      </c>
      <c r="Z16" s="1023">
        <f t="shared" si="2"/>
        <v>510</v>
      </c>
      <c r="AA16" s="1023">
        <f t="shared" si="2"/>
        <v>510</v>
      </c>
      <c r="AB16" s="1023">
        <f t="shared" si="2"/>
        <v>510</v>
      </c>
      <c r="AC16" s="1023">
        <f t="shared" si="2"/>
        <v>510</v>
      </c>
      <c r="AD16" s="1023">
        <f t="shared" si="2"/>
        <v>510</v>
      </c>
      <c r="AE16" s="1023">
        <f t="shared" si="2"/>
        <v>260</v>
      </c>
      <c r="AF16" s="1023">
        <f t="shared" si="2"/>
        <v>150</v>
      </c>
      <c r="AG16" s="1023">
        <f t="shared" si="2"/>
        <v>340</v>
      </c>
      <c r="AH16" s="1023">
        <f t="shared" si="2"/>
        <v>320</v>
      </c>
      <c r="AI16" s="1023">
        <f t="shared" si="2"/>
        <v>111</v>
      </c>
      <c r="AJ16" s="1023">
        <f t="shared" si="2"/>
        <v>100</v>
      </c>
      <c r="AK16" s="1023">
        <f t="shared" si="2"/>
        <v>95</v>
      </c>
      <c r="AL16" s="1023">
        <f t="shared" si="2"/>
        <v>90</v>
      </c>
      <c r="AM16" s="1023">
        <f t="shared" si="2"/>
        <v>85</v>
      </c>
      <c r="AN16" s="1023">
        <f t="shared" si="2"/>
        <v>80</v>
      </c>
      <c r="AO16" s="1023">
        <f t="shared" si="2"/>
        <v>325</v>
      </c>
      <c r="AP16" s="1023">
        <f t="shared" si="2"/>
        <v>70</v>
      </c>
      <c r="AQ16" s="1023">
        <f t="shared" si="2"/>
        <v>70</v>
      </c>
      <c r="AR16" s="1023">
        <f t="shared" si="2"/>
        <v>65</v>
      </c>
      <c r="AS16" s="1023">
        <f t="shared" si="2"/>
        <v>250</v>
      </c>
      <c r="AT16" s="1023">
        <f t="shared" si="2"/>
        <v>250</v>
      </c>
      <c r="AU16" s="1023">
        <f t="shared" si="2"/>
        <v>0</v>
      </c>
      <c r="AV16" s="1023">
        <f t="shared" si="2"/>
        <v>0</v>
      </c>
      <c r="AW16" s="1023">
        <f t="shared" si="2"/>
        <v>0</v>
      </c>
      <c r="AX16" s="1023">
        <f t="shared" si="2"/>
        <v>0</v>
      </c>
    </row>
    <row r="17" spans="2:50" ht="15" customHeight="1" x14ac:dyDescent="0.25">
      <c r="E17" s="544"/>
      <c r="F17" s="544"/>
      <c r="G17" s="544"/>
      <c r="H17" s="544"/>
      <c r="I17" s="544"/>
      <c r="J17" s="1023"/>
      <c r="K17" s="1023"/>
      <c r="L17" s="1023"/>
      <c r="M17" s="1023"/>
      <c r="N17" s="1023"/>
      <c r="O17" s="1023"/>
      <c r="P17" s="1023"/>
      <c r="Q17" s="1023"/>
      <c r="R17" s="1023"/>
      <c r="S17" s="1023"/>
      <c r="T17" s="1023"/>
      <c r="U17" s="1023"/>
      <c r="V17" s="1023"/>
      <c r="W17" s="1023"/>
      <c r="X17" s="1023"/>
      <c r="Y17" s="1023"/>
      <c r="Z17" s="1023"/>
      <c r="AA17" s="1023"/>
      <c r="AB17" s="1023"/>
      <c r="AC17" s="1023"/>
      <c r="AD17" s="1023"/>
      <c r="AE17" s="1023"/>
      <c r="AF17" s="1023"/>
      <c r="AG17" s="1023"/>
      <c r="AH17" s="1023"/>
      <c r="AI17" s="1023"/>
      <c r="AJ17" s="1023"/>
      <c r="AK17" s="1023"/>
      <c r="AL17" s="1023"/>
      <c r="AM17" s="1023"/>
      <c r="AN17" s="1023"/>
      <c r="AO17" s="1023"/>
      <c r="AP17" s="1023"/>
      <c r="AQ17" s="1023"/>
      <c r="AR17" s="1023"/>
      <c r="AS17" s="1023"/>
      <c r="AT17" s="1023"/>
      <c r="AU17" s="1023"/>
      <c r="AV17" s="1023"/>
      <c r="AW17" s="1023"/>
      <c r="AX17" s="1023"/>
    </row>
    <row r="18" spans="2:50" ht="15" customHeight="1" x14ac:dyDescent="0.25">
      <c r="E18" s="304" t="str">
        <f xml:space="preserve"> Inputs!E$79</f>
        <v>Production days per year</v>
      </c>
      <c r="F18" s="304">
        <f xml:space="preserve"> Inputs!F$79</f>
        <v>365</v>
      </c>
      <c r="G18" s="304" t="str">
        <f xml:space="preserve"> Inputs!G$79</f>
        <v>Days</v>
      </c>
      <c r="H18" s="544"/>
      <c r="I18" s="544"/>
      <c r="J18" s="1023"/>
      <c r="K18" s="1083"/>
      <c r="L18" s="1083"/>
      <c r="M18" s="1083"/>
      <c r="N18" s="1083"/>
      <c r="O18" s="1023"/>
      <c r="P18" s="1023"/>
      <c r="Q18" s="1023"/>
      <c r="R18" s="1023"/>
      <c r="S18" s="1023"/>
      <c r="T18" s="1023"/>
      <c r="U18" s="1023"/>
      <c r="V18" s="1023"/>
      <c r="W18" s="1023"/>
      <c r="X18" s="1023"/>
      <c r="Y18" s="1023"/>
      <c r="Z18" s="1023"/>
      <c r="AA18" s="1023"/>
      <c r="AB18" s="1023"/>
      <c r="AC18" s="1023"/>
      <c r="AD18" s="1023"/>
      <c r="AE18" s="1023"/>
      <c r="AF18" s="1023"/>
      <c r="AG18" s="1023"/>
      <c r="AH18" s="1023"/>
      <c r="AI18" s="1023"/>
      <c r="AJ18" s="1023"/>
      <c r="AK18" s="1023"/>
      <c r="AL18" s="1023"/>
      <c r="AM18" s="1023"/>
      <c r="AN18" s="1023"/>
      <c r="AO18" s="1023"/>
      <c r="AP18" s="1023"/>
      <c r="AQ18" s="1023"/>
      <c r="AR18" s="1023"/>
      <c r="AS18" s="1023"/>
      <c r="AT18" s="1023"/>
      <c r="AU18" s="1023"/>
      <c r="AV18" s="1023"/>
      <c r="AW18" s="1023"/>
      <c r="AX18" s="1023"/>
    </row>
    <row r="19" spans="2:50" ht="15" customHeight="1" x14ac:dyDescent="0.25">
      <c r="E19" s="304" t="str">
        <f xml:space="preserve"> Inputs!E$81</f>
        <v>one thousand</v>
      </c>
      <c r="F19" s="304">
        <f xml:space="preserve"> Inputs!F$81</f>
        <v>1000</v>
      </c>
      <c r="G19" s="304" t="str">
        <f xml:space="preserve"> Inputs!G$81</f>
        <v>Constant</v>
      </c>
      <c r="H19" s="544"/>
      <c r="I19" s="544"/>
      <c r="J19" s="1023"/>
      <c r="K19" s="1023"/>
      <c r="L19" s="1023"/>
      <c r="M19" s="1023"/>
      <c r="N19" s="1023"/>
      <c r="O19" s="1023"/>
      <c r="P19" s="1023"/>
      <c r="Q19" s="1023"/>
      <c r="R19" s="1023"/>
      <c r="S19" s="1023"/>
      <c r="T19" s="1023"/>
      <c r="U19" s="1023"/>
      <c r="V19" s="1023"/>
      <c r="W19" s="1023"/>
      <c r="X19" s="1023"/>
      <c r="Y19" s="1023"/>
      <c r="Z19" s="1023"/>
      <c r="AA19" s="1023"/>
      <c r="AB19" s="1023"/>
      <c r="AC19" s="1023"/>
      <c r="AD19" s="1023"/>
      <c r="AE19" s="1023"/>
      <c r="AF19" s="1023"/>
      <c r="AG19" s="1023"/>
      <c r="AH19" s="1023"/>
      <c r="AI19" s="1023"/>
      <c r="AJ19" s="1023"/>
      <c r="AK19" s="1023"/>
      <c r="AL19" s="1023"/>
      <c r="AM19" s="1023"/>
      <c r="AN19" s="1023"/>
      <c r="AO19" s="1023"/>
      <c r="AP19" s="1023"/>
      <c r="AQ19" s="1023"/>
      <c r="AR19" s="1023"/>
      <c r="AS19" s="1023"/>
      <c r="AT19" s="1023"/>
      <c r="AU19" s="1023"/>
      <c r="AV19" s="1023"/>
      <c r="AW19" s="1023"/>
      <c r="AX19" s="1023"/>
    </row>
    <row r="20" spans="2:50" ht="15" customHeight="1" x14ac:dyDescent="0.25">
      <c r="E20" s="544" t="str">
        <f>Translate!E$601 &amp; ": " &amp; Translate!E718</f>
        <v>Total: Oil production</v>
      </c>
      <c r="F20" s="544">
        <f xml:space="preserve"> SUM(K9:AX9) * F18 / F19</f>
        <v>801.87316114953683</v>
      </c>
      <c r="G20" s="544" t="str">
        <f xml:space="preserve"> Translate!E$88</f>
        <v>Mn Bbl</v>
      </c>
      <c r="H20" s="544"/>
      <c r="I20" s="544"/>
      <c r="J20" s="1023"/>
      <c r="K20" s="1023"/>
      <c r="L20" s="1023"/>
      <c r="M20" s="1023"/>
      <c r="N20" s="1023"/>
      <c r="O20" s="1023"/>
      <c r="P20" s="1023"/>
      <c r="Q20" s="1023"/>
      <c r="R20" s="1023"/>
      <c r="S20" s="1023"/>
      <c r="T20" s="1023"/>
      <c r="U20" s="1023"/>
      <c r="V20" s="1023"/>
      <c r="W20" s="1023"/>
      <c r="X20" s="1023"/>
      <c r="Y20" s="1023"/>
      <c r="Z20" s="1023"/>
      <c r="AA20" s="1023"/>
      <c r="AB20" s="1023"/>
      <c r="AC20" s="1023"/>
      <c r="AD20" s="1023"/>
      <c r="AE20" s="1023"/>
      <c r="AF20" s="1023"/>
      <c r="AG20" s="1023"/>
      <c r="AH20" s="1023"/>
      <c r="AI20" s="1023"/>
      <c r="AJ20" s="1023"/>
      <c r="AK20" s="1023"/>
      <c r="AL20" s="1023"/>
      <c r="AM20" s="1023"/>
      <c r="AN20" s="1023"/>
      <c r="AO20" s="1023"/>
      <c r="AP20" s="1023"/>
      <c r="AQ20" s="1023"/>
      <c r="AR20" s="1023"/>
      <c r="AS20" s="1023"/>
      <c r="AT20" s="1023"/>
      <c r="AU20" s="1023"/>
      <c r="AV20" s="1023"/>
      <c r="AW20" s="1023"/>
      <c r="AX20" s="1023"/>
    </row>
    <row r="21" spans="2:50" ht="15" customHeight="1" x14ac:dyDescent="0.25">
      <c r="E21" s="544"/>
      <c r="F21" s="544"/>
      <c r="G21" s="544"/>
      <c r="H21" s="544"/>
      <c r="I21" s="544"/>
      <c r="J21" s="1023"/>
      <c r="K21" s="1023"/>
      <c r="L21" s="1023"/>
      <c r="M21" s="1023"/>
      <c r="N21" s="1023"/>
      <c r="O21" s="1023"/>
      <c r="P21" s="1023"/>
      <c r="Q21" s="1023"/>
      <c r="R21" s="1023"/>
      <c r="S21" s="1023"/>
      <c r="T21" s="1023"/>
      <c r="U21" s="1023"/>
      <c r="V21" s="1023"/>
      <c r="W21" s="1023"/>
      <c r="X21" s="1023"/>
      <c r="Y21" s="1023"/>
      <c r="Z21" s="1023"/>
      <c r="AA21" s="1023"/>
      <c r="AB21" s="1023"/>
      <c r="AC21" s="1023"/>
      <c r="AD21" s="1023"/>
      <c r="AE21" s="1023"/>
      <c r="AF21" s="1023"/>
      <c r="AG21" s="1023"/>
      <c r="AH21" s="1023"/>
      <c r="AI21" s="1023"/>
      <c r="AJ21" s="1023"/>
      <c r="AK21" s="1023"/>
      <c r="AL21" s="1023"/>
      <c r="AM21" s="1023"/>
      <c r="AN21" s="1023"/>
      <c r="AO21" s="1023"/>
      <c r="AP21" s="1023"/>
      <c r="AQ21" s="1023"/>
      <c r="AR21" s="1023"/>
      <c r="AS21" s="1023"/>
      <c r="AT21" s="1023"/>
      <c r="AU21" s="1023"/>
      <c r="AV21" s="1023"/>
      <c r="AW21" s="1023"/>
      <c r="AX21" s="1023"/>
    </row>
    <row r="22" spans="2:50" ht="15" customHeight="1" x14ac:dyDescent="0.25">
      <c r="B22" s="21" t="str">
        <f>Translate!E$725</f>
        <v>Cost inputs</v>
      </c>
      <c r="E22" s="544"/>
      <c r="F22" s="544"/>
      <c r="G22" s="544"/>
      <c r="H22" s="544"/>
      <c r="I22" s="544"/>
      <c r="J22" s="1023"/>
      <c r="K22" s="1023"/>
      <c r="L22" s="1023"/>
      <c r="M22" s="1023"/>
      <c r="N22" s="1023"/>
      <c r="O22" s="1023"/>
      <c r="P22" s="1023"/>
      <c r="Q22" s="1023"/>
      <c r="R22" s="1023"/>
      <c r="S22" s="1023"/>
      <c r="T22" s="1023"/>
      <c r="U22" s="1023"/>
      <c r="V22" s="1023"/>
      <c r="W22" s="1023"/>
      <c r="X22" s="1023"/>
      <c r="Y22" s="1023"/>
      <c r="Z22" s="1023"/>
      <c r="AA22" s="1023"/>
      <c r="AB22" s="1023"/>
      <c r="AC22" s="1023"/>
      <c r="AD22" s="1023"/>
      <c r="AE22" s="1023"/>
      <c r="AF22" s="1023"/>
      <c r="AG22" s="1023"/>
      <c r="AH22" s="1023"/>
      <c r="AI22" s="1023"/>
      <c r="AJ22" s="1023"/>
      <c r="AK22" s="1023"/>
      <c r="AL22" s="1023"/>
      <c r="AM22" s="1023"/>
      <c r="AN22" s="1023"/>
      <c r="AO22" s="1023"/>
      <c r="AP22" s="1023"/>
      <c r="AQ22" s="1023"/>
      <c r="AR22" s="1023"/>
      <c r="AS22" s="1023"/>
      <c r="AT22" s="1023"/>
      <c r="AU22" s="1023"/>
      <c r="AV22" s="1023"/>
      <c r="AW22" s="1023"/>
      <c r="AX22" s="1023"/>
    </row>
    <row r="23" spans="2:50" ht="15" customHeight="1" x14ac:dyDescent="0.25">
      <c r="E23" s="544" t="str">
        <f>E10</f>
        <v>Transport costs post-fiscal point</v>
      </c>
      <c r="F23" s="1081">
        <v>0</v>
      </c>
      <c r="G23" s="190" t="str">
        <f xml:space="preserve"> Inputs!F$56</f>
        <v>US$ 2021 / bbl</v>
      </c>
      <c r="H23" s="544"/>
      <c r="I23" s="544"/>
      <c r="J23" s="1023"/>
      <c r="K23" s="1023"/>
      <c r="L23" s="1023"/>
      <c r="M23" s="1023"/>
      <c r="N23" s="1023"/>
      <c r="O23" s="1023"/>
      <c r="P23" s="1023"/>
      <c r="Q23" s="1023"/>
      <c r="R23" s="1023"/>
      <c r="S23" s="1023"/>
      <c r="T23" s="1023"/>
      <c r="U23" s="1023"/>
      <c r="V23" s="1023"/>
      <c r="W23" s="1023"/>
      <c r="X23" s="1023"/>
      <c r="Y23" s="1023"/>
      <c r="Z23" s="1023"/>
      <c r="AA23" s="1023"/>
      <c r="AB23" s="1023"/>
      <c r="AC23" s="1023"/>
      <c r="AD23" s="1023"/>
      <c r="AE23" s="1023"/>
      <c r="AF23" s="1023"/>
      <c r="AG23" s="1023"/>
      <c r="AH23" s="1023"/>
      <c r="AI23" s="1023"/>
      <c r="AJ23" s="1023"/>
      <c r="AK23" s="1023"/>
      <c r="AL23" s="1023"/>
      <c r="AM23" s="1023"/>
      <c r="AN23" s="1023"/>
      <c r="AO23" s="1023"/>
      <c r="AP23" s="1023"/>
      <c r="AQ23" s="1023"/>
      <c r="AR23" s="1023"/>
      <c r="AS23" s="1023"/>
      <c r="AT23" s="1023"/>
      <c r="AU23" s="1023"/>
      <c r="AV23" s="1023"/>
      <c r="AW23" s="1023"/>
      <c r="AX23" s="1023"/>
    </row>
    <row r="24" spans="2:50" ht="15" customHeight="1" x14ac:dyDescent="0.25">
      <c r="E24" s="544"/>
      <c r="F24" s="544"/>
      <c r="G24" s="544"/>
      <c r="H24" s="544"/>
      <c r="I24" s="544"/>
      <c r="J24" s="1023"/>
      <c r="K24" s="1023"/>
      <c r="L24" s="1023"/>
      <c r="M24" s="1023"/>
      <c r="N24" s="1023"/>
      <c r="O24" s="1023"/>
      <c r="P24" s="1023"/>
      <c r="Q24" s="1023"/>
      <c r="R24" s="1023"/>
      <c r="S24" s="1023"/>
      <c r="T24" s="1023"/>
      <c r="U24" s="1023"/>
      <c r="V24" s="1023"/>
      <c r="W24" s="1023"/>
      <c r="X24" s="1023"/>
      <c r="Y24" s="1023"/>
      <c r="Z24" s="1023"/>
      <c r="AA24" s="1023"/>
      <c r="AB24" s="1023"/>
      <c r="AC24" s="1023"/>
      <c r="AD24" s="1023"/>
      <c r="AE24" s="1023"/>
      <c r="AF24" s="1023"/>
      <c r="AG24" s="1023"/>
      <c r="AH24" s="1023"/>
      <c r="AI24" s="1023"/>
      <c r="AJ24" s="1023"/>
      <c r="AK24" s="1023"/>
      <c r="AL24" s="1023"/>
      <c r="AM24" s="1023"/>
      <c r="AN24" s="1023"/>
      <c r="AO24" s="1023"/>
      <c r="AP24" s="1023"/>
      <c r="AQ24" s="1023"/>
      <c r="AR24" s="1023"/>
      <c r="AS24" s="1023"/>
      <c r="AT24" s="1023"/>
      <c r="AU24" s="1023"/>
      <c r="AV24" s="1023"/>
      <c r="AW24" s="1023"/>
      <c r="AX24" s="1023"/>
    </row>
    <row r="25" spans="2:50" ht="15" customHeight="1" x14ac:dyDescent="0.25">
      <c r="B25" s="21" t="str">
        <f>Translate!E$727</f>
        <v>Unit costs</v>
      </c>
      <c r="E25" s="544"/>
      <c r="F25" s="544"/>
      <c r="G25" s="544"/>
      <c r="H25" s="544"/>
      <c r="I25" s="544"/>
      <c r="J25" s="1023"/>
      <c r="K25" s="1023"/>
      <c r="L25" s="1023"/>
      <c r="M25" s="1023"/>
      <c r="N25" s="1023"/>
      <c r="O25" s="1023"/>
      <c r="P25" s="1023"/>
      <c r="Q25" s="1023"/>
      <c r="R25" s="1023"/>
      <c r="S25" s="1023"/>
      <c r="T25" s="1023"/>
      <c r="U25" s="1023"/>
      <c r="V25" s="1023"/>
      <c r="W25" s="1023"/>
      <c r="X25" s="1023"/>
      <c r="Y25" s="1023"/>
      <c r="Z25" s="1023"/>
      <c r="AA25" s="1023"/>
      <c r="AB25" s="1023"/>
      <c r="AC25" s="1023"/>
      <c r="AD25" s="1023"/>
      <c r="AE25" s="1023"/>
      <c r="AF25" s="1023"/>
      <c r="AG25" s="1023"/>
      <c r="AH25" s="1023"/>
      <c r="AI25" s="1023"/>
      <c r="AJ25" s="1023"/>
      <c r="AK25" s="1023"/>
      <c r="AL25" s="1023"/>
      <c r="AM25" s="1023"/>
      <c r="AN25" s="1023"/>
      <c r="AO25" s="1023"/>
      <c r="AP25" s="1023"/>
      <c r="AQ25" s="1023"/>
      <c r="AR25" s="1023"/>
      <c r="AS25" s="1023"/>
      <c r="AT25" s="1023"/>
      <c r="AU25" s="1023"/>
      <c r="AV25" s="1023"/>
      <c r="AW25" s="1023"/>
      <c r="AX25" s="1023"/>
    </row>
    <row r="26" spans="2:50" ht="15" customHeight="1" x14ac:dyDescent="0.25">
      <c r="E26" s="544" t="str">
        <f t="shared" ref="E26:E32" si="3" xml:space="preserve"> E10</f>
        <v>Transport costs post-fiscal point</v>
      </c>
      <c r="F26" s="1082">
        <f t="shared" ref="F26:F31" si="4" xml:space="preserve"> SUM(K10:AX10) / F$20</f>
        <v>0</v>
      </c>
      <c r="G26" s="190" t="str">
        <f xml:space="preserve"> Inputs!F$56</f>
        <v>US$ 2021 / bbl</v>
      </c>
      <c r="H26" s="544"/>
      <c r="I26" s="544"/>
      <c r="J26" s="1023"/>
      <c r="K26" s="1023"/>
      <c r="L26" s="1023"/>
      <c r="M26" s="1023"/>
      <c r="N26" s="1023"/>
      <c r="O26" s="1023"/>
      <c r="P26" s="1023"/>
      <c r="Q26" s="1023"/>
      <c r="R26" s="1023"/>
      <c r="S26" s="1023"/>
      <c r="T26" s="1023"/>
      <c r="U26" s="1023"/>
      <c r="V26" s="1023"/>
      <c r="W26" s="1023"/>
      <c r="X26" s="1023"/>
      <c r="Y26" s="1023"/>
      <c r="Z26" s="1023"/>
      <c r="AA26" s="1023"/>
      <c r="AB26" s="1023"/>
      <c r="AC26" s="1023"/>
      <c r="AD26" s="1023"/>
      <c r="AE26" s="1023"/>
      <c r="AF26" s="1023"/>
      <c r="AG26" s="1023"/>
      <c r="AH26" s="1023"/>
      <c r="AI26" s="1023"/>
      <c r="AJ26" s="1023"/>
      <c r="AK26" s="1023"/>
      <c r="AL26" s="1023"/>
      <c r="AM26" s="1023"/>
      <c r="AN26" s="1023"/>
      <c r="AO26" s="1023"/>
      <c r="AP26" s="1023"/>
      <c r="AQ26" s="1023"/>
      <c r="AR26" s="1023"/>
      <c r="AS26" s="1023"/>
      <c r="AT26" s="1023"/>
      <c r="AU26" s="1023"/>
      <c r="AV26" s="1023"/>
      <c r="AW26" s="1023"/>
      <c r="AX26" s="1023"/>
    </row>
    <row r="27" spans="2:50" ht="15" customHeight="1" x14ac:dyDescent="0.25">
      <c r="E27" s="544" t="str">
        <f t="shared" si="3"/>
        <v>Exploration costs</v>
      </c>
      <c r="F27" s="1082">
        <f t="shared" si="4"/>
        <v>0.52377360952934615</v>
      </c>
      <c r="G27" s="190" t="str">
        <f xml:space="preserve"> Inputs!F$56</f>
        <v>US$ 2021 / bbl</v>
      </c>
      <c r="H27" s="544"/>
      <c r="I27" s="544"/>
      <c r="J27" s="1023"/>
      <c r="K27" s="1023"/>
      <c r="L27" s="1023"/>
      <c r="M27" s="1023"/>
      <c r="N27" s="1023"/>
      <c r="O27" s="1023"/>
      <c r="P27" s="1023"/>
      <c r="Q27" s="1023"/>
      <c r="R27" s="1023"/>
      <c r="S27" s="1023"/>
      <c r="T27" s="1023"/>
      <c r="U27" s="1023"/>
      <c r="V27" s="1023"/>
      <c r="W27" s="1023"/>
      <c r="X27" s="1023"/>
      <c r="Y27" s="1023"/>
      <c r="Z27" s="1023"/>
      <c r="AA27" s="1023"/>
      <c r="AB27" s="1023"/>
      <c r="AC27" s="1023"/>
      <c r="AD27" s="1023"/>
      <c r="AE27" s="1023"/>
      <c r="AF27" s="1023"/>
      <c r="AG27" s="1023"/>
      <c r="AH27" s="1023"/>
      <c r="AI27" s="1023"/>
      <c r="AJ27" s="1023"/>
      <c r="AK27" s="1023"/>
      <c r="AL27" s="1023"/>
      <c r="AM27" s="1023"/>
      <c r="AN27" s="1023"/>
      <c r="AO27" s="1023"/>
      <c r="AP27" s="1023"/>
      <c r="AQ27" s="1023"/>
      <c r="AR27" s="1023"/>
      <c r="AS27" s="1023"/>
      <c r="AT27" s="1023"/>
      <c r="AU27" s="1023"/>
      <c r="AV27" s="1023"/>
      <c r="AW27" s="1023"/>
      <c r="AX27" s="1023"/>
    </row>
    <row r="28" spans="2:50" ht="15" customHeight="1" x14ac:dyDescent="0.25">
      <c r="E28" s="544" t="str">
        <f t="shared" si="3"/>
        <v>Development costs</v>
      </c>
      <c r="F28" s="1082">
        <f t="shared" si="4"/>
        <v>11.286074205334721</v>
      </c>
      <c r="G28" s="190" t="str">
        <f xml:space="preserve"> Inputs!F$56</f>
        <v>US$ 2021 / bbl</v>
      </c>
      <c r="H28" s="544"/>
      <c r="I28" s="544"/>
      <c r="J28" s="1023"/>
      <c r="K28" s="1023"/>
      <c r="L28" s="1023"/>
      <c r="M28" s="1023"/>
      <c r="N28" s="1023"/>
      <c r="O28" s="1023"/>
      <c r="P28" s="1023"/>
      <c r="Q28" s="1023"/>
      <c r="R28" s="1023"/>
      <c r="S28" s="1023"/>
      <c r="T28" s="1023"/>
      <c r="U28" s="1023"/>
      <c r="V28" s="1023"/>
      <c r="W28" s="1023"/>
      <c r="X28" s="1023"/>
      <c r="Y28" s="1023"/>
      <c r="Z28" s="1023"/>
      <c r="AA28" s="1023"/>
      <c r="AB28" s="1023"/>
      <c r="AC28" s="1023"/>
      <c r="AD28" s="1023"/>
      <c r="AE28" s="1023"/>
      <c r="AF28" s="1023"/>
      <c r="AG28" s="1023"/>
      <c r="AH28" s="1023"/>
      <c r="AI28" s="1023"/>
      <c r="AJ28" s="1023"/>
      <c r="AK28" s="1023"/>
      <c r="AL28" s="1023"/>
      <c r="AM28" s="1023"/>
      <c r="AN28" s="1023"/>
      <c r="AO28" s="1023"/>
      <c r="AP28" s="1023"/>
      <c r="AQ28" s="1023"/>
      <c r="AR28" s="1023"/>
      <c r="AS28" s="1023"/>
      <c r="AT28" s="1023"/>
      <c r="AU28" s="1023"/>
      <c r="AV28" s="1023"/>
      <c r="AW28" s="1023"/>
      <c r="AX28" s="1023"/>
    </row>
    <row r="29" spans="2:50" ht="15" customHeight="1" x14ac:dyDescent="0.25">
      <c r="E29" s="544" t="str">
        <f t="shared" si="3"/>
        <v>Replacement capital costs</v>
      </c>
      <c r="F29" s="1082">
        <f t="shared" si="4"/>
        <v>0</v>
      </c>
      <c r="G29" s="190" t="str">
        <f xml:space="preserve"> Inputs!F$56</f>
        <v>US$ 2021 / bbl</v>
      </c>
      <c r="H29" s="544"/>
      <c r="I29" s="544"/>
      <c r="J29" s="1023"/>
      <c r="K29" s="1023"/>
      <c r="L29" s="1023"/>
      <c r="M29" s="1023"/>
      <c r="N29" s="1023"/>
      <c r="O29" s="1023"/>
      <c r="P29" s="1023"/>
      <c r="Q29" s="1023"/>
      <c r="R29" s="1023"/>
      <c r="S29" s="1023"/>
      <c r="T29" s="1023"/>
      <c r="U29" s="1023"/>
      <c r="V29" s="1023"/>
      <c r="W29" s="1023"/>
      <c r="X29" s="1023"/>
      <c r="Y29" s="1023"/>
      <c r="Z29" s="1023"/>
      <c r="AA29" s="1023"/>
      <c r="AB29" s="1023"/>
      <c r="AC29" s="1023"/>
      <c r="AD29" s="1023"/>
      <c r="AE29" s="1023"/>
      <c r="AF29" s="1023"/>
      <c r="AG29" s="1023"/>
      <c r="AH29" s="1023"/>
      <c r="AI29" s="1023"/>
      <c r="AJ29" s="1023"/>
      <c r="AK29" s="1023"/>
      <c r="AL29" s="1023"/>
      <c r="AM29" s="1023"/>
      <c r="AN29" s="1023"/>
      <c r="AO29" s="1023"/>
      <c r="AP29" s="1023"/>
      <c r="AQ29" s="1023"/>
      <c r="AR29" s="1023"/>
      <c r="AS29" s="1023"/>
      <c r="AT29" s="1023"/>
      <c r="AU29" s="1023"/>
      <c r="AV29" s="1023"/>
      <c r="AW29" s="1023"/>
      <c r="AX29" s="1023"/>
    </row>
    <row r="30" spans="2:50" ht="15" customHeight="1" x14ac:dyDescent="0.25">
      <c r="E30" s="544" t="str">
        <f t="shared" si="3"/>
        <v>Operating costs</v>
      </c>
      <c r="F30" s="1082">
        <f t="shared" si="4"/>
        <v>5.7378151843917191</v>
      </c>
      <c r="G30" s="190" t="str">
        <f xml:space="preserve"> Inputs!F$56</f>
        <v>US$ 2021 / bbl</v>
      </c>
      <c r="H30" s="544"/>
      <c r="I30" s="544"/>
      <c r="J30" s="1023"/>
      <c r="K30" s="1023"/>
      <c r="L30" s="1023"/>
      <c r="M30" s="1023"/>
      <c r="N30" s="1023"/>
      <c r="O30" s="1023"/>
      <c r="P30" s="1023"/>
      <c r="Q30" s="1023"/>
      <c r="R30" s="1023"/>
      <c r="S30" s="1023"/>
      <c r="T30" s="1023"/>
      <c r="U30" s="1023"/>
      <c r="V30" s="1023"/>
      <c r="W30" s="1023"/>
      <c r="X30" s="1023"/>
      <c r="Y30" s="1023"/>
      <c r="Z30" s="1023"/>
      <c r="AA30" s="1023"/>
      <c r="AB30" s="1023"/>
      <c r="AC30" s="1023"/>
      <c r="AD30" s="1023"/>
      <c r="AE30" s="1023"/>
      <c r="AF30" s="1023"/>
      <c r="AG30" s="1023"/>
      <c r="AH30" s="1023"/>
      <c r="AI30" s="1023"/>
      <c r="AJ30" s="1023"/>
      <c r="AK30" s="1023"/>
      <c r="AL30" s="1023"/>
      <c r="AM30" s="1023"/>
      <c r="AN30" s="1023"/>
      <c r="AO30" s="1023"/>
      <c r="AP30" s="1023"/>
      <c r="AQ30" s="1023"/>
      <c r="AR30" s="1023"/>
      <c r="AS30" s="1023"/>
      <c r="AT30" s="1023"/>
      <c r="AU30" s="1023"/>
      <c r="AV30" s="1023"/>
      <c r="AW30" s="1023"/>
      <c r="AX30" s="1023"/>
    </row>
    <row r="31" spans="2:50" ht="15" customHeight="1" x14ac:dyDescent="0.25">
      <c r="E31" s="544" t="str">
        <f t="shared" si="3"/>
        <v>Decommissioning costs</v>
      </c>
      <c r="F31" s="1082">
        <f t="shared" si="4"/>
        <v>0.93531001701668959</v>
      </c>
      <c r="G31" s="190" t="str">
        <f xml:space="preserve"> Inputs!F$56</f>
        <v>US$ 2021 / bbl</v>
      </c>
      <c r="H31" s="544"/>
      <c r="I31" s="544"/>
      <c r="J31" s="1023"/>
      <c r="K31" s="1023"/>
      <c r="L31" s="1023"/>
      <c r="M31" s="1023"/>
      <c r="N31" s="1023"/>
      <c r="O31" s="1023"/>
      <c r="P31" s="1023"/>
      <c r="Q31" s="1023"/>
      <c r="R31" s="1023"/>
      <c r="S31" s="1023"/>
      <c r="T31" s="1023"/>
      <c r="U31" s="1023"/>
      <c r="V31" s="1023"/>
      <c r="W31" s="1023"/>
      <c r="X31" s="1023"/>
      <c r="Y31" s="1023"/>
      <c r="Z31" s="1023"/>
      <c r="AA31" s="1023"/>
      <c r="AB31" s="1023"/>
      <c r="AC31" s="1023"/>
      <c r="AD31" s="1023"/>
      <c r="AE31" s="1023"/>
      <c r="AF31" s="1023"/>
      <c r="AG31" s="1023"/>
      <c r="AH31" s="1023"/>
      <c r="AI31" s="1023"/>
      <c r="AJ31" s="1023"/>
      <c r="AK31" s="1023"/>
      <c r="AL31" s="1023"/>
      <c r="AM31" s="1023"/>
      <c r="AN31" s="1023"/>
      <c r="AO31" s="1023"/>
      <c r="AP31" s="1023"/>
      <c r="AQ31" s="1023"/>
      <c r="AR31" s="1023"/>
      <c r="AS31" s="1023"/>
      <c r="AT31" s="1023"/>
      <c r="AU31" s="1023"/>
      <c r="AV31" s="1023"/>
      <c r="AW31" s="1023"/>
      <c r="AX31" s="1023"/>
    </row>
    <row r="32" spans="2:50" ht="15" customHeight="1" x14ac:dyDescent="0.25">
      <c r="E32" s="544" t="str">
        <f t="shared" si="3"/>
        <v>Total costs</v>
      </c>
      <c r="F32" s="1082">
        <f>SUM(F26:F31)</f>
        <v>18.482973016272474</v>
      </c>
      <c r="G32" s="190" t="str">
        <f xml:space="preserve"> Inputs!F$56</f>
        <v>US$ 2021 / bbl</v>
      </c>
      <c r="H32" s="544"/>
      <c r="I32" s="544"/>
      <c r="J32" s="1023"/>
      <c r="K32" s="1023"/>
      <c r="L32" s="1023"/>
      <c r="M32" s="1023"/>
      <c r="N32" s="1023"/>
      <c r="O32" s="1023"/>
      <c r="P32" s="1023"/>
      <c r="Q32" s="1023"/>
      <c r="R32" s="1023"/>
      <c r="S32" s="1023"/>
      <c r="T32" s="1023"/>
      <c r="U32" s="1023"/>
      <c r="V32" s="1023"/>
      <c r="W32" s="1023"/>
      <c r="X32" s="1023"/>
      <c r="Y32" s="1023"/>
      <c r="Z32" s="1023"/>
      <c r="AA32" s="1023"/>
      <c r="AB32" s="1023"/>
      <c r="AC32" s="1023"/>
      <c r="AD32" s="1023"/>
      <c r="AE32" s="1023"/>
      <c r="AF32" s="1023"/>
      <c r="AG32" s="1023"/>
      <c r="AH32" s="1023"/>
      <c r="AI32" s="1023"/>
      <c r="AJ32" s="1023"/>
      <c r="AK32" s="1023"/>
      <c r="AL32" s="1023"/>
      <c r="AM32" s="1023"/>
      <c r="AN32" s="1023"/>
      <c r="AO32" s="1023"/>
      <c r="AP32" s="1023"/>
      <c r="AQ32" s="1023"/>
      <c r="AR32" s="1023"/>
      <c r="AS32" s="1023"/>
      <c r="AT32" s="1023"/>
      <c r="AU32" s="1023"/>
      <c r="AV32" s="1023"/>
      <c r="AW32" s="1023"/>
      <c r="AX32" s="1023"/>
    </row>
    <row r="33" spans="1:50" ht="15" customHeight="1" x14ac:dyDescent="0.25">
      <c r="E33"/>
      <c r="F33" s="544"/>
      <c r="G33" s="544"/>
      <c r="H33" s="544"/>
      <c r="I33" s="544"/>
      <c r="J33" s="1023"/>
      <c r="K33" s="1023"/>
      <c r="L33" s="1023"/>
      <c r="M33" s="1023"/>
      <c r="N33" s="1023"/>
      <c r="O33" s="1023"/>
      <c r="P33" s="1023"/>
      <c r="Q33" s="1023"/>
      <c r="R33" s="1023"/>
      <c r="S33" s="1023"/>
      <c r="T33" s="1023"/>
      <c r="U33" s="1023"/>
      <c r="V33" s="1023"/>
      <c r="W33" s="1023"/>
      <c r="X33" s="1023"/>
      <c r="Y33" s="1023"/>
      <c r="Z33" s="1023"/>
      <c r="AA33" s="1023"/>
      <c r="AB33" s="1023"/>
      <c r="AC33" s="1023"/>
      <c r="AD33" s="1023"/>
      <c r="AE33" s="1023"/>
      <c r="AF33" s="1023"/>
      <c r="AG33" s="1023"/>
      <c r="AH33" s="1023"/>
      <c r="AI33" s="1023"/>
      <c r="AJ33" s="1023"/>
      <c r="AK33" s="1023"/>
      <c r="AL33" s="1023"/>
      <c r="AM33" s="1023"/>
      <c r="AN33" s="1023"/>
      <c r="AO33" s="1023"/>
      <c r="AP33" s="1023"/>
      <c r="AQ33" s="1023"/>
      <c r="AR33" s="1023"/>
      <c r="AS33" s="1023"/>
      <c r="AT33" s="1023"/>
      <c r="AU33" s="1023"/>
      <c r="AV33" s="1023"/>
      <c r="AW33" s="1023"/>
      <c r="AX33" s="1023"/>
    </row>
    <row r="34" spans="1:50" s="3" customFormat="1" ht="15" customHeight="1" x14ac:dyDescent="0.25">
      <c r="A34" s="89"/>
      <c r="B34" s="87" t="str">
        <f>Translate!E$679</f>
        <v>Check project data in correct row</v>
      </c>
      <c r="C34" s="89"/>
      <c r="D34" s="89"/>
      <c r="E34" s="89"/>
      <c r="F34"/>
      <c r="G34" s="90"/>
      <c r="H34" s="89"/>
      <c r="I34" s="89"/>
      <c r="J34" s="89"/>
      <c r="K34" s="89"/>
      <c r="L34" s="89"/>
      <c r="M34" s="89"/>
      <c r="N34" s="89"/>
      <c r="O34" s="89"/>
      <c r="P34" s="89"/>
      <c r="Q34" s="89"/>
      <c r="R34" s="89"/>
      <c r="S34" s="89"/>
      <c r="T34" s="89"/>
      <c r="U34" s="89"/>
      <c r="V34" s="89"/>
      <c r="W34" s="89"/>
      <c r="X34" s="89"/>
      <c r="Y34" s="89"/>
      <c r="Z34" s="89"/>
      <c r="AA34" s="89"/>
      <c r="AB34" s="89"/>
      <c r="AC34" s="89"/>
      <c r="AD34" s="89"/>
      <c r="AE34" s="89"/>
      <c r="AF34" s="89"/>
      <c r="AG34" s="89"/>
      <c r="AH34" s="89"/>
      <c r="AI34" s="89"/>
      <c r="AJ34" s="89"/>
      <c r="AK34" s="89"/>
      <c r="AL34" s="89"/>
      <c r="AM34" s="89"/>
      <c r="AN34" s="89"/>
      <c r="AO34" s="89"/>
      <c r="AP34" s="89"/>
      <c r="AQ34" s="89"/>
      <c r="AR34" s="89"/>
      <c r="AS34" s="89"/>
      <c r="AT34" s="89"/>
      <c r="AU34" s="89"/>
      <c r="AV34" s="89"/>
      <c r="AW34" s="89"/>
      <c r="AX34" s="89"/>
    </row>
    <row r="35" spans="1:50" s="3" customFormat="1" ht="15" customHeight="1" x14ac:dyDescent="0.25">
      <c r="A35" s="89"/>
      <c r="B35" s="89"/>
      <c r="C35" s="89"/>
      <c r="D35" s="89"/>
      <c r="E35" s="139" t="str">
        <f xml:space="preserve"> Inputs!E$15</f>
        <v>First row of project data</v>
      </c>
      <c r="F35" s="139">
        <f xml:space="preserve"> Inputs!F$15</f>
        <v>9</v>
      </c>
      <c r="G35" s="139" t="str">
        <f xml:space="preserve"> Inputs!G$15</f>
        <v>row</v>
      </c>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9"/>
      <c r="AN35" s="89"/>
      <c r="AO35" s="89"/>
      <c r="AP35" s="89"/>
      <c r="AQ35" s="89"/>
      <c r="AR35" s="89"/>
      <c r="AS35" s="89"/>
      <c r="AT35" s="89"/>
      <c r="AU35" s="89"/>
      <c r="AV35" s="89"/>
      <c r="AW35" s="89"/>
      <c r="AX35" s="89"/>
    </row>
    <row r="36" spans="1:50" s="3" customFormat="1" ht="15" customHeight="1" x14ac:dyDescent="0.25">
      <c r="A36" s="89"/>
      <c r="B36" s="89"/>
      <c r="C36" s="89"/>
      <c r="D36" s="89"/>
      <c r="E36" s="89" t="str">
        <f>Translate!E722</f>
        <v>First row of project data</v>
      </c>
      <c r="F36" s="89">
        <f xml:space="preserve"> ROW(F9)</f>
        <v>9</v>
      </c>
      <c r="G36" s="90" t="str">
        <f xml:space="preserve"> Translate!E$775</f>
        <v>row</v>
      </c>
      <c r="H36" s="89"/>
      <c r="I36" s="89"/>
      <c r="J36" s="89"/>
      <c r="K36" s="89"/>
      <c r="L36" s="89"/>
      <c r="M36" s="89"/>
      <c r="N36" s="89"/>
      <c r="O36" s="89"/>
      <c r="P36" s="89"/>
      <c r="Q36" s="89"/>
      <c r="R36" s="89"/>
      <c r="S36" s="89"/>
      <c r="T36" s="89"/>
      <c r="U36" s="89"/>
      <c r="V36" s="89"/>
      <c r="W36" s="89"/>
      <c r="X36" s="89"/>
      <c r="Y36" s="89"/>
      <c r="Z36" s="89"/>
      <c r="AA36" s="89"/>
      <c r="AB36" s="89"/>
      <c r="AC36" s="89"/>
      <c r="AD36" s="89"/>
      <c r="AE36" s="89"/>
      <c r="AF36" s="89"/>
      <c r="AG36" s="89"/>
      <c r="AH36" s="89"/>
      <c r="AI36" s="89"/>
      <c r="AJ36" s="89"/>
      <c r="AK36" s="89"/>
      <c r="AL36" s="89"/>
      <c r="AM36" s="89"/>
      <c r="AN36" s="89"/>
      <c r="AO36" s="89"/>
      <c r="AP36" s="89"/>
      <c r="AQ36" s="89"/>
      <c r="AR36" s="89"/>
      <c r="AS36" s="89"/>
      <c r="AT36" s="89"/>
      <c r="AU36" s="89"/>
      <c r="AV36" s="89"/>
      <c r="AW36" s="89"/>
      <c r="AX36" s="89"/>
    </row>
    <row r="37" spans="1:50" s="3" customFormat="1" ht="15" customHeight="1" x14ac:dyDescent="0.25">
      <c r="A37" s="89"/>
      <c r="B37" s="89"/>
      <c r="C37" s="89"/>
      <c r="D37" s="89"/>
      <c r="E37" s="89" t="str">
        <f>Translate!E$722</f>
        <v>First row of project data</v>
      </c>
      <c r="F37" s="159">
        <f xml:space="preserve"> IF( ABS(F35 - F36) &lt;&gt; 0, 1, 0)</f>
        <v>0</v>
      </c>
      <c r="G37" s="90" t="str">
        <f xml:space="preserve"> Translate!E$604</f>
        <v>Check</v>
      </c>
      <c r="H37" s="89"/>
      <c r="I37" s="89"/>
      <c r="J37" s="89"/>
      <c r="K37" s="89"/>
      <c r="L37" s="89"/>
      <c r="M37" s="89"/>
      <c r="N37" s="89"/>
      <c r="O37" s="89"/>
      <c r="P37" s="89"/>
      <c r="Q37" s="89"/>
      <c r="R37" s="89"/>
      <c r="S37" s="89"/>
      <c r="T37" s="89"/>
      <c r="U37" s="89"/>
      <c r="V37" s="89"/>
      <c r="W37" s="89"/>
      <c r="X37" s="89"/>
      <c r="Y37" s="89"/>
      <c r="Z37" s="89"/>
      <c r="AA37" s="89"/>
      <c r="AB37" s="89"/>
      <c r="AC37" s="89"/>
      <c r="AD37" s="89"/>
      <c r="AE37" s="89"/>
      <c r="AF37" s="89"/>
      <c r="AG37" s="89"/>
      <c r="AH37" s="89"/>
      <c r="AI37" s="89"/>
      <c r="AJ37" s="89"/>
      <c r="AK37" s="89"/>
      <c r="AL37" s="89"/>
      <c r="AM37" s="89"/>
      <c r="AN37" s="89"/>
      <c r="AO37" s="89"/>
      <c r="AP37" s="89"/>
      <c r="AQ37" s="89"/>
      <c r="AR37" s="89"/>
      <c r="AS37" s="89"/>
      <c r="AT37" s="89"/>
      <c r="AU37" s="89"/>
      <c r="AV37" s="89"/>
      <c r="AW37" s="89"/>
      <c r="AX37" s="89"/>
    </row>
    <row r="38" spans="1:50" ht="15" customHeight="1" x14ac:dyDescent="0.25">
      <c r="E38"/>
      <c r="F38" s="544"/>
      <c r="G38" s="544"/>
      <c r="H38" s="544"/>
      <c r="I38" s="544"/>
      <c r="J38" s="1023"/>
      <c r="K38" s="1023"/>
      <c r="L38" s="1023"/>
      <c r="M38" s="1023"/>
      <c r="N38" s="1023"/>
      <c r="O38" s="1023"/>
      <c r="P38" s="1023"/>
      <c r="Q38" s="1023"/>
      <c r="R38" s="1023"/>
      <c r="S38" s="1023"/>
      <c r="T38" s="1023"/>
      <c r="U38" s="1023"/>
      <c r="V38" s="1023"/>
      <c r="W38" s="1023"/>
      <c r="X38" s="1023"/>
      <c r="Y38" s="1023"/>
      <c r="Z38" s="1023"/>
      <c r="AA38" s="1023"/>
      <c r="AB38" s="1023"/>
      <c r="AC38" s="1023"/>
      <c r="AD38" s="1023"/>
      <c r="AE38" s="1023"/>
      <c r="AF38" s="1023"/>
      <c r="AG38" s="1023"/>
      <c r="AH38" s="1023"/>
      <c r="AI38" s="1023"/>
      <c r="AJ38" s="1023"/>
      <c r="AK38" s="1023"/>
      <c r="AL38" s="1023"/>
      <c r="AM38" s="1023"/>
      <c r="AN38" s="1023"/>
      <c r="AO38" s="1023"/>
      <c r="AP38" s="1023"/>
      <c r="AQ38" s="1023"/>
      <c r="AR38" s="1023"/>
      <c r="AS38" s="1023"/>
      <c r="AT38" s="1023"/>
      <c r="AU38" s="1023"/>
      <c r="AV38" s="1023"/>
      <c r="AW38" s="1023"/>
      <c r="AX38" s="1023"/>
    </row>
    <row r="39" spans="1:50" ht="15" customHeight="1" x14ac:dyDescent="0.25">
      <c r="E39"/>
      <c r="F39" s="544"/>
      <c r="G39" s="544"/>
      <c r="H39" s="544"/>
      <c r="I39" s="544"/>
      <c r="J39" s="1023"/>
      <c r="K39" s="1023"/>
      <c r="L39" s="1023"/>
      <c r="M39" s="1023"/>
      <c r="N39" s="1023"/>
      <c r="O39" s="1023"/>
      <c r="P39" s="1023"/>
      <c r="Q39" s="1023"/>
      <c r="R39" s="1023"/>
      <c r="S39" s="1023"/>
      <c r="T39" s="1023"/>
      <c r="U39" s="1023"/>
      <c r="V39" s="1023"/>
      <c r="W39" s="1023"/>
      <c r="X39" s="1023"/>
      <c r="Y39" s="1023"/>
      <c r="Z39" s="1023"/>
      <c r="AA39" s="1023"/>
      <c r="AB39" s="1023"/>
      <c r="AC39" s="1023"/>
      <c r="AD39" s="1023"/>
      <c r="AE39" s="1023"/>
      <c r="AF39" s="1023"/>
      <c r="AG39" s="1023"/>
      <c r="AH39" s="1023"/>
      <c r="AI39" s="1023"/>
      <c r="AJ39" s="1023"/>
      <c r="AK39" s="1023"/>
      <c r="AL39" s="1023"/>
      <c r="AM39" s="1023"/>
      <c r="AN39" s="1023"/>
      <c r="AO39" s="1023"/>
      <c r="AP39" s="1023"/>
      <c r="AQ39" s="1023"/>
      <c r="AR39" s="1023"/>
      <c r="AS39" s="1023"/>
      <c r="AT39" s="1023"/>
      <c r="AU39" s="1023"/>
      <c r="AV39" s="1023"/>
      <c r="AW39" s="1023"/>
      <c r="AX39" s="1023"/>
    </row>
    <row r="40" spans="1:50" ht="15" customHeight="1" x14ac:dyDescent="0.25">
      <c r="A40" s="99" t="str">
        <f>Translate!E$727</f>
        <v>Unit costs</v>
      </c>
      <c r="B40" s="99"/>
      <c r="C40" s="99"/>
      <c r="D40" s="99"/>
      <c r="E40" s="101"/>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c r="AI40" s="99"/>
      <c r="AJ40" s="99"/>
      <c r="AK40" s="99"/>
      <c r="AL40" s="99"/>
      <c r="AM40" s="99"/>
      <c r="AN40" s="99"/>
      <c r="AO40" s="99"/>
      <c r="AP40" s="99"/>
      <c r="AQ40" s="99"/>
      <c r="AR40" s="99"/>
      <c r="AS40" s="99"/>
      <c r="AT40" s="99"/>
      <c r="AU40" s="99"/>
      <c r="AV40" s="99"/>
      <c r="AW40" s="99"/>
      <c r="AX40" s="99"/>
    </row>
    <row r="42" spans="1:50" ht="15" customHeight="1" x14ac:dyDescent="0.25">
      <c r="E42" s="544" t="str">
        <f xml:space="preserve"> E$9</f>
        <v>Oil production RATE</v>
      </c>
      <c r="F42" s="544">
        <f t="shared" ref="F42:AX42" si="5" xml:space="preserve"> F$9</f>
        <v>0</v>
      </c>
      <c r="G42" s="544" t="str">
        <f t="shared" si="5"/>
        <v>KBOPD</v>
      </c>
      <c r="H42" s="544">
        <f t="shared" si="5"/>
        <v>0</v>
      </c>
      <c r="I42" s="544">
        <f t="shared" si="5"/>
        <v>0</v>
      </c>
      <c r="J42" s="544">
        <f t="shared" si="5"/>
        <v>0</v>
      </c>
      <c r="K42" s="544">
        <f t="shared" si="5"/>
        <v>0</v>
      </c>
      <c r="L42" s="544">
        <f t="shared" si="5"/>
        <v>0</v>
      </c>
      <c r="M42" s="544">
        <f t="shared" si="5"/>
        <v>0</v>
      </c>
      <c r="N42" s="544">
        <f t="shared" si="5"/>
        <v>0</v>
      </c>
      <c r="O42" s="544">
        <f t="shared" si="5"/>
        <v>0</v>
      </c>
      <c r="P42" s="544">
        <f t="shared" si="5"/>
        <v>0</v>
      </c>
      <c r="Q42" s="544">
        <f t="shared" si="5"/>
        <v>0</v>
      </c>
      <c r="R42" s="544">
        <f t="shared" si="5"/>
        <v>9.5471162223815913</v>
      </c>
      <c r="S42" s="544">
        <f t="shared" si="5"/>
        <v>75</v>
      </c>
      <c r="T42" s="544">
        <f t="shared" si="5"/>
        <v>150</v>
      </c>
      <c r="U42" s="544">
        <f t="shared" si="5"/>
        <v>150</v>
      </c>
      <c r="V42" s="544">
        <f t="shared" si="5"/>
        <v>150</v>
      </c>
      <c r="W42" s="544">
        <f t="shared" si="5"/>
        <v>150</v>
      </c>
      <c r="X42" s="544">
        <f t="shared" si="5"/>
        <v>150</v>
      </c>
      <c r="Y42" s="544">
        <f t="shared" si="5"/>
        <v>150</v>
      </c>
      <c r="Z42" s="544">
        <f t="shared" si="5"/>
        <v>150</v>
      </c>
      <c r="AA42" s="544">
        <f t="shared" si="5"/>
        <v>150</v>
      </c>
      <c r="AB42" s="544">
        <f t="shared" si="5"/>
        <v>150</v>
      </c>
      <c r="AC42" s="544">
        <f t="shared" si="5"/>
        <v>150</v>
      </c>
      <c r="AD42" s="544">
        <f t="shared" si="5"/>
        <v>121.50000000000001</v>
      </c>
      <c r="AE42" s="544">
        <f t="shared" si="5"/>
        <v>98.41500000000002</v>
      </c>
      <c r="AF42" s="544">
        <f t="shared" si="5"/>
        <v>79.716150000000027</v>
      </c>
      <c r="AG42" s="544">
        <f t="shared" si="5"/>
        <v>64.570081500000029</v>
      </c>
      <c r="AH42" s="544">
        <f t="shared" si="5"/>
        <v>52.301766015000027</v>
      </c>
      <c r="AI42" s="544">
        <f t="shared" si="5"/>
        <v>42.364430472150026</v>
      </c>
      <c r="AJ42" s="544">
        <f t="shared" si="5"/>
        <v>34.315188682441523</v>
      </c>
      <c r="AK42" s="544">
        <f t="shared" si="5"/>
        <v>27.795302832777637</v>
      </c>
      <c r="AL42" s="544">
        <f t="shared" si="5"/>
        <v>22.514195294549886</v>
      </c>
      <c r="AM42" s="544">
        <f t="shared" si="5"/>
        <v>18.236498188585408</v>
      </c>
      <c r="AN42" s="544">
        <f t="shared" si="5"/>
        <v>14.771563532754181</v>
      </c>
      <c r="AO42" s="544">
        <f t="shared" si="5"/>
        <v>11.964966461530887</v>
      </c>
      <c r="AP42" s="544">
        <f t="shared" si="5"/>
        <v>9.6916228338400181</v>
      </c>
      <c r="AQ42" s="544">
        <f t="shared" si="5"/>
        <v>7.8502144954104152</v>
      </c>
      <c r="AR42" s="544">
        <f t="shared" si="5"/>
        <v>6.3586737412824368</v>
      </c>
      <c r="AS42" s="544">
        <f t="shared" si="5"/>
        <v>0</v>
      </c>
      <c r="AT42" s="544">
        <f t="shared" si="5"/>
        <v>0</v>
      </c>
      <c r="AU42" s="544">
        <f t="shared" si="5"/>
        <v>0</v>
      </c>
      <c r="AV42" s="544">
        <f t="shared" si="5"/>
        <v>0</v>
      </c>
      <c r="AW42" s="544">
        <f t="shared" si="5"/>
        <v>0</v>
      </c>
      <c r="AX42" s="544">
        <f t="shared" si="5"/>
        <v>0</v>
      </c>
    </row>
    <row r="43" spans="1:50" ht="15" customHeight="1" x14ac:dyDescent="0.25">
      <c r="E43" s="304" t="str">
        <f xml:space="preserve"> Inputs!E$79</f>
        <v>Production days per year</v>
      </c>
      <c r="F43" s="304">
        <f xml:space="preserve"> Inputs!F$79</f>
        <v>365</v>
      </c>
      <c r="G43" s="304" t="str">
        <f xml:space="preserve"> Inputs!G$79</f>
        <v>Days</v>
      </c>
      <c r="H43" s="544"/>
      <c r="I43" s="544"/>
      <c r="J43" s="544"/>
      <c r="K43" s="544"/>
      <c r="L43" s="544"/>
      <c r="M43" s="544"/>
      <c r="N43" s="544"/>
      <c r="O43" s="544"/>
      <c r="P43" s="544"/>
      <c r="Q43" s="544"/>
      <c r="R43" s="544"/>
      <c r="S43" s="544"/>
      <c r="T43" s="544"/>
      <c r="U43" s="544"/>
      <c r="V43" s="544"/>
      <c r="W43" s="544"/>
      <c r="X43" s="544"/>
      <c r="Y43" s="544"/>
      <c r="Z43" s="544"/>
      <c r="AA43" s="544"/>
      <c r="AB43" s="544"/>
      <c r="AC43" s="544"/>
      <c r="AD43" s="544"/>
      <c r="AE43" s="544"/>
      <c r="AF43" s="544"/>
      <c r="AG43" s="544"/>
      <c r="AH43" s="544"/>
      <c r="AI43" s="544"/>
      <c r="AJ43" s="544"/>
      <c r="AK43" s="544"/>
      <c r="AL43" s="544"/>
      <c r="AM43" s="544"/>
      <c r="AN43" s="544"/>
      <c r="AO43" s="544"/>
      <c r="AP43" s="544"/>
      <c r="AQ43" s="544"/>
      <c r="AR43" s="544"/>
      <c r="AS43" s="544"/>
      <c r="AT43" s="544"/>
      <c r="AU43" s="544"/>
      <c r="AV43" s="544"/>
      <c r="AW43" s="544"/>
      <c r="AX43" s="544"/>
    </row>
    <row r="44" spans="1:50" ht="15" customHeight="1" x14ac:dyDescent="0.25">
      <c r="E44" s="304" t="str">
        <f xml:space="preserve"> Inputs!E$81</f>
        <v>one thousand</v>
      </c>
      <c r="F44" s="304">
        <f xml:space="preserve"> Inputs!F$81</f>
        <v>1000</v>
      </c>
      <c r="G44" s="304" t="str">
        <f xml:space="preserve"> Inputs!G$81</f>
        <v>Constant</v>
      </c>
      <c r="H44" s="544"/>
      <c r="I44" s="544"/>
      <c r="J44" s="544"/>
      <c r="K44" s="544"/>
      <c r="L44" s="544"/>
      <c r="M44" s="544"/>
      <c r="N44" s="544"/>
      <c r="O44" s="544"/>
      <c r="P44" s="544"/>
      <c r="Q44" s="544"/>
      <c r="R44" s="544"/>
      <c r="S44" s="544"/>
      <c r="T44" s="544"/>
      <c r="U44" s="544"/>
      <c r="V44" s="544"/>
      <c r="W44" s="544"/>
      <c r="X44" s="544"/>
      <c r="Y44" s="544"/>
      <c r="Z44" s="544"/>
      <c r="AA44" s="544"/>
      <c r="AB44" s="544"/>
      <c r="AC44" s="544"/>
      <c r="AD44" s="544"/>
      <c r="AE44" s="544"/>
      <c r="AF44" s="544"/>
      <c r="AG44" s="544"/>
      <c r="AH44" s="544"/>
      <c r="AI44" s="544"/>
      <c r="AJ44" s="544"/>
      <c r="AK44" s="544"/>
      <c r="AL44" s="544"/>
      <c r="AM44" s="544"/>
      <c r="AN44" s="544"/>
      <c r="AO44" s="544"/>
      <c r="AP44" s="544"/>
      <c r="AQ44" s="544"/>
      <c r="AR44" s="544"/>
      <c r="AS44" s="544"/>
      <c r="AT44" s="544"/>
      <c r="AU44" s="544"/>
      <c r="AV44" s="544"/>
      <c r="AW44" s="544"/>
      <c r="AX44" s="544"/>
    </row>
    <row r="45" spans="1:50" ht="15" customHeight="1" x14ac:dyDescent="0.25">
      <c r="E45" s="544" t="str">
        <f>Translate!E723</f>
        <v>Oil production Volume</v>
      </c>
      <c r="F45" s="544"/>
      <c r="G45" s="544" t="str">
        <f xml:space="preserve"> Translate!E$88</f>
        <v>Mn Bbl</v>
      </c>
      <c r="H45" s="544"/>
      <c r="I45" s="544">
        <f xml:space="preserve"> SUM(K45:AX45)</f>
        <v>801.87316114953705</v>
      </c>
      <c r="J45" s="544"/>
      <c r="K45" s="544">
        <f t="shared" ref="K45:AX45" si="6" xml:space="preserve"> K42 * $F43 / $F44</f>
        <v>0</v>
      </c>
      <c r="L45" s="544">
        <f t="shared" si="6"/>
        <v>0</v>
      </c>
      <c r="M45" s="544">
        <f t="shared" si="6"/>
        <v>0</v>
      </c>
      <c r="N45" s="544">
        <f t="shared" si="6"/>
        <v>0</v>
      </c>
      <c r="O45" s="544">
        <f t="shared" si="6"/>
        <v>0</v>
      </c>
      <c r="P45" s="544">
        <f t="shared" si="6"/>
        <v>0</v>
      </c>
      <c r="Q45" s="544">
        <f t="shared" si="6"/>
        <v>0</v>
      </c>
      <c r="R45" s="544">
        <f t="shared" si="6"/>
        <v>3.4846974211692809</v>
      </c>
      <c r="S45" s="544">
        <f t="shared" si="6"/>
        <v>27.375</v>
      </c>
      <c r="T45" s="544">
        <f t="shared" si="6"/>
        <v>54.75</v>
      </c>
      <c r="U45" s="544">
        <f t="shared" si="6"/>
        <v>54.75</v>
      </c>
      <c r="V45" s="544">
        <f t="shared" si="6"/>
        <v>54.75</v>
      </c>
      <c r="W45" s="544">
        <f t="shared" si="6"/>
        <v>54.75</v>
      </c>
      <c r="X45" s="544">
        <f t="shared" si="6"/>
        <v>54.75</v>
      </c>
      <c r="Y45" s="544">
        <f t="shared" si="6"/>
        <v>54.75</v>
      </c>
      <c r="Z45" s="544">
        <f t="shared" si="6"/>
        <v>54.75</v>
      </c>
      <c r="AA45" s="544">
        <f t="shared" si="6"/>
        <v>54.75</v>
      </c>
      <c r="AB45" s="544">
        <f t="shared" si="6"/>
        <v>54.75</v>
      </c>
      <c r="AC45" s="544">
        <f t="shared" si="6"/>
        <v>54.75</v>
      </c>
      <c r="AD45" s="544">
        <f t="shared" si="6"/>
        <v>44.347500000000011</v>
      </c>
      <c r="AE45" s="544">
        <f t="shared" si="6"/>
        <v>35.921475000000008</v>
      </c>
      <c r="AF45" s="544">
        <f t="shared" si="6"/>
        <v>29.096394750000009</v>
      </c>
      <c r="AG45" s="544">
        <f t="shared" si="6"/>
        <v>23.568079747500011</v>
      </c>
      <c r="AH45" s="544">
        <f t="shared" si="6"/>
        <v>19.09014459547501</v>
      </c>
      <c r="AI45" s="544">
        <f t="shared" si="6"/>
        <v>15.463017122334758</v>
      </c>
      <c r="AJ45" s="544">
        <f t="shared" si="6"/>
        <v>12.525043869091157</v>
      </c>
      <c r="AK45" s="544">
        <f t="shared" si="6"/>
        <v>10.145285533963838</v>
      </c>
      <c r="AL45" s="544">
        <f t="shared" si="6"/>
        <v>8.2176812825107088</v>
      </c>
      <c r="AM45" s="544">
        <f t="shared" si="6"/>
        <v>6.6563218388336738</v>
      </c>
      <c r="AN45" s="544">
        <f t="shared" si="6"/>
        <v>5.3916206894552765</v>
      </c>
      <c r="AO45" s="544">
        <f t="shared" si="6"/>
        <v>4.3672127584587734</v>
      </c>
      <c r="AP45" s="544">
        <f t="shared" si="6"/>
        <v>3.5374423343516064</v>
      </c>
      <c r="AQ45" s="544">
        <f t="shared" si="6"/>
        <v>2.8653282908248014</v>
      </c>
      <c r="AR45" s="544">
        <f t="shared" si="6"/>
        <v>2.3209159155680896</v>
      </c>
      <c r="AS45" s="544">
        <f t="shared" si="6"/>
        <v>0</v>
      </c>
      <c r="AT45" s="544">
        <f t="shared" si="6"/>
        <v>0</v>
      </c>
      <c r="AU45" s="544">
        <f t="shared" si="6"/>
        <v>0</v>
      </c>
      <c r="AV45" s="544">
        <f t="shared" si="6"/>
        <v>0</v>
      </c>
      <c r="AW45" s="544">
        <f t="shared" si="6"/>
        <v>0</v>
      </c>
      <c r="AX45" s="544">
        <f t="shared" si="6"/>
        <v>0</v>
      </c>
    </row>
    <row r="47" spans="1:50" ht="15" customHeight="1" x14ac:dyDescent="0.25">
      <c r="E47" s="350" t="str">
        <f xml:space="preserve"> E$14</f>
        <v>Operating costs</v>
      </c>
      <c r="F47" s="350">
        <f t="shared" ref="F47:AX47" si="7" xml:space="preserve"> F$14</f>
        <v>0</v>
      </c>
      <c r="G47" s="350" t="str">
        <f t="shared" si="7"/>
        <v>US$ mn 2021</v>
      </c>
      <c r="H47" s="350">
        <f t="shared" si="7"/>
        <v>0</v>
      </c>
      <c r="I47" s="350">
        <f t="shared" si="7"/>
        <v>4601</v>
      </c>
      <c r="J47" s="350">
        <f t="shared" si="7"/>
        <v>0</v>
      </c>
      <c r="K47" s="350">
        <f t="shared" si="7"/>
        <v>0</v>
      </c>
      <c r="L47" s="350">
        <f t="shared" si="7"/>
        <v>0</v>
      </c>
      <c r="M47" s="350">
        <f t="shared" si="7"/>
        <v>0</v>
      </c>
      <c r="N47" s="350">
        <f t="shared" si="7"/>
        <v>0</v>
      </c>
      <c r="O47" s="350">
        <f t="shared" si="7"/>
        <v>0</v>
      </c>
      <c r="P47" s="350">
        <f t="shared" si="7"/>
        <v>0</v>
      </c>
      <c r="Q47" s="350">
        <f t="shared" si="7"/>
        <v>0</v>
      </c>
      <c r="R47" s="350">
        <f t="shared" si="7"/>
        <v>50</v>
      </c>
      <c r="S47" s="350">
        <f t="shared" si="7"/>
        <v>180</v>
      </c>
      <c r="T47" s="350">
        <f t="shared" si="7"/>
        <v>260</v>
      </c>
      <c r="U47" s="350">
        <f t="shared" si="7"/>
        <v>260</v>
      </c>
      <c r="V47" s="350">
        <f t="shared" si="7"/>
        <v>260</v>
      </c>
      <c r="W47" s="350">
        <f t="shared" si="7"/>
        <v>260</v>
      </c>
      <c r="X47" s="350">
        <f t="shared" si="7"/>
        <v>260</v>
      </c>
      <c r="Y47" s="350">
        <f t="shared" si="7"/>
        <v>260</v>
      </c>
      <c r="Z47" s="350">
        <f t="shared" si="7"/>
        <v>260</v>
      </c>
      <c r="AA47" s="350">
        <f t="shared" si="7"/>
        <v>260</v>
      </c>
      <c r="AB47" s="350">
        <f t="shared" si="7"/>
        <v>260</v>
      </c>
      <c r="AC47" s="350">
        <f t="shared" si="7"/>
        <v>260</v>
      </c>
      <c r="AD47" s="350">
        <f t="shared" si="7"/>
        <v>260</v>
      </c>
      <c r="AE47" s="350">
        <f t="shared" si="7"/>
        <v>260</v>
      </c>
      <c r="AF47" s="350">
        <f t="shared" si="7"/>
        <v>150</v>
      </c>
      <c r="AG47" s="350">
        <f t="shared" si="7"/>
        <v>140</v>
      </c>
      <c r="AH47" s="350">
        <f t="shared" si="7"/>
        <v>120</v>
      </c>
      <c r="AI47" s="350">
        <f t="shared" si="7"/>
        <v>111</v>
      </c>
      <c r="AJ47" s="350">
        <f t="shared" si="7"/>
        <v>100</v>
      </c>
      <c r="AK47" s="350">
        <f t="shared" si="7"/>
        <v>95</v>
      </c>
      <c r="AL47" s="350">
        <f t="shared" si="7"/>
        <v>90</v>
      </c>
      <c r="AM47" s="350">
        <f t="shared" si="7"/>
        <v>85</v>
      </c>
      <c r="AN47" s="350">
        <f t="shared" si="7"/>
        <v>80</v>
      </c>
      <c r="AO47" s="350">
        <f t="shared" si="7"/>
        <v>75</v>
      </c>
      <c r="AP47" s="350">
        <f t="shared" si="7"/>
        <v>70</v>
      </c>
      <c r="AQ47" s="350">
        <f t="shared" si="7"/>
        <v>70</v>
      </c>
      <c r="AR47" s="350">
        <f t="shared" si="7"/>
        <v>65</v>
      </c>
      <c r="AS47" s="350">
        <f t="shared" si="7"/>
        <v>0</v>
      </c>
      <c r="AT47" s="350">
        <f t="shared" si="7"/>
        <v>0</v>
      </c>
      <c r="AU47" s="350">
        <f t="shared" si="7"/>
        <v>0</v>
      </c>
      <c r="AV47" s="350">
        <f t="shared" si="7"/>
        <v>0</v>
      </c>
      <c r="AW47" s="350">
        <f t="shared" si="7"/>
        <v>0</v>
      </c>
      <c r="AX47" s="350">
        <f t="shared" si="7"/>
        <v>0</v>
      </c>
    </row>
    <row r="48" spans="1:50" ht="15" customHeight="1" x14ac:dyDescent="0.25">
      <c r="E48" s="544" t="str">
        <f ca="1">A1 &amp; " " &amp; Translate!E$786</f>
        <v>800MMbbl_B Unit opex</v>
      </c>
      <c r="F48" s="544"/>
      <c r="G48" s="190" t="str">
        <f xml:space="preserve"> Inputs!F$56</f>
        <v>US$ 2021 / bbl</v>
      </c>
      <c r="H48" s="544"/>
      <c r="I48" s="544"/>
      <c r="J48" s="544"/>
      <c r="K48" s="544">
        <f t="shared" ref="K48:AX48" si="8" xml:space="preserve"> IFERROR(K47 / K45, 0)</f>
        <v>0</v>
      </c>
      <c r="L48" s="544">
        <f t="shared" si="8"/>
        <v>0</v>
      </c>
      <c r="M48" s="544">
        <f t="shared" si="8"/>
        <v>0</v>
      </c>
      <c r="N48" s="544">
        <f t="shared" si="8"/>
        <v>0</v>
      </c>
      <c r="O48" s="544">
        <f t="shared" si="8"/>
        <v>0</v>
      </c>
      <c r="P48" s="544">
        <f t="shared" si="8"/>
        <v>0</v>
      </c>
      <c r="Q48" s="544">
        <f t="shared" si="8"/>
        <v>0</v>
      </c>
      <c r="R48" s="544">
        <f t="shared" si="8"/>
        <v>14.348448073641537</v>
      </c>
      <c r="S48" s="544">
        <f t="shared" si="8"/>
        <v>6.5753424657534243</v>
      </c>
      <c r="T48" s="544">
        <f t="shared" si="8"/>
        <v>4.7488584474885842</v>
      </c>
      <c r="U48" s="544">
        <f t="shared" si="8"/>
        <v>4.7488584474885842</v>
      </c>
      <c r="V48" s="544">
        <f t="shared" si="8"/>
        <v>4.7488584474885842</v>
      </c>
      <c r="W48" s="544">
        <f t="shared" si="8"/>
        <v>4.7488584474885842</v>
      </c>
      <c r="X48" s="544">
        <f t="shared" si="8"/>
        <v>4.7488584474885842</v>
      </c>
      <c r="Y48" s="544">
        <f t="shared" si="8"/>
        <v>4.7488584474885842</v>
      </c>
      <c r="Z48" s="544">
        <f t="shared" si="8"/>
        <v>4.7488584474885842</v>
      </c>
      <c r="AA48" s="544">
        <f t="shared" si="8"/>
        <v>4.7488584474885842</v>
      </c>
      <c r="AB48" s="544">
        <f t="shared" si="8"/>
        <v>4.7488584474885842</v>
      </c>
      <c r="AC48" s="544">
        <f t="shared" si="8"/>
        <v>4.7488584474885842</v>
      </c>
      <c r="AD48" s="544">
        <f t="shared" si="8"/>
        <v>5.8627882067760284</v>
      </c>
      <c r="AE48" s="544">
        <f t="shared" si="8"/>
        <v>7.2380101318222581</v>
      </c>
      <c r="AF48" s="544">
        <f t="shared" si="8"/>
        <v>5.1552778716682743</v>
      </c>
      <c r="AG48" s="544">
        <f t="shared" si="8"/>
        <v>5.9402378768194097</v>
      </c>
      <c r="AH48" s="544">
        <f t="shared" si="8"/>
        <v>6.2859660072163059</v>
      </c>
      <c r="AI48" s="544">
        <f t="shared" si="8"/>
        <v>7.1784179712038068</v>
      </c>
      <c r="AJ48" s="544">
        <f t="shared" si="8"/>
        <v>7.9840039719762039</v>
      </c>
      <c r="AK48" s="544">
        <f t="shared" si="8"/>
        <v>9.3639552757745594</v>
      </c>
      <c r="AL48" s="544">
        <f t="shared" si="8"/>
        <v>10.951994474590128</v>
      </c>
      <c r="AM48" s="544">
        <f t="shared" si="8"/>
        <v>12.76981523100358</v>
      </c>
      <c r="AN48" s="544">
        <f t="shared" si="8"/>
        <v>14.837839048370171</v>
      </c>
      <c r="AO48" s="544">
        <f t="shared" si="8"/>
        <v>17.173424824502515</v>
      </c>
      <c r="AP48" s="544">
        <f t="shared" si="8"/>
        <v>19.788308439755983</v>
      </c>
      <c r="AQ48" s="544">
        <f t="shared" si="8"/>
        <v>24.430010419451829</v>
      </c>
      <c r="AR48" s="544">
        <f t="shared" si="8"/>
        <v>28.006184784204031</v>
      </c>
      <c r="AS48" s="544">
        <f t="shared" si="8"/>
        <v>0</v>
      </c>
      <c r="AT48" s="544">
        <f t="shared" si="8"/>
        <v>0</v>
      </c>
      <c r="AU48" s="544">
        <f t="shared" si="8"/>
        <v>0</v>
      </c>
      <c r="AV48" s="544">
        <f t="shared" si="8"/>
        <v>0</v>
      </c>
      <c r="AW48" s="544">
        <f t="shared" si="8"/>
        <v>0</v>
      </c>
      <c r="AX48" s="544">
        <f t="shared" si="8"/>
        <v>0</v>
      </c>
    </row>
    <row r="51" spans="1:50" ht="15" customHeight="1" x14ac:dyDescent="0.25">
      <c r="A51" s="99" t="str">
        <f>Translate!E$728</f>
        <v>Charts</v>
      </c>
      <c r="B51" s="99"/>
      <c r="C51" s="99"/>
      <c r="D51" s="99"/>
      <c r="E51" s="101"/>
      <c r="F51" s="99"/>
      <c r="G51" s="99"/>
      <c r="H51" s="99"/>
      <c r="I51" s="99"/>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c r="AI51" s="99"/>
      <c r="AJ51" s="99"/>
      <c r="AK51" s="99"/>
      <c r="AL51" s="99"/>
      <c r="AM51" s="99"/>
      <c r="AN51" s="99"/>
      <c r="AO51" s="99"/>
      <c r="AP51" s="99"/>
      <c r="AQ51" s="99"/>
      <c r="AR51" s="99"/>
      <c r="AS51" s="99"/>
      <c r="AT51" s="99"/>
      <c r="AU51" s="99"/>
      <c r="AV51" s="99"/>
      <c r="AW51" s="99"/>
      <c r="AX51" s="99"/>
    </row>
    <row r="76" spans="1:50" ht="15" customHeight="1" x14ac:dyDescent="0.25">
      <c r="A76" s="66" t="str">
        <f ca="1">A$1 &amp; ": " &amp; Translate!E$626</f>
        <v>800MMbbl_B: Sheet checks</v>
      </c>
      <c r="B76" s="99"/>
      <c r="C76" s="99"/>
      <c r="D76" s="99"/>
      <c r="E76" s="101"/>
      <c r="F76" s="99"/>
      <c r="G76" s="99"/>
      <c r="H76" s="99"/>
      <c r="I76" s="99"/>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row>
    <row r="77" spans="1:50" ht="15" customHeight="1" x14ac:dyDescent="0.25">
      <c r="E77" s="544"/>
      <c r="F77" s="544"/>
      <c r="G77" s="544"/>
      <c r="H77" s="544"/>
      <c r="I77" s="544"/>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row>
    <row r="78" spans="1:50" ht="15" customHeight="1" x14ac:dyDescent="0.25">
      <c r="A78" s="67"/>
      <c r="B78" s="68"/>
      <c r="C78" s="287"/>
      <c r="D78" s="69"/>
      <c r="E78" s="67"/>
      <c r="F78" s="1077" t="str">
        <f xml:space="preserve"> Translate!E$651</f>
        <v>do not delete row</v>
      </c>
      <c r="G78" s="67"/>
      <c r="H78" s="67"/>
      <c r="I78" s="67"/>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row>
    <row r="79" spans="1:50" ht="15" customHeight="1" x14ac:dyDescent="0.25">
      <c r="A79" s="544"/>
      <c r="B79" s="544"/>
      <c r="C79" s="544"/>
      <c r="D79" s="544"/>
      <c r="E79" s="307" t="str">
        <f xml:space="preserve"> E$37</f>
        <v>First row of project data</v>
      </c>
      <c r="F79" s="36">
        <f xml:space="preserve"> F$37</f>
        <v>0</v>
      </c>
      <c r="G79" s="307" t="str">
        <f xml:space="preserve"> G$37</f>
        <v>Check</v>
      </c>
      <c r="H79" s="544"/>
      <c r="I79" s="544"/>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row>
    <row r="80" spans="1:50" ht="15" customHeight="1" x14ac:dyDescent="0.25">
      <c r="A80" s="67"/>
      <c r="B80" s="68"/>
      <c r="C80" s="287"/>
      <c r="D80" s="69"/>
      <c r="E80" s="67"/>
      <c r="F80" s="1077" t="str">
        <f xml:space="preserve"> Translate!E$651</f>
        <v>do not delete row</v>
      </c>
      <c r="G80" s="67"/>
      <c r="H80" s="67"/>
      <c r="I80" s="67"/>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row>
    <row r="81" spans="5:50" ht="15" customHeight="1" x14ac:dyDescent="0.25">
      <c r="E81" s="544" t="str">
        <f ca="1" xml:space="preserve"> Translate!E$604 &amp; ": " &amp; A$1</f>
        <v>Check: 800MMbbl_B</v>
      </c>
      <c r="F81" s="72">
        <f xml:space="preserve"> SUM(F78:F80)</f>
        <v>0</v>
      </c>
      <c r="G81" s="544" t="str">
        <f xml:space="preserve"> Translate!E$604</f>
        <v>Check</v>
      </c>
      <c r="H81" s="544"/>
      <c r="I81" s="544"/>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row>
  </sheetData>
  <conditionalFormatting sqref="F79">
    <cfRule type="cellIs" dxfId="48" priority="9" stopIfTrue="1" operator="notEqual">
      <formula>0</formula>
    </cfRule>
    <cfRule type="cellIs" dxfId="47" priority="10" stopIfTrue="1" operator="equal">
      <formula>""</formula>
    </cfRule>
  </conditionalFormatting>
  <conditionalFormatting sqref="F81">
    <cfRule type="cellIs" dxfId="46" priority="11" stopIfTrue="1" operator="notEqual">
      <formula>0</formula>
    </cfRule>
    <cfRule type="cellIs" dxfId="45" priority="12" stopIfTrue="1" operator="equal">
      <formula>""</formula>
    </cfRule>
  </conditionalFormatting>
  <conditionalFormatting sqref="F3">
    <cfRule type="cellIs" dxfId="44" priority="7" stopIfTrue="1" operator="notEqual">
      <formula>0</formula>
    </cfRule>
    <cfRule type="cellIs" dxfId="43" priority="8" stopIfTrue="1" operator="equal">
      <formula>""</formula>
    </cfRule>
  </conditionalFormatting>
  <conditionalFormatting sqref="F3">
    <cfRule type="cellIs" dxfId="42" priority="5" stopIfTrue="1" operator="notEqual">
      <formula>0</formula>
    </cfRule>
    <cfRule type="cellIs" dxfId="41" priority="6" stopIfTrue="1" operator="equal">
      <formula>""</formula>
    </cfRule>
  </conditionalFormatting>
  <conditionalFormatting sqref="F37">
    <cfRule type="cellIs" dxfId="40" priority="3" stopIfTrue="1" operator="notEqual">
      <formula>0</formula>
    </cfRule>
    <cfRule type="cellIs" dxfId="39" priority="4" stopIfTrue="1" operator="equal">
      <formula>""</formula>
    </cfRule>
  </conditionalFormatting>
  <conditionalFormatting sqref="F37">
    <cfRule type="cellIs" dxfId="38" priority="1" stopIfTrue="1" operator="notEqual">
      <formula>0</formula>
    </cfRule>
    <cfRule type="cellIs" dxfId="37" priority="2" stopIfTrue="1" operator="equal">
      <formula>""</formula>
    </cfRule>
  </conditionalFormatting>
  <printOptions headings="1"/>
  <pageMargins left="0.74803149606299213" right="0.70866141732283472" top="0.98425196850393704" bottom="0.74803149606299213" header="0.51181102362204722" footer="0.31496062992125984"/>
  <pageSetup scale="55" orientation="landscape" blackAndWhite="1" r:id="rId1"/>
  <headerFooter>
    <oddHeader>&amp;LPROJECT BULYANHULU&amp;CSheet:&amp;A&amp;RSTRICTLY CONFIDENTIAL</oddHeader>
    <oddFooter>&amp;L&amp;F ( printed on &amp;D at &amp;T )&amp;RPage &amp;P of &amp;N</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A26FF9-A612-436D-8D41-3C335EA1DD24}">
  <sheetPr codeName="Sheet16">
    <tabColor rgb="FFFFC000"/>
    <outlinePr summaryBelow="0" summaryRight="0"/>
  </sheetPr>
  <dimension ref="A1:AX86"/>
  <sheetViews>
    <sheetView defaultGridColor="0" colorId="22" zoomScale="85" zoomScaleNormal="85" workbookViewId="0">
      <pane xSplit="10" ySplit="3" topLeftCell="K4" activePane="bottomRight" state="frozen"/>
      <selection pane="topRight" activeCell="H2" sqref="H2"/>
      <selection pane="bottomLeft" activeCell="H2" sqref="H2"/>
      <selection pane="bottomRight" activeCell="K4" sqref="K4"/>
    </sheetView>
  </sheetViews>
  <sheetFormatPr defaultColWidth="0" defaultRowHeight="15" customHeight="1" outlineLevelCol="1" x14ac:dyDescent="0.25"/>
  <cols>
    <col min="1" max="2" width="1.26953125" style="21" customWidth="1"/>
    <col min="3" max="3" width="1.26953125" style="288" customWidth="1"/>
    <col min="4" max="4" width="1.26953125" style="289" customWidth="1"/>
    <col min="5" max="5" width="50.7265625" style="22" customWidth="1"/>
    <col min="6" max="6" width="12.7265625" style="22" customWidth="1"/>
    <col min="7" max="7" width="15.7265625" style="22" customWidth="1" collapsed="1"/>
    <col min="8" max="8" width="40.7265625" style="22" hidden="1" customWidth="1" outlineLevel="1"/>
    <col min="9" max="9" width="12.7265625" style="22" customWidth="1"/>
    <col min="10" max="10" width="3.7265625" style="22" customWidth="1"/>
    <col min="11" max="50" width="10.7265625" style="22" customWidth="1"/>
    <col min="51" max="16384" width="9.1796875" style="22" hidden="1"/>
  </cols>
  <sheetData>
    <row r="1" spans="1:50" s="439" customFormat="1" ht="15" customHeight="1" x14ac:dyDescent="0.35">
      <c r="A1" s="396" t="str">
        <f ca="1" xml:space="preserve"> RIGHT( CELL("filename",$A$1), LEN( CELL("filename",$A$1)) - SEARCH("]", CELL("filename",$A$1)))</f>
        <v>200MMbbl</v>
      </c>
      <c r="B1" s="436"/>
      <c r="C1" s="437"/>
      <c r="D1" s="438"/>
      <c r="E1" s="1080"/>
      <c r="F1" s="440"/>
      <c r="G1" s="364"/>
      <c r="H1" s="364"/>
      <c r="I1" s="364"/>
      <c r="J1" s="364"/>
      <c r="K1" s="364">
        <f xml:space="preserve"> ProjectCashflows!K$34</f>
        <v>2021</v>
      </c>
      <c r="L1" s="364">
        <f xml:space="preserve"> ProjectCashflows!L$34</f>
        <v>2022</v>
      </c>
      <c r="M1" s="364">
        <f xml:space="preserve"> ProjectCashflows!M$34</f>
        <v>2023</v>
      </c>
      <c r="N1" s="364">
        <f xml:space="preserve"> ProjectCashflows!N$34</f>
        <v>2024</v>
      </c>
      <c r="O1" s="364">
        <f xml:space="preserve"> ProjectCashflows!O$34</f>
        <v>2025</v>
      </c>
      <c r="P1" s="364">
        <f xml:space="preserve"> ProjectCashflows!P$34</f>
        <v>2026</v>
      </c>
      <c r="Q1" s="364">
        <f xml:space="preserve"> ProjectCashflows!Q$34</f>
        <v>2027</v>
      </c>
      <c r="R1" s="364">
        <f xml:space="preserve"> ProjectCashflows!R$34</f>
        <v>2028</v>
      </c>
      <c r="S1" s="364">
        <f xml:space="preserve"> ProjectCashflows!S$34</f>
        <v>2029</v>
      </c>
      <c r="T1" s="364">
        <f xml:space="preserve"> ProjectCashflows!T$34</f>
        <v>2030</v>
      </c>
      <c r="U1" s="364">
        <f xml:space="preserve"> ProjectCashflows!U$34</f>
        <v>2031</v>
      </c>
      <c r="V1" s="364">
        <f xml:space="preserve"> ProjectCashflows!V$34</f>
        <v>2032</v>
      </c>
      <c r="W1" s="364">
        <f xml:space="preserve"> ProjectCashflows!W$34</f>
        <v>2033</v>
      </c>
      <c r="X1" s="364">
        <f xml:space="preserve"> ProjectCashflows!X$34</f>
        <v>2034</v>
      </c>
      <c r="Y1" s="364">
        <f xml:space="preserve"> ProjectCashflows!Y$34</f>
        <v>2035</v>
      </c>
      <c r="Z1" s="364">
        <f xml:space="preserve"> ProjectCashflows!Z$34</f>
        <v>2036</v>
      </c>
      <c r="AA1" s="364">
        <f xml:space="preserve"> ProjectCashflows!AA$34</f>
        <v>2037</v>
      </c>
      <c r="AB1" s="364">
        <f xml:space="preserve"> ProjectCashflows!AB$34</f>
        <v>2038</v>
      </c>
      <c r="AC1" s="364">
        <f xml:space="preserve"> ProjectCashflows!AC$34</f>
        <v>2039</v>
      </c>
      <c r="AD1" s="364">
        <f xml:space="preserve"> ProjectCashflows!AD$34</f>
        <v>2040</v>
      </c>
      <c r="AE1" s="364">
        <f xml:space="preserve"> ProjectCashflows!AE$34</f>
        <v>2041</v>
      </c>
      <c r="AF1" s="364">
        <f xml:space="preserve"> ProjectCashflows!AF$34</f>
        <v>2042</v>
      </c>
      <c r="AG1" s="364">
        <f xml:space="preserve"> ProjectCashflows!AG$34</f>
        <v>2043</v>
      </c>
      <c r="AH1" s="364">
        <f xml:space="preserve"> ProjectCashflows!AH$34</f>
        <v>2044</v>
      </c>
      <c r="AI1" s="364">
        <f xml:space="preserve"> ProjectCashflows!AI$34</f>
        <v>2045</v>
      </c>
      <c r="AJ1" s="364">
        <f xml:space="preserve"> ProjectCashflows!AJ$34</f>
        <v>2046</v>
      </c>
      <c r="AK1" s="364">
        <f xml:space="preserve"> ProjectCashflows!AK$34</f>
        <v>2047</v>
      </c>
      <c r="AL1" s="364">
        <f xml:space="preserve"> ProjectCashflows!AL$34</f>
        <v>2048</v>
      </c>
      <c r="AM1" s="364">
        <f xml:space="preserve"> ProjectCashflows!AM$34</f>
        <v>2049</v>
      </c>
      <c r="AN1" s="364">
        <f xml:space="preserve"> ProjectCashflows!AN$34</f>
        <v>2050</v>
      </c>
      <c r="AO1" s="364">
        <f xml:space="preserve"> ProjectCashflows!AO$34</f>
        <v>2051</v>
      </c>
      <c r="AP1" s="364">
        <f xml:space="preserve"> ProjectCashflows!AP$34</f>
        <v>2052</v>
      </c>
      <c r="AQ1" s="364">
        <f xml:space="preserve"> ProjectCashflows!AQ$34</f>
        <v>2053</v>
      </c>
      <c r="AR1" s="364">
        <f xml:space="preserve"> ProjectCashflows!AR$34</f>
        <v>2054</v>
      </c>
      <c r="AS1" s="364">
        <f xml:space="preserve"> ProjectCashflows!AS$34</f>
        <v>2055</v>
      </c>
      <c r="AT1" s="364">
        <f xml:space="preserve"> ProjectCashflows!AT$34</f>
        <v>2056</v>
      </c>
      <c r="AU1" s="364">
        <f xml:space="preserve"> ProjectCashflows!AU$34</f>
        <v>2057</v>
      </c>
      <c r="AV1" s="364">
        <f xml:space="preserve"> ProjectCashflows!AV$34</f>
        <v>2058</v>
      </c>
      <c r="AW1" s="364">
        <f xml:space="preserve"> ProjectCashflows!AW$34</f>
        <v>2059</v>
      </c>
      <c r="AX1" s="364">
        <f xml:space="preserve"> ProjectCashflows!AX$34</f>
        <v>2060</v>
      </c>
    </row>
    <row r="2" spans="1:50" ht="15" customHeight="1" x14ac:dyDescent="0.25">
      <c r="E2" s="3" t="str">
        <f xml:space="preserve"> Translate!E$597</f>
        <v>Row description</v>
      </c>
      <c r="F2" s="250" t="str">
        <f xml:space="preserve"> Translate!E$598</f>
        <v>Constant</v>
      </c>
      <c r="G2" s="931" t="str">
        <f xml:space="preserve"> Translate!E$599</f>
        <v>Units</v>
      </c>
      <c r="H2" s="90" t="str">
        <f>Translate!E600</f>
        <v>Comments</v>
      </c>
      <c r="I2" s="213" t="str">
        <f xml:space="preserve"> Translate!E$601</f>
        <v>Total</v>
      </c>
      <c r="J2" s="48"/>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row>
    <row r="3" spans="1:50" s="27" customFormat="1" ht="15" customHeight="1" x14ac:dyDescent="0.25">
      <c r="A3" s="39"/>
      <c r="B3" s="39"/>
      <c r="C3" s="302"/>
      <c r="D3" s="303"/>
      <c r="E3" s="89"/>
      <c r="F3" s="159">
        <f ca="1" xml:space="preserve"> ReadMe!$D$7</f>
        <v>0</v>
      </c>
      <c r="G3" s="90" t="str">
        <f xml:space="preserve"> ReadMe!$E$7</f>
        <v>Checks</v>
      </c>
      <c r="H3" s="90"/>
      <c r="I3" s="90"/>
      <c r="J3" s="48"/>
      <c r="K3" s="304"/>
      <c r="L3" s="304"/>
      <c r="M3" s="304"/>
      <c r="N3" s="304"/>
      <c r="O3" s="304"/>
      <c r="P3" s="304"/>
      <c r="Q3" s="304"/>
      <c r="R3" s="304"/>
      <c r="S3" s="304"/>
      <c r="T3" s="304"/>
      <c r="U3" s="304"/>
      <c r="V3" s="304"/>
      <c r="W3" s="304"/>
      <c r="X3" s="304"/>
      <c r="Y3" s="304"/>
      <c r="Z3" s="304"/>
      <c r="AA3" s="304"/>
      <c r="AB3" s="304"/>
      <c r="AC3" s="304"/>
      <c r="AD3" s="304"/>
      <c r="AE3" s="304"/>
      <c r="AF3" s="304"/>
      <c r="AG3" s="304"/>
      <c r="AH3" s="304"/>
      <c r="AI3" s="304"/>
      <c r="AJ3" s="304"/>
      <c r="AK3" s="304"/>
      <c r="AL3" s="304"/>
      <c r="AM3" s="304"/>
      <c r="AN3" s="304"/>
      <c r="AO3" s="304"/>
      <c r="AP3" s="304"/>
      <c r="AQ3" s="304"/>
      <c r="AR3" s="304"/>
      <c r="AS3" s="304"/>
      <c r="AT3" s="304"/>
      <c r="AU3" s="304"/>
      <c r="AV3" s="304"/>
      <c r="AW3" s="304"/>
      <c r="AX3" s="304"/>
    </row>
    <row r="4" spans="1:50" ht="15" customHeight="1" x14ac:dyDescent="0.25">
      <c r="A4" s="99" t="str">
        <f>Translate!E$726</f>
        <v>Project data</v>
      </c>
      <c r="B4" s="99"/>
      <c r="C4" s="99"/>
      <c r="D4" s="99"/>
      <c r="E4" s="101"/>
      <c r="F4" s="99"/>
      <c r="G4" s="99"/>
      <c r="H4" s="99"/>
      <c r="I4" s="99"/>
      <c r="J4" s="99"/>
      <c r="K4" s="99"/>
      <c r="L4" s="99"/>
      <c r="M4" s="99"/>
      <c r="N4" s="99"/>
      <c r="O4" s="99"/>
      <c r="P4" s="99"/>
      <c r="Q4" s="99"/>
      <c r="R4" s="99"/>
      <c r="S4" s="99"/>
      <c r="T4" s="99"/>
      <c r="U4" s="99"/>
      <c r="V4" s="99"/>
      <c r="W4" s="99"/>
      <c r="X4" s="99"/>
      <c r="Y4" s="99"/>
      <c r="Z4" s="99"/>
      <c r="AA4" s="99"/>
      <c r="AB4" s="99"/>
      <c r="AC4" s="99"/>
      <c r="AD4" s="99"/>
      <c r="AE4" s="99"/>
      <c r="AF4" s="99"/>
      <c r="AG4" s="99"/>
      <c r="AH4" s="99"/>
      <c r="AI4" s="99"/>
      <c r="AJ4" s="99"/>
      <c r="AK4" s="99"/>
      <c r="AL4" s="99"/>
      <c r="AM4" s="99"/>
      <c r="AN4" s="99"/>
      <c r="AO4" s="99"/>
      <c r="AP4" s="99"/>
      <c r="AQ4" s="99"/>
      <c r="AR4" s="99"/>
      <c r="AS4" s="99"/>
      <c r="AT4" s="99"/>
      <c r="AU4" s="99"/>
      <c r="AV4" s="99"/>
      <c r="AW4" s="99"/>
      <c r="AX4" s="99"/>
    </row>
    <row r="6" spans="1:50" ht="15" customHeight="1" x14ac:dyDescent="0.25">
      <c r="E6" s="24" t="str">
        <f xml:space="preserve"> Translate!E$709</f>
        <v>This project example sheet name</v>
      </c>
      <c r="F6" s="349" t="str">
        <f ca="1" xml:space="preserve"> A1</f>
        <v>200MMbbl</v>
      </c>
      <c r="G6" s="56" t="str">
        <f>Translate!E$528</f>
        <v>Label</v>
      </c>
      <c r="H6" s="544"/>
      <c r="I6" s="544"/>
      <c r="J6" s="544"/>
      <c r="K6" s="544"/>
      <c r="L6" s="544"/>
      <c r="M6" s="544"/>
      <c r="N6" s="544"/>
      <c r="O6" s="544"/>
      <c r="P6" s="544"/>
      <c r="Q6" s="544"/>
      <c r="R6" s="544"/>
      <c r="S6" s="544"/>
      <c r="T6" s="544"/>
      <c r="U6" s="544"/>
      <c r="V6" s="544"/>
      <c r="W6" s="544"/>
      <c r="X6" s="544"/>
      <c r="Y6" s="544"/>
      <c r="Z6" s="544"/>
      <c r="AA6" s="544"/>
      <c r="AB6" s="544"/>
      <c r="AC6" s="544"/>
      <c r="AD6" s="544"/>
      <c r="AE6" s="544"/>
      <c r="AF6" s="544"/>
      <c r="AG6" s="544"/>
      <c r="AH6" s="544"/>
      <c r="AI6" s="544"/>
      <c r="AJ6" s="544"/>
      <c r="AK6" s="544"/>
      <c r="AL6" s="544"/>
      <c r="AM6" s="544"/>
      <c r="AN6" s="544"/>
      <c r="AO6" s="544"/>
      <c r="AP6" s="544"/>
      <c r="AQ6" s="544"/>
      <c r="AR6" s="544"/>
      <c r="AS6" s="544"/>
      <c r="AT6" s="544"/>
      <c r="AU6" s="544"/>
      <c r="AV6" s="544"/>
      <c r="AW6" s="544"/>
      <c r="AX6" s="544"/>
    </row>
    <row r="7" spans="1:50" ht="15" customHeight="1" x14ac:dyDescent="0.25">
      <c r="E7" s="544"/>
      <c r="F7" s="544"/>
      <c r="G7" s="544"/>
      <c r="H7" s="544"/>
      <c r="I7" s="544"/>
      <c r="J7" s="544"/>
      <c r="K7" s="544"/>
      <c r="L7" s="544"/>
      <c r="M7" s="544"/>
      <c r="N7" s="544"/>
      <c r="O7" s="544"/>
      <c r="P7" s="544"/>
      <c r="Q7" s="544"/>
      <c r="R7" s="544"/>
      <c r="S7" s="544"/>
      <c r="T7" s="544"/>
      <c r="U7" s="544"/>
      <c r="V7" s="544"/>
      <c r="W7" s="544"/>
      <c r="X7" s="544"/>
      <c r="Y7" s="544"/>
      <c r="Z7" s="544"/>
      <c r="AA7" s="544"/>
      <c r="AB7" s="544"/>
      <c r="AC7" s="544"/>
      <c r="AD7" s="544"/>
      <c r="AE7" s="544"/>
      <c r="AF7" s="544"/>
      <c r="AG7" s="544"/>
      <c r="AH7" s="544"/>
      <c r="AI7" s="544"/>
      <c r="AJ7" s="544"/>
      <c r="AK7" s="544"/>
      <c r="AL7" s="544"/>
      <c r="AM7" s="544"/>
      <c r="AN7" s="544"/>
      <c r="AO7" s="544"/>
      <c r="AP7" s="544"/>
      <c r="AQ7" s="544"/>
      <c r="AR7" s="544"/>
      <c r="AS7" s="544"/>
      <c r="AT7" s="544"/>
      <c r="AU7" s="544"/>
      <c r="AV7" s="544"/>
      <c r="AW7" s="544"/>
      <c r="AX7" s="544"/>
    </row>
    <row r="8" spans="1:50" ht="15" customHeight="1" x14ac:dyDescent="0.25">
      <c r="B8" s="21" t="str">
        <f>Translate!E$726</f>
        <v>Project data</v>
      </c>
      <c r="E8" s="544"/>
      <c r="F8" s="544"/>
      <c r="G8" s="544"/>
      <c r="H8" s="544"/>
      <c r="I8" s="544"/>
      <c r="J8" s="1023"/>
      <c r="K8" s="1" t="str">
        <f xml:space="preserve"> Translate!E$798</f>
        <v>Do not change row of this block</v>
      </c>
      <c r="L8" s="1023"/>
      <c r="M8" s="1023"/>
      <c r="N8" s="1023"/>
      <c r="O8" s="1023"/>
      <c r="P8" s="1023"/>
      <c r="Q8" s="1023"/>
      <c r="R8" s="1023"/>
      <c r="S8" s="1023"/>
      <c r="T8" s="1023"/>
      <c r="U8" s="1023"/>
      <c r="V8" s="1023"/>
      <c r="W8" s="1023"/>
      <c r="X8" s="1023"/>
      <c r="Y8" s="1023"/>
      <c r="Z8" s="1023"/>
      <c r="AA8" s="1023"/>
      <c r="AB8" s="1023"/>
      <c r="AC8" s="1023"/>
      <c r="AD8" s="1023"/>
      <c r="AE8" s="1023"/>
      <c r="AF8" s="1023"/>
      <c r="AG8" s="1023"/>
      <c r="AH8" s="1023"/>
      <c r="AI8" s="1023"/>
      <c r="AJ8" s="1023"/>
      <c r="AK8" s="1023"/>
      <c r="AL8" s="1023"/>
      <c r="AM8" s="1023"/>
      <c r="AN8" s="1023"/>
      <c r="AO8" s="1023"/>
      <c r="AP8" s="1023"/>
      <c r="AQ8" s="1023"/>
      <c r="AR8" s="1023"/>
      <c r="AS8" s="1023"/>
      <c r="AT8" s="1023"/>
      <c r="AU8" s="1023"/>
      <c r="AV8" s="1023"/>
      <c r="AW8" s="1023"/>
      <c r="AX8" s="1023"/>
    </row>
    <row r="9" spans="1:50" ht="15" customHeight="1" x14ac:dyDescent="0.25">
      <c r="E9" s="544" t="str">
        <f>Translate!E710</f>
        <v>Oil production RATE</v>
      </c>
      <c r="F9" s="544"/>
      <c r="G9" s="544" t="str">
        <f xml:space="preserve"> Translate!E$611</f>
        <v>KBOPD</v>
      </c>
      <c r="H9" s="544"/>
      <c r="I9" s="544"/>
      <c r="J9" s="1023"/>
      <c r="K9" s="1081">
        <v>0</v>
      </c>
      <c r="L9" s="1081">
        <v>0</v>
      </c>
      <c r="M9" s="1081">
        <v>0</v>
      </c>
      <c r="N9" s="1081">
        <v>0</v>
      </c>
      <c r="O9" s="1081">
        <v>0</v>
      </c>
      <c r="P9" s="1081">
        <v>0</v>
      </c>
      <c r="Q9" s="1081">
        <v>0</v>
      </c>
      <c r="R9" s="1081">
        <v>9.5471162223815913</v>
      </c>
      <c r="S9" s="1081">
        <v>55</v>
      </c>
      <c r="T9" s="1081">
        <v>55</v>
      </c>
      <c r="U9" s="1081">
        <v>55</v>
      </c>
      <c r="V9" s="1081">
        <v>55</v>
      </c>
      <c r="W9" s="1081">
        <v>55</v>
      </c>
      <c r="X9" s="1081">
        <f t="shared" ref="X9:AF9" si="0" xml:space="preserve"> W9 * $F$23</f>
        <v>47.85</v>
      </c>
      <c r="Y9" s="1081">
        <f t="shared" si="0"/>
        <v>41.6295</v>
      </c>
      <c r="Z9" s="1081">
        <f t="shared" si="0"/>
        <v>36.217664999999997</v>
      </c>
      <c r="AA9" s="1081">
        <f t="shared" si="0"/>
        <v>31.509368549999998</v>
      </c>
      <c r="AB9" s="1081">
        <f t="shared" si="0"/>
        <v>27.413150638499999</v>
      </c>
      <c r="AC9" s="1081">
        <f t="shared" si="0"/>
        <v>23.849441055494999</v>
      </c>
      <c r="AD9" s="1081">
        <f t="shared" si="0"/>
        <v>20.749013718280651</v>
      </c>
      <c r="AE9" s="1081">
        <f t="shared" si="0"/>
        <v>18.051641934904165</v>
      </c>
      <c r="AF9" s="1081">
        <f t="shared" si="0"/>
        <v>15.704928483366624</v>
      </c>
      <c r="AG9" s="1081"/>
      <c r="AH9" s="1081"/>
      <c r="AI9" s="1081"/>
      <c r="AJ9" s="1081"/>
      <c r="AK9" s="1081"/>
      <c r="AL9" s="1081"/>
      <c r="AM9" s="1081"/>
      <c r="AN9" s="1081"/>
      <c r="AO9" s="1081"/>
      <c r="AP9" s="1081"/>
      <c r="AQ9" s="1081"/>
      <c r="AR9" s="1081"/>
      <c r="AS9" s="1081"/>
      <c r="AT9" s="1081"/>
      <c r="AU9" s="1081"/>
      <c r="AV9" s="1081"/>
      <c r="AW9" s="1081"/>
      <c r="AX9" s="1081"/>
    </row>
    <row r="10" spans="1:50" ht="15" customHeight="1" x14ac:dyDescent="0.25">
      <c r="E10" s="544" t="str">
        <f>Translate!E711</f>
        <v>Transport costs post-fiscal point</v>
      </c>
      <c r="F10" s="544"/>
      <c r="G10" s="544" t="str">
        <f xml:space="preserve"> Inputs!F$52</f>
        <v>US$ mn 2021</v>
      </c>
      <c r="H10" s="544"/>
      <c r="I10" s="544">
        <f t="shared" ref="I10:I15" si="1" xml:space="preserve"> SUM(K10:AX10)</f>
        <v>0</v>
      </c>
      <c r="J10" s="1023"/>
      <c r="K10" s="1081">
        <f xml:space="preserve"> K9 * $F18 / $F19 * $F26</f>
        <v>0</v>
      </c>
      <c r="L10" s="1081">
        <f t="shared" ref="L10:AX10" si="2" xml:space="preserve"> L9 * $F18 / $F19 * $F26</f>
        <v>0</v>
      </c>
      <c r="M10" s="1081">
        <f t="shared" si="2"/>
        <v>0</v>
      </c>
      <c r="N10" s="1081">
        <f t="shared" si="2"/>
        <v>0</v>
      </c>
      <c r="O10" s="1081">
        <f t="shared" si="2"/>
        <v>0</v>
      </c>
      <c r="P10" s="1081">
        <f t="shared" si="2"/>
        <v>0</v>
      </c>
      <c r="Q10" s="1081">
        <f t="shared" si="2"/>
        <v>0</v>
      </c>
      <c r="R10" s="1081">
        <f t="shared" si="2"/>
        <v>0</v>
      </c>
      <c r="S10" s="1081">
        <f t="shared" si="2"/>
        <v>0</v>
      </c>
      <c r="T10" s="1081">
        <f t="shared" si="2"/>
        <v>0</v>
      </c>
      <c r="U10" s="1081">
        <f t="shared" si="2"/>
        <v>0</v>
      </c>
      <c r="V10" s="1081">
        <f t="shared" si="2"/>
        <v>0</v>
      </c>
      <c r="W10" s="1081">
        <f t="shared" si="2"/>
        <v>0</v>
      </c>
      <c r="X10" s="1081">
        <f t="shared" si="2"/>
        <v>0</v>
      </c>
      <c r="Y10" s="1081">
        <f t="shared" si="2"/>
        <v>0</v>
      </c>
      <c r="Z10" s="1081">
        <f t="shared" si="2"/>
        <v>0</v>
      </c>
      <c r="AA10" s="1081">
        <f t="shared" si="2"/>
        <v>0</v>
      </c>
      <c r="AB10" s="1081">
        <f t="shared" si="2"/>
        <v>0</v>
      </c>
      <c r="AC10" s="1081">
        <f t="shared" si="2"/>
        <v>0</v>
      </c>
      <c r="AD10" s="1081">
        <f t="shared" si="2"/>
        <v>0</v>
      </c>
      <c r="AE10" s="1081">
        <f t="shared" si="2"/>
        <v>0</v>
      </c>
      <c r="AF10" s="1081">
        <f t="shared" si="2"/>
        <v>0</v>
      </c>
      <c r="AG10" s="1081">
        <f t="shared" si="2"/>
        <v>0</v>
      </c>
      <c r="AH10" s="1081">
        <f t="shared" si="2"/>
        <v>0</v>
      </c>
      <c r="AI10" s="1081">
        <f t="shared" si="2"/>
        <v>0</v>
      </c>
      <c r="AJ10" s="1081">
        <f t="shared" si="2"/>
        <v>0</v>
      </c>
      <c r="AK10" s="1081">
        <f t="shared" si="2"/>
        <v>0</v>
      </c>
      <c r="AL10" s="1081">
        <f t="shared" si="2"/>
        <v>0</v>
      </c>
      <c r="AM10" s="1081">
        <f t="shared" si="2"/>
        <v>0</v>
      </c>
      <c r="AN10" s="1081">
        <f t="shared" si="2"/>
        <v>0</v>
      </c>
      <c r="AO10" s="1081">
        <f t="shared" si="2"/>
        <v>0</v>
      </c>
      <c r="AP10" s="1081">
        <f t="shared" si="2"/>
        <v>0</v>
      </c>
      <c r="AQ10" s="1081">
        <f t="shared" si="2"/>
        <v>0</v>
      </c>
      <c r="AR10" s="1081">
        <f t="shared" si="2"/>
        <v>0</v>
      </c>
      <c r="AS10" s="1081">
        <f t="shared" si="2"/>
        <v>0</v>
      </c>
      <c r="AT10" s="1081">
        <f t="shared" si="2"/>
        <v>0</v>
      </c>
      <c r="AU10" s="1081">
        <f t="shared" si="2"/>
        <v>0</v>
      </c>
      <c r="AV10" s="1081">
        <f t="shared" si="2"/>
        <v>0</v>
      </c>
      <c r="AW10" s="1081">
        <f t="shared" si="2"/>
        <v>0</v>
      </c>
      <c r="AX10" s="1081">
        <f t="shared" si="2"/>
        <v>0</v>
      </c>
    </row>
    <row r="11" spans="1:50" ht="15" customHeight="1" x14ac:dyDescent="0.25">
      <c r="E11" s="544" t="str">
        <f>Translate!E712</f>
        <v>Exploration costs</v>
      </c>
      <c r="F11" s="1082"/>
      <c r="G11" s="544" t="str">
        <f xml:space="preserve"> Inputs!F$52</f>
        <v>US$ mn 2021</v>
      </c>
      <c r="H11" s="544"/>
      <c r="I11" s="544">
        <f t="shared" si="1"/>
        <v>420</v>
      </c>
      <c r="J11" s="1023"/>
      <c r="K11" s="1081">
        <v>50</v>
      </c>
      <c r="L11" s="1081">
        <v>200</v>
      </c>
      <c r="M11" s="1081">
        <v>150</v>
      </c>
      <c r="N11" s="1081">
        <v>20</v>
      </c>
      <c r="O11" s="1081"/>
      <c r="P11" s="1081"/>
      <c r="Q11" s="1081">
        <v>0</v>
      </c>
      <c r="R11" s="1081">
        <v>0</v>
      </c>
      <c r="S11" s="1081">
        <v>0</v>
      </c>
      <c r="T11" s="1081">
        <v>0</v>
      </c>
      <c r="U11" s="1081">
        <v>0</v>
      </c>
      <c r="V11" s="1081">
        <v>0</v>
      </c>
      <c r="W11" s="1081">
        <v>0</v>
      </c>
      <c r="X11" s="1081">
        <v>0</v>
      </c>
      <c r="Y11" s="1081">
        <v>0</v>
      </c>
      <c r="Z11" s="1081">
        <v>0</v>
      </c>
      <c r="AA11" s="1081">
        <v>0</v>
      </c>
      <c r="AB11" s="1081">
        <v>0</v>
      </c>
      <c r="AC11" s="1081">
        <v>0</v>
      </c>
      <c r="AD11" s="1081">
        <v>0</v>
      </c>
      <c r="AE11" s="1081">
        <v>0</v>
      </c>
      <c r="AF11" s="1081">
        <v>0</v>
      </c>
      <c r="AG11" s="1081">
        <v>0</v>
      </c>
      <c r="AH11" s="1081">
        <v>0</v>
      </c>
      <c r="AI11" s="1081">
        <v>0</v>
      </c>
      <c r="AJ11" s="1081">
        <v>0</v>
      </c>
      <c r="AK11" s="1081">
        <v>0</v>
      </c>
      <c r="AL11" s="1081">
        <v>0</v>
      </c>
      <c r="AM11" s="1081">
        <v>0</v>
      </c>
      <c r="AN11" s="1081">
        <v>0</v>
      </c>
      <c r="AO11" s="1081">
        <v>0</v>
      </c>
      <c r="AP11" s="1081">
        <v>0</v>
      </c>
      <c r="AQ11" s="1081">
        <v>0</v>
      </c>
      <c r="AR11" s="1081">
        <v>0</v>
      </c>
      <c r="AS11" s="1081">
        <v>0</v>
      </c>
      <c r="AT11" s="1081">
        <v>0</v>
      </c>
      <c r="AU11" s="1081">
        <v>0</v>
      </c>
      <c r="AV11" s="1081">
        <v>0</v>
      </c>
      <c r="AW11" s="1081">
        <v>0</v>
      </c>
      <c r="AX11" s="1081"/>
    </row>
    <row r="12" spans="1:50" ht="15" customHeight="1" x14ac:dyDescent="0.25">
      <c r="E12" s="544" t="str">
        <f>Translate!E713</f>
        <v>Development costs</v>
      </c>
      <c r="F12" s="1082"/>
      <c r="G12" s="544" t="str">
        <f xml:space="preserve"> Inputs!F$52</f>
        <v>US$ mn 2021</v>
      </c>
      <c r="H12" s="544"/>
      <c r="I12" s="544">
        <f t="shared" si="1"/>
        <v>1650</v>
      </c>
      <c r="J12" s="1023"/>
      <c r="K12" s="1081">
        <v>0</v>
      </c>
      <c r="L12" s="1081">
        <v>0</v>
      </c>
      <c r="M12" s="1081">
        <v>0</v>
      </c>
      <c r="N12" s="1081">
        <v>0</v>
      </c>
      <c r="O12" s="1081">
        <v>50</v>
      </c>
      <c r="P12" s="1081">
        <v>400</v>
      </c>
      <c r="Q12" s="1081">
        <v>600</v>
      </c>
      <c r="R12" s="1081">
        <v>600</v>
      </c>
      <c r="S12" s="1081"/>
      <c r="T12" s="1081"/>
      <c r="U12" s="1081"/>
      <c r="V12" s="1081"/>
      <c r="W12" s="1081"/>
      <c r="X12" s="1081"/>
      <c r="Y12" s="1081"/>
      <c r="Z12" s="1081"/>
      <c r="AA12" s="1081"/>
      <c r="AB12" s="1081"/>
      <c r="AC12" s="1081"/>
      <c r="AD12" s="1081"/>
      <c r="AE12" s="1081"/>
      <c r="AF12" s="1081"/>
      <c r="AG12" s="1081"/>
      <c r="AH12" s="1081"/>
      <c r="AI12" s="1081"/>
      <c r="AJ12" s="1081"/>
      <c r="AK12" s="1081"/>
      <c r="AL12" s="1081"/>
      <c r="AM12" s="1081"/>
      <c r="AN12" s="1081"/>
      <c r="AO12" s="1081"/>
      <c r="AP12" s="1081"/>
      <c r="AQ12" s="1081"/>
      <c r="AR12" s="1081"/>
      <c r="AS12" s="1081"/>
      <c r="AT12" s="1081"/>
      <c r="AU12" s="1081"/>
      <c r="AV12" s="1081"/>
      <c r="AW12" s="1081"/>
      <c r="AX12" s="1081"/>
    </row>
    <row r="13" spans="1:50" ht="15" customHeight="1" x14ac:dyDescent="0.25">
      <c r="E13" s="544" t="str">
        <f>Translate!E714</f>
        <v>Replacement capital costs</v>
      </c>
      <c r="F13" s="1082"/>
      <c r="G13" s="544" t="str">
        <f xml:space="preserve"> Inputs!F$52</f>
        <v>US$ mn 2021</v>
      </c>
      <c r="H13" s="544"/>
      <c r="I13" s="544">
        <f t="shared" si="1"/>
        <v>0</v>
      </c>
      <c r="J13" s="1023"/>
      <c r="K13" s="1081"/>
      <c r="L13" s="1081"/>
      <c r="M13" s="1081"/>
      <c r="N13" s="1081"/>
      <c r="O13" s="1081"/>
      <c r="P13" s="1081"/>
      <c r="Q13" s="1081"/>
      <c r="R13" s="1081"/>
      <c r="S13" s="1081"/>
      <c r="T13" s="1081"/>
      <c r="U13" s="1081"/>
      <c r="V13" s="1081"/>
      <c r="W13" s="1081"/>
      <c r="X13" s="1081"/>
      <c r="Y13" s="1081"/>
      <c r="Z13" s="1081"/>
      <c r="AA13" s="1081"/>
      <c r="AB13" s="1081"/>
      <c r="AC13" s="1081"/>
      <c r="AD13" s="1081"/>
      <c r="AE13" s="1081"/>
      <c r="AF13" s="1081"/>
      <c r="AG13" s="1081"/>
      <c r="AH13" s="1081"/>
      <c r="AI13" s="1081"/>
      <c r="AJ13" s="1081"/>
      <c r="AK13" s="1081"/>
      <c r="AL13" s="1081"/>
      <c r="AM13" s="1081"/>
      <c r="AN13" s="1081"/>
      <c r="AO13" s="1081"/>
      <c r="AP13" s="1081"/>
      <c r="AQ13" s="1081"/>
      <c r="AR13" s="1081"/>
      <c r="AS13" s="1081"/>
      <c r="AT13" s="1081"/>
      <c r="AU13" s="1081"/>
      <c r="AV13" s="1081"/>
      <c r="AW13" s="1081"/>
      <c r="AX13" s="1081"/>
    </row>
    <row r="14" spans="1:50" ht="15" customHeight="1" x14ac:dyDescent="0.25">
      <c r="E14" s="544" t="str">
        <f>Translate!E715</f>
        <v>Operating costs</v>
      </c>
      <c r="F14" s="1082"/>
      <c r="G14" s="544" t="str">
        <f xml:space="preserve"> Inputs!F$52</f>
        <v>US$ mn 2021</v>
      </c>
      <c r="H14" s="544"/>
      <c r="I14" s="544">
        <f t="shared" si="1"/>
        <v>2124.2273317253434</v>
      </c>
      <c r="J14" s="1023"/>
      <c r="K14" s="1081">
        <f xml:space="preserve"> IF( K9 &gt; 0, $F$27 + K9 * 0.365 * $F$28, 0)</f>
        <v>0</v>
      </c>
      <c r="L14" s="1081">
        <f t="shared" ref="L14:AX14" si="3" xml:space="preserve"> IF( L9 &gt; 0, $F$27 + L9 * 0.365 * $F$28, 0)</f>
        <v>0</v>
      </c>
      <c r="M14" s="1081">
        <f t="shared" si="3"/>
        <v>0</v>
      </c>
      <c r="N14" s="1081">
        <f t="shared" si="3"/>
        <v>0</v>
      </c>
      <c r="O14" s="1081">
        <f t="shared" si="3"/>
        <v>0</v>
      </c>
      <c r="P14" s="1081">
        <f t="shared" si="3"/>
        <v>0</v>
      </c>
      <c r="Q14" s="1081">
        <f t="shared" si="3"/>
        <v>0</v>
      </c>
      <c r="R14" s="1081">
        <f t="shared" si="3"/>
        <v>92.423487105846405</v>
      </c>
      <c r="S14" s="1081">
        <f t="shared" si="3"/>
        <v>175.375</v>
      </c>
      <c r="T14" s="1081">
        <f t="shared" si="3"/>
        <v>175.375</v>
      </c>
      <c r="U14" s="1081">
        <f t="shared" si="3"/>
        <v>175.375</v>
      </c>
      <c r="V14" s="1081">
        <f t="shared" si="3"/>
        <v>175.375</v>
      </c>
      <c r="W14" s="1081">
        <f t="shared" si="3"/>
        <v>175.375</v>
      </c>
      <c r="X14" s="1081">
        <f t="shared" si="3"/>
        <v>162.32625000000002</v>
      </c>
      <c r="Y14" s="1081">
        <f t="shared" si="3"/>
        <v>150.9738375</v>
      </c>
      <c r="Z14" s="1081">
        <f t="shared" si="3"/>
        <v>141.09723862499999</v>
      </c>
      <c r="AA14" s="1081">
        <f t="shared" si="3"/>
        <v>132.50459760375</v>
      </c>
      <c r="AB14" s="1081">
        <f t="shared" si="3"/>
        <v>125.02899991526249</v>
      </c>
      <c r="AC14" s="1081">
        <f t="shared" si="3"/>
        <v>118.52522992627837</v>
      </c>
      <c r="AD14" s="1081">
        <f t="shared" si="3"/>
        <v>112.86695003586219</v>
      </c>
      <c r="AE14" s="1081">
        <f t="shared" si="3"/>
        <v>107.94424653120009</v>
      </c>
      <c r="AF14" s="1081">
        <f t="shared" si="3"/>
        <v>103.66149448214409</v>
      </c>
      <c r="AG14" s="1081">
        <f t="shared" si="3"/>
        <v>0</v>
      </c>
      <c r="AH14" s="1081">
        <f t="shared" si="3"/>
        <v>0</v>
      </c>
      <c r="AI14" s="1081">
        <f t="shared" si="3"/>
        <v>0</v>
      </c>
      <c r="AJ14" s="1081">
        <f t="shared" si="3"/>
        <v>0</v>
      </c>
      <c r="AK14" s="1081">
        <f t="shared" si="3"/>
        <v>0</v>
      </c>
      <c r="AL14" s="1081">
        <f t="shared" si="3"/>
        <v>0</v>
      </c>
      <c r="AM14" s="1081">
        <f t="shared" si="3"/>
        <v>0</v>
      </c>
      <c r="AN14" s="1081">
        <f t="shared" si="3"/>
        <v>0</v>
      </c>
      <c r="AO14" s="1081">
        <f t="shared" si="3"/>
        <v>0</v>
      </c>
      <c r="AP14" s="1081">
        <f t="shared" si="3"/>
        <v>0</v>
      </c>
      <c r="AQ14" s="1081">
        <f t="shared" si="3"/>
        <v>0</v>
      </c>
      <c r="AR14" s="1081">
        <f t="shared" si="3"/>
        <v>0</v>
      </c>
      <c r="AS14" s="1081">
        <f t="shared" si="3"/>
        <v>0</v>
      </c>
      <c r="AT14" s="1081">
        <f t="shared" si="3"/>
        <v>0</v>
      </c>
      <c r="AU14" s="1081">
        <f t="shared" si="3"/>
        <v>0</v>
      </c>
      <c r="AV14" s="1081">
        <f t="shared" si="3"/>
        <v>0</v>
      </c>
      <c r="AW14" s="1081">
        <f t="shared" si="3"/>
        <v>0</v>
      </c>
      <c r="AX14" s="1081">
        <f t="shared" si="3"/>
        <v>0</v>
      </c>
    </row>
    <row r="15" spans="1:50" ht="15" customHeight="1" x14ac:dyDescent="0.25">
      <c r="E15" s="544" t="str">
        <f>Translate!E716</f>
        <v>Decommissioning costs</v>
      </c>
      <c r="F15" s="1082"/>
      <c r="G15" s="544" t="str">
        <f xml:space="preserve"> Inputs!F$52</f>
        <v>US$ mn 2021</v>
      </c>
      <c r="H15" s="544"/>
      <c r="I15" s="544">
        <f t="shared" si="1"/>
        <v>165</v>
      </c>
      <c r="J15" s="544"/>
      <c r="K15" s="1081"/>
      <c r="L15" s="1081"/>
      <c r="M15" s="1081"/>
      <c r="N15" s="1081"/>
      <c r="O15" s="1081">
        <v>0</v>
      </c>
      <c r="P15" s="1081">
        <v>0</v>
      </c>
      <c r="Q15" s="1081">
        <v>0</v>
      </c>
      <c r="R15" s="1081">
        <v>0</v>
      </c>
      <c r="S15" s="1081">
        <v>0</v>
      </c>
      <c r="T15" s="1081">
        <v>0</v>
      </c>
      <c r="U15" s="1081">
        <v>0</v>
      </c>
      <c r="V15" s="1081">
        <v>0</v>
      </c>
      <c r="W15" s="1081">
        <v>0</v>
      </c>
      <c r="X15" s="1081">
        <v>0</v>
      </c>
      <c r="Y15" s="1081">
        <v>0</v>
      </c>
      <c r="Z15" s="1081">
        <v>0</v>
      </c>
      <c r="AA15" s="1081">
        <v>0</v>
      </c>
      <c r="AB15" s="1081">
        <v>0</v>
      </c>
      <c r="AC15" s="1081">
        <v>0</v>
      </c>
      <c r="AD15" s="1081">
        <v>0</v>
      </c>
      <c r="AE15" s="1081">
        <v>0</v>
      </c>
      <c r="AF15" s="1081">
        <v>0</v>
      </c>
      <c r="AG15" s="1081">
        <f xml:space="preserve"> I12 * 0.1</f>
        <v>165</v>
      </c>
      <c r="AH15" s="1081">
        <v>0</v>
      </c>
      <c r="AI15" s="1081">
        <v>0</v>
      </c>
      <c r="AJ15" s="1081">
        <v>0</v>
      </c>
      <c r="AK15" s="1081">
        <v>0</v>
      </c>
      <c r="AL15" s="1081">
        <v>0</v>
      </c>
      <c r="AM15" s="1081">
        <v>0</v>
      </c>
      <c r="AN15" s="1081"/>
      <c r="AO15" s="1081"/>
      <c r="AP15" s="1081">
        <v>0</v>
      </c>
      <c r="AQ15" s="1081">
        <v>0</v>
      </c>
      <c r="AR15" s="1081">
        <v>0</v>
      </c>
      <c r="AS15" s="1081"/>
      <c r="AT15" s="1081"/>
      <c r="AU15" s="1081">
        <v>0</v>
      </c>
      <c r="AV15" s="1081">
        <v>0</v>
      </c>
      <c r="AW15" s="1081">
        <v>0</v>
      </c>
      <c r="AX15" s="1081"/>
    </row>
    <row r="16" spans="1:50" ht="15" customHeight="1" x14ac:dyDescent="0.25">
      <c r="E16" s="544" t="str">
        <f>Translate!E717</f>
        <v>Total costs</v>
      </c>
      <c r="F16" s="1082"/>
      <c r="G16" s="544" t="str">
        <f xml:space="preserve"> Inputs!F$52</f>
        <v>US$ mn 2021</v>
      </c>
      <c r="H16" s="544"/>
      <c r="I16" s="544">
        <f xml:space="preserve"> SUM(K16:AX16)</f>
        <v>4359.2273317253439</v>
      </c>
      <c r="J16" s="1023"/>
      <c r="K16" s="1023">
        <f xml:space="preserve"> SUM(K10:K15)</f>
        <v>50</v>
      </c>
      <c r="L16" s="1023">
        <f t="shared" ref="L16:AX16" si="4" xml:space="preserve"> SUM(L10:L15)</f>
        <v>200</v>
      </c>
      <c r="M16" s="1023">
        <f t="shared" si="4"/>
        <v>150</v>
      </c>
      <c r="N16" s="1023">
        <f t="shared" si="4"/>
        <v>20</v>
      </c>
      <c r="O16" s="1023">
        <f t="shared" si="4"/>
        <v>50</v>
      </c>
      <c r="P16" s="1023">
        <f t="shared" si="4"/>
        <v>400</v>
      </c>
      <c r="Q16" s="1023">
        <f t="shared" si="4"/>
        <v>600</v>
      </c>
      <c r="R16" s="1023">
        <f t="shared" si="4"/>
        <v>692.42348710584645</v>
      </c>
      <c r="S16" s="1023">
        <f t="shared" si="4"/>
        <v>175.375</v>
      </c>
      <c r="T16" s="1023">
        <f t="shared" si="4"/>
        <v>175.375</v>
      </c>
      <c r="U16" s="1023">
        <f t="shared" si="4"/>
        <v>175.375</v>
      </c>
      <c r="V16" s="1023">
        <f t="shared" si="4"/>
        <v>175.375</v>
      </c>
      <c r="W16" s="1023">
        <f t="shared" si="4"/>
        <v>175.375</v>
      </c>
      <c r="X16" s="1023">
        <f t="shared" si="4"/>
        <v>162.32625000000002</v>
      </c>
      <c r="Y16" s="1023">
        <f t="shared" si="4"/>
        <v>150.9738375</v>
      </c>
      <c r="Z16" s="1023">
        <f t="shared" si="4"/>
        <v>141.09723862499999</v>
      </c>
      <c r="AA16" s="1023">
        <f t="shared" si="4"/>
        <v>132.50459760375</v>
      </c>
      <c r="AB16" s="1023">
        <f t="shared" si="4"/>
        <v>125.02899991526249</v>
      </c>
      <c r="AC16" s="1023">
        <f t="shared" si="4"/>
        <v>118.52522992627837</v>
      </c>
      <c r="AD16" s="1023">
        <f t="shared" si="4"/>
        <v>112.86695003586219</v>
      </c>
      <c r="AE16" s="1023">
        <f t="shared" si="4"/>
        <v>107.94424653120009</v>
      </c>
      <c r="AF16" s="1023">
        <f t="shared" si="4"/>
        <v>103.66149448214409</v>
      </c>
      <c r="AG16" s="1023">
        <f t="shared" si="4"/>
        <v>165</v>
      </c>
      <c r="AH16" s="1023">
        <f t="shared" si="4"/>
        <v>0</v>
      </c>
      <c r="AI16" s="1023">
        <f t="shared" si="4"/>
        <v>0</v>
      </c>
      <c r="AJ16" s="1023">
        <f t="shared" si="4"/>
        <v>0</v>
      </c>
      <c r="AK16" s="1023">
        <f t="shared" si="4"/>
        <v>0</v>
      </c>
      <c r="AL16" s="1023">
        <f t="shared" si="4"/>
        <v>0</v>
      </c>
      <c r="AM16" s="1023">
        <f t="shared" si="4"/>
        <v>0</v>
      </c>
      <c r="AN16" s="1023">
        <f t="shared" si="4"/>
        <v>0</v>
      </c>
      <c r="AO16" s="1023">
        <f t="shared" si="4"/>
        <v>0</v>
      </c>
      <c r="AP16" s="1023">
        <f t="shared" si="4"/>
        <v>0</v>
      </c>
      <c r="AQ16" s="1023">
        <f t="shared" si="4"/>
        <v>0</v>
      </c>
      <c r="AR16" s="1023">
        <f t="shared" si="4"/>
        <v>0</v>
      </c>
      <c r="AS16" s="1023">
        <f t="shared" si="4"/>
        <v>0</v>
      </c>
      <c r="AT16" s="1023">
        <f t="shared" si="4"/>
        <v>0</v>
      </c>
      <c r="AU16" s="1023">
        <f t="shared" si="4"/>
        <v>0</v>
      </c>
      <c r="AV16" s="1023">
        <f t="shared" si="4"/>
        <v>0</v>
      </c>
      <c r="AW16" s="1023">
        <f t="shared" si="4"/>
        <v>0</v>
      </c>
      <c r="AX16" s="1023">
        <f t="shared" si="4"/>
        <v>0</v>
      </c>
    </row>
    <row r="17" spans="2:50" ht="15" customHeight="1" x14ac:dyDescent="0.25">
      <c r="E17" s="544"/>
      <c r="F17" s="544"/>
      <c r="G17" s="544"/>
      <c r="H17" s="544"/>
      <c r="I17" s="544"/>
      <c r="J17" s="1023"/>
      <c r="K17" s="1023"/>
      <c r="L17" s="1023"/>
      <c r="M17" s="1023"/>
      <c r="N17" s="1023"/>
      <c r="O17" s="1023"/>
      <c r="P17" s="1023"/>
      <c r="Q17" s="1023"/>
      <c r="R17" s="1023"/>
      <c r="S17" s="1023"/>
      <c r="T17" s="1023"/>
      <c r="U17" s="1023"/>
      <c r="V17" s="1023"/>
      <c r="W17" s="1023"/>
      <c r="X17" s="1023"/>
      <c r="Y17" s="1023"/>
      <c r="Z17" s="1023"/>
      <c r="AA17" s="1023"/>
      <c r="AB17" s="1023"/>
      <c r="AC17" s="1023"/>
      <c r="AD17" s="1023"/>
      <c r="AE17" s="1023"/>
      <c r="AF17" s="1023"/>
      <c r="AG17" s="1023"/>
      <c r="AH17" s="1023"/>
      <c r="AI17" s="1023"/>
      <c r="AJ17" s="1023"/>
      <c r="AK17" s="1023"/>
      <c r="AL17" s="1023"/>
      <c r="AM17" s="1023"/>
      <c r="AN17" s="1023"/>
      <c r="AO17" s="1023"/>
      <c r="AP17" s="1023"/>
      <c r="AQ17" s="1023"/>
      <c r="AR17" s="1023"/>
      <c r="AS17" s="1023"/>
      <c r="AT17" s="1023"/>
      <c r="AU17" s="1023"/>
      <c r="AV17" s="1023"/>
      <c r="AW17" s="1023"/>
      <c r="AX17" s="1023"/>
    </row>
    <row r="18" spans="2:50" ht="15" customHeight="1" x14ac:dyDescent="0.25">
      <c r="E18" s="304" t="str">
        <f xml:space="preserve"> Inputs!E$79</f>
        <v>Production days per year</v>
      </c>
      <c r="F18" s="304">
        <f xml:space="preserve"> Inputs!F$79</f>
        <v>365</v>
      </c>
      <c r="G18" s="304" t="str">
        <f xml:space="preserve"> Inputs!G$79</f>
        <v>Days</v>
      </c>
      <c r="H18" s="544"/>
      <c r="I18" s="544"/>
      <c r="J18" s="1023"/>
      <c r="K18" s="1023"/>
      <c r="L18" s="1023"/>
      <c r="M18" s="1023"/>
      <c r="N18" s="1023"/>
      <c r="O18" s="1023"/>
      <c r="P18" s="1023"/>
      <c r="Q18" s="1023"/>
      <c r="R18" s="544"/>
      <c r="S18" s="544"/>
      <c r="T18" s="1023"/>
      <c r="U18" s="1023"/>
      <c r="V18" s="1023"/>
      <c r="W18" s="1023"/>
      <c r="X18" s="1023"/>
      <c r="Y18" s="1023"/>
      <c r="Z18" s="1023"/>
      <c r="AA18" s="1023"/>
      <c r="AB18" s="1023"/>
      <c r="AC18" s="1023"/>
      <c r="AD18" s="1023"/>
      <c r="AE18" s="1023"/>
      <c r="AF18" s="1023"/>
      <c r="AG18" s="1023"/>
      <c r="AH18" s="1023"/>
      <c r="AI18" s="1023"/>
      <c r="AJ18" s="1023"/>
      <c r="AK18" s="1023"/>
      <c r="AL18" s="1023"/>
      <c r="AM18" s="1023"/>
      <c r="AN18" s="1023"/>
      <c r="AO18" s="1023"/>
      <c r="AP18" s="1023"/>
      <c r="AQ18" s="1023"/>
      <c r="AR18" s="1023"/>
      <c r="AS18" s="1023"/>
      <c r="AT18" s="1023"/>
      <c r="AU18" s="1023"/>
      <c r="AV18" s="1023"/>
      <c r="AW18" s="1023"/>
      <c r="AX18" s="1023"/>
    </row>
    <row r="19" spans="2:50" ht="15" customHeight="1" x14ac:dyDescent="0.25">
      <c r="E19" s="304" t="str">
        <f xml:space="preserve"> Inputs!E$81</f>
        <v>one thousand</v>
      </c>
      <c r="F19" s="304">
        <f xml:space="preserve"> Inputs!F$81</f>
        <v>1000</v>
      </c>
      <c r="G19" s="304" t="str">
        <f xml:space="preserve"> Inputs!G$81</f>
        <v>Constant</v>
      </c>
      <c r="H19" s="544"/>
      <c r="I19" s="544"/>
      <c r="J19" s="1023"/>
      <c r="K19" s="1023"/>
      <c r="L19" s="1023"/>
      <c r="M19" s="1023"/>
      <c r="N19" s="1023"/>
      <c r="O19" s="1023"/>
      <c r="P19" s="1023"/>
      <c r="Q19" s="1023"/>
      <c r="R19" s="544"/>
      <c r="S19" s="544"/>
      <c r="T19" s="1023"/>
      <c r="U19" s="1023"/>
      <c r="V19" s="1023"/>
      <c r="W19" s="1023"/>
      <c r="X19" s="1023"/>
      <c r="Y19" s="1023"/>
      <c r="Z19" s="1023"/>
      <c r="AA19" s="1023"/>
      <c r="AB19" s="1023"/>
      <c r="AC19" s="1023"/>
      <c r="AD19" s="1023"/>
      <c r="AE19" s="1023"/>
      <c r="AF19" s="1023"/>
      <c r="AG19" s="1023"/>
      <c r="AH19" s="1023"/>
      <c r="AI19" s="1023"/>
      <c r="AJ19" s="1023"/>
      <c r="AK19" s="1023"/>
      <c r="AL19" s="1023"/>
      <c r="AM19" s="1023"/>
      <c r="AN19" s="1023"/>
      <c r="AO19" s="1023"/>
      <c r="AP19" s="1023"/>
      <c r="AQ19" s="1023"/>
      <c r="AR19" s="1023"/>
      <c r="AS19" s="1023"/>
      <c r="AT19" s="1023"/>
      <c r="AU19" s="1023"/>
      <c r="AV19" s="1023"/>
      <c r="AW19" s="1023"/>
      <c r="AX19" s="1023"/>
    </row>
    <row r="20" spans="2:50" ht="15" customHeight="1" x14ac:dyDescent="0.25">
      <c r="E20" s="544" t="str">
        <f>Translate!E$601 &amp; ": " &amp; Translate!E718</f>
        <v>Total: Oil production</v>
      </c>
      <c r="F20" s="544">
        <f xml:space="preserve"> SUM(K9:AX9) * F18 / F19</f>
        <v>199.84546634506873</v>
      </c>
      <c r="G20" s="544" t="str">
        <f xml:space="preserve"> Translate!E$88</f>
        <v>Mn Bbl</v>
      </c>
      <c r="H20" s="544"/>
      <c r="I20" s="544"/>
      <c r="J20" s="1023"/>
      <c r="K20" s="1023"/>
      <c r="L20" s="1023"/>
      <c r="M20" s="1023"/>
      <c r="N20" s="1023"/>
      <c r="O20" s="1023"/>
      <c r="P20" s="1023"/>
      <c r="Q20" s="1023"/>
      <c r="R20" s="1023"/>
      <c r="S20" s="1023"/>
      <c r="T20" s="1023"/>
      <c r="U20" s="1023"/>
      <c r="V20" s="1023"/>
      <c r="W20" s="1023"/>
      <c r="X20" s="1023"/>
      <c r="Y20" s="1023"/>
      <c r="Z20" s="1023"/>
      <c r="AA20" s="1023"/>
      <c r="AB20" s="1023"/>
      <c r="AC20" s="1023"/>
      <c r="AD20" s="1023"/>
      <c r="AE20" s="1023"/>
      <c r="AF20" s="1023"/>
      <c r="AG20" s="1023"/>
      <c r="AH20" s="1023"/>
      <c r="AI20" s="1023"/>
      <c r="AJ20" s="1023"/>
      <c r="AK20" s="1023"/>
      <c r="AL20" s="1023"/>
      <c r="AM20" s="1023"/>
      <c r="AN20" s="1023"/>
      <c r="AO20" s="1023"/>
      <c r="AP20" s="1023"/>
      <c r="AQ20" s="1023"/>
      <c r="AR20" s="1023"/>
      <c r="AS20" s="1023"/>
      <c r="AT20" s="1023"/>
      <c r="AU20" s="1023"/>
      <c r="AV20" s="1023"/>
      <c r="AW20" s="1023"/>
      <c r="AX20" s="1023"/>
    </row>
    <row r="21" spans="2:50" ht="15" customHeight="1" x14ac:dyDescent="0.25">
      <c r="E21" s="544"/>
      <c r="F21" s="544"/>
      <c r="G21" s="544"/>
      <c r="H21" s="544"/>
      <c r="I21" s="544"/>
      <c r="J21" s="1023"/>
      <c r="K21" s="1023"/>
      <c r="L21" s="1023"/>
      <c r="M21" s="1023"/>
      <c r="N21" s="1023"/>
      <c r="O21" s="1023"/>
      <c r="P21" s="1023"/>
      <c r="Q21" s="1023"/>
      <c r="R21" s="1023"/>
      <c r="S21" s="1023"/>
      <c r="T21" s="1023"/>
      <c r="U21" s="1023"/>
      <c r="V21" s="1023"/>
      <c r="W21" s="1023"/>
      <c r="X21" s="1023"/>
      <c r="Y21" s="1023"/>
      <c r="Z21" s="1023"/>
      <c r="AA21" s="1023"/>
      <c r="AB21" s="1023"/>
      <c r="AC21" s="1023"/>
      <c r="AD21" s="1023"/>
      <c r="AE21" s="1023"/>
      <c r="AF21" s="1023"/>
      <c r="AG21" s="1023"/>
      <c r="AH21" s="1023"/>
      <c r="AI21" s="1023"/>
      <c r="AJ21" s="1023"/>
      <c r="AK21" s="1023"/>
      <c r="AL21" s="1023"/>
      <c r="AM21" s="1023"/>
      <c r="AN21" s="1023"/>
      <c r="AO21" s="1023"/>
      <c r="AP21" s="1023"/>
      <c r="AQ21" s="1023"/>
      <c r="AR21" s="1023"/>
      <c r="AS21" s="1023"/>
      <c r="AT21" s="1023"/>
      <c r="AU21" s="1023"/>
      <c r="AV21" s="1023"/>
      <c r="AW21" s="1023"/>
      <c r="AX21" s="1023"/>
    </row>
    <row r="22" spans="2:50" ht="15" customHeight="1" x14ac:dyDescent="0.25">
      <c r="B22" s="21" t="str">
        <f>Translate!E$724</f>
        <v>Production inputs</v>
      </c>
      <c r="E22" s="544"/>
      <c r="F22" s="544"/>
      <c r="G22" s="544"/>
      <c r="H22" s="544"/>
      <c r="I22" s="544"/>
      <c r="J22" s="1023"/>
      <c r="K22" s="1023"/>
      <c r="L22" s="1023"/>
      <c r="M22" s="1023"/>
      <c r="N22" s="1023"/>
      <c r="O22" s="1023"/>
      <c r="P22" s="1023"/>
      <c r="Q22" s="1023"/>
      <c r="R22" s="1023"/>
      <c r="S22" s="1023"/>
      <c r="T22" s="1023"/>
      <c r="U22" s="1023"/>
      <c r="V22" s="1023"/>
      <c r="W22" s="1023"/>
      <c r="X22" s="1023"/>
      <c r="Y22" s="1023"/>
      <c r="Z22" s="1023"/>
      <c r="AA22" s="1023"/>
      <c r="AB22" s="1023"/>
      <c r="AC22" s="1023"/>
      <c r="AD22" s="1023"/>
      <c r="AE22" s="1023"/>
      <c r="AF22" s="1023"/>
      <c r="AG22" s="1023"/>
      <c r="AH22" s="1023"/>
      <c r="AI22" s="1023"/>
      <c r="AJ22" s="1023"/>
      <c r="AK22" s="1023"/>
      <c r="AL22" s="1023"/>
      <c r="AM22" s="1023"/>
      <c r="AN22" s="1023"/>
      <c r="AO22" s="1023"/>
      <c r="AP22" s="1023"/>
      <c r="AQ22" s="1023"/>
      <c r="AR22" s="1023"/>
      <c r="AS22" s="1023"/>
      <c r="AT22" s="1023"/>
      <c r="AU22" s="1023"/>
      <c r="AV22" s="1023"/>
      <c r="AW22" s="1023"/>
      <c r="AX22" s="1023"/>
    </row>
    <row r="23" spans="2:50" ht="15" customHeight="1" x14ac:dyDescent="0.25">
      <c r="E23" s="1023" t="str">
        <f>Translate!E719</f>
        <v>Annual decline after plateau</v>
      </c>
      <c r="F23" s="1084">
        <v>0.87</v>
      </c>
      <c r="G23" s="544" t="s">
        <v>24</v>
      </c>
      <c r="H23" s="544"/>
      <c r="I23" s="544"/>
      <c r="J23" s="1023"/>
      <c r="K23" s="1023"/>
      <c r="L23" s="1023"/>
      <c r="M23" s="1023"/>
      <c r="N23" s="1023"/>
      <c r="O23" s="1023"/>
      <c r="P23" s="1023"/>
      <c r="Q23" s="1023"/>
      <c r="R23" s="1023"/>
      <c r="S23" s="1023"/>
      <c r="T23" s="1023"/>
      <c r="U23" s="1023"/>
      <c r="V23" s="1023"/>
      <c r="W23" s="1023"/>
      <c r="X23" s="1023"/>
      <c r="Y23" s="1023"/>
      <c r="Z23" s="1023"/>
      <c r="AA23" s="1023"/>
      <c r="AB23" s="1023"/>
      <c r="AC23" s="1023"/>
      <c r="AD23" s="1023"/>
      <c r="AE23" s="1023"/>
      <c r="AF23" s="1023"/>
      <c r="AG23" s="1023"/>
      <c r="AH23" s="1023"/>
      <c r="AI23" s="1023"/>
      <c r="AJ23" s="1023"/>
      <c r="AK23" s="1023"/>
      <c r="AL23" s="1023"/>
      <c r="AM23" s="1023"/>
      <c r="AN23" s="1023"/>
      <c r="AO23" s="1023"/>
      <c r="AP23" s="1023"/>
      <c r="AQ23" s="1023"/>
      <c r="AR23" s="1023"/>
      <c r="AS23" s="1023"/>
      <c r="AT23" s="1023"/>
      <c r="AU23" s="1023"/>
      <c r="AV23" s="1023"/>
      <c r="AW23" s="1023"/>
      <c r="AX23" s="1023"/>
    </row>
    <row r="24" spans="2:50" ht="15" customHeight="1" x14ac:dyDescent="0.25">
      <c r="E24" s="544"/>
      <c r="F24" s="544"/>
      <c r="G24" s="544"/>
      <c r="H24" s="544"/>
      <c r="I24" s="544"/>
      <c r="J24" s="1023"/>
      <c r="K24" s="1023"/>
      <c r="L24" s="1023"/>
      <c r="M24" s="1023"/>
      <c r="N24" s="1023"/>
      <c r="O24" s="1023"/>
      <c r="P24" s="1023"/>
      <c r="Q24" s="1023"/>
      <c r="R24" s="1023"/>
      <c r="S24" s="1023"/>
      <c r="T24" s="1023"/>
      <c r="U24" s="1023"/>
      <c r="V24" s="1023"/>
      <c r="W24" s="1023"/>
      <c r="X24" s="1023"/>
      <c r="Y24" s="1023"/>
      <c r="Z24" s="1023"/>
      <c r="AA24" s="1023"/>
      <c r="AB24" s="1023"/>
      <c r="AC24" s="1023"/>
      <c r="AD24" s="1023"/>
      <c r="AE24" s="1023"/>
      <c r="AF24" s="1023"/>
      <c r="AG24" s="1023"/>
      <c r="AH24" s="1023"/>
      <c r="AI24" s="1023"/>
      <c r="AJ24" s="1023"/>
      <c r="AK24" s="1023"/>
      <c r="AL24" s="1023"/>
      <c r="AM24" s="1023"/>
      <c r="AN24" s="1023"/>
      <c r="AO24" s="1023"/>
      <c r="AP24" s="1023"/>
      <c r="AQ24" s="1023"/>
      <c r="AR24" s="1023"/>
      <c r="AS24" s="1023"/>
      <c r="AT24" s="1023"/>
      <c r="AU24" s="1023"/>
      <c r="AV24" s="1023"/>
      <c r="AW24" s="1023"/>
      <c r="AX24" s="1023"/>
    </row>
    <row r="25" spans="2:50" ht="15" customHeight="1" x14ac:dyDescent="0.25">
      <c r="B25" s="21" t="str">
        <f>Translate!E$725</f>
        <v>Cost inputs</v>
      </c>
      <c r="E25" s="544"/>
      <c r="F25" s="544"/>
      <c r="G25" s="544"/>
      <c r="H25" s="544"/>
      <c r="I25" s="544"/>
      <c r="J25" s="1023"/>
      <c r="K25" s="1023"/>
      <c r="L25" s="1023"/>
      <c r="M25" s="1023"/>
      <c r="N25" s="1023"/>
      <c r="O25" s="1023"/>
      <c r="P25" s="1023"/>
      <c r="Q25" s="1023"/>
      <c r="R25" s="1023"/>
      <c r="S25" s="1023"/>
      <c r="T25" s="1023"/>
      <c r="U25" s="1023"/>
      <c r="V25" s="1023"/>
      <c r="W25" s="1023"/>
      <c r="X25" s="1023"/>
      <c r="Y25" s="1023"/>
      <c r="Z25" s="1023"/>
      <c r="AA25" s="1023"/>
      <c r="AB25" s="1023"/>
      <c r="AC25" s="1023"/>
      <c r="AD25" s="1023"/>
      <c r="AE25" s="1023"/>
      <c r="AF25" s="1023"/>
      <c r="AG25" s="1023"/>
      <c r="AH25" s="1023"/>
      <c r="AI25" s="1023"/>
      <c r="AJ25" s="1023"/>
      <c r="AK25" s="1023"/>
      <c r="AL25" s="1023"/>
      <c r="AM25" s="1023"/>
      <c r="AN25" s="1023"/>
      <c r="AO25" s="1023"/>
      <c r="AP25" s="1023"/>
      <c r="AQ25" s="1023"/>
      <c r="AR25" s="1023"/>
      <c r="AS25" s="1023"/>
      <c r="AT25" s="1023"/>
      <c r="AU25" s="1023"/>
      <c r="AV25" s="1023"/>
      <c r="AW25" s="1023"/>
      <c r="AX25" s="1023"/>
    </row>
    <row r="26" spans="2:50" ht="15" customHeight="1" x14ac:dyDescent="0.25">
      <c r="E26" s="544" t="str">
        <f>E10</f>
        <v>Transport costs post-fiscal point</v>
      </c>
      <c r="F26" s="1081">
        <v>0</v>
      </c>
      <c r="G26" s="190" t="str">
        <f xml:space="preserve"> Inputs!F$56</f>
        <v>US$ 2021 / bbl</v>
      </c>
      <c r="H26" s="544"/>
      <c r="I26" s="544"/>
      <c r="J26" s="1023"/>
      <c r="K26" s="1023"/>
      <c r="L26" s="1023"/>
      <c r="M26" s="1023"/>
      <c r="N26" s="1023"/>
      <c r="O26" s="1023"/>
      <c r="P26" s="1023"/>
      <c r="Q26" s="1023"/>
      <c r="R26" s="1023"/>
      <c r="S26" s="1023"/>
      <c r="T26" s="1023"/>
      <c r="U26" s="1023"/>
      <c r="V26" s="1023"/>
      <c r="W26" s="1023"/>
      <c r="X26" s="1023"/>
      <c r="Y26" s="1023"/>
      <c r="Z26" s="1023"/>
      <c r="AA26" s="1023"/>
      <c r="AB26" s="1023"/>
      <c r="AC26" s="1023"/>
      <c r="AD26" s="1023"/>
      <c r="AE26" s="1023"/>
      <c r="AF26" s="1023"/>
      <c r="AG26" s="1023"/>
      <c r="AH26" s="1023"/>
      <c r="AI26" s="1023"/>
      <c r="AJ26" s="1023"/>
      <c r="AK26" s="1023"/>
      <c r="AL26" s="1023"/>
      <c r="AM26" s="1023"/>
      <c r="AN26" s="1023"/>
      <c r="AO26" s="1023"/>
      <c r="AP26" s="1023"/>
      <c r="AQ26" s="1023"/>
      <c r="AR26" s="1023"/>
      <c r="AS26" s="1023"/>
      <c r="AT26" s="1023"/>
      <c r="AU26" s="1023"/>
      <c r="AV26" s="1023"/>
      <c r="AW26" s="1023"/>
      <c r="AX26" s="1023"/>
    </row>
    <row r="27" spans="2:50" ht="15" customHeight="1" x14ac:dyDescent="0.25">
      <c r="E27" s="1023" t="str">
        <f>Translate!E720</f>
        <v>Fixed opex</v>
      </c>
      <c r="F27" s="1025">
        <v>75</v>
      </c>
      <c r="G27" s="544" t="str">
        <f xml:space="preserve"> Inputs!F$52</f>
        <v>US$ mn 2021</v>
      </c>
      <c r="H27" s="544"/>
      <c r="I27" s="544"/>
      <c r="J27" s="1023"/>
      <c r="K27" s="1023"/>
      <c r="L27" s="1023"/>
      <c r="M27" s="1023"/>
      <c r="N27" s="1023"/>
      <c r="O27" s="1023"/>
      <c r="P27" s="1023"/>
      <c r="Q27" s="1023"/>
      <c r="R27" s="1023"/>
      <c r="S27" s="1023"/>
      <c r="T27" s="1023"/>
      <c r="U27" s="1023"/>
      <c r="V27" s="1023"/>
      <c r="W27" s="1023"/>
      <c r="X27" s="1023"/>
      <c r="Y27" s="1023"/>
      <c r="Z27" s="1023"/>
      <c r="AA27" s="1023"/>
      <c r="AB27" s="1023"/>
      <c r="AC27" s="1023"/>
      <c r="AD27" s="1023"/>
      <c r="AE27" s="1023"/>
      <c r="AF27" s="1023"/>
      <c r="AG27" s="1023"/>
      <c r="AH27" s="1023"/>
      <c r="AI27" s="1023"/>
      <c r="AJ27" s="1023"/>
      <c r="AK27" s="1023"/>
      <c r="AL27" s="1023"/>
      <c r="AM27" s="1023"/>
      <c r="AN27" s="1023"/>
      <c r="AO27" s="1023"/>
      <c r="AP27" s="1023"/>
      <c r="AQ27" s="1023"/>
      <c r="AR27" s="1023"/>
      <c r="AS27" s="1023"/>
      <c r="AT27" s="1023"/>
      <c r="AU27" s="1023"/>
      <c r="AV27" s="1023"/>
      <c r="AW27" s="1023"/>
      <c r="AX27" s="1023"/>
    </row>
    <row r="28" spans="2:50" ht="15" customHeight="1" x14ac:dyDescent="0.25">
      <c r="E28" s="1023" t="str">
        <f>Translate!E721</f>
        <v>Variable opex</v>
      </c>
      <c r="F28" s="1025">
        <v>5</v>
      </c>
      <c r="G28" s="190" t="str">
        <f xml:space="preserve"> Inputs!F$56</f>
        <v>US$ 2021 / bbl</v>
      </c>
      <c r="H28" s="544"/>
      <c r="I28" s="544"/>
      <c r="J28" s="1023"/>
      <c r="K28" s="1023"/>
      <c r="L28" s="1023"/>
      <c r="M28" s="1023"/>
      <c r="N28" s="1023"/>
      <c r="O28" s="1023"/>
      <c r="P28" s="1023"/>
      <c r="Q28" s="1023"/>
      <c r="R28" s="1023"/>
      <c r="S28" s="1023"/>
      <c r="T28" s="1023"/>
      <c r="U28" s="1023"/>
      <c r="V28" s="1023"/>
      <c r="W28" s="1023"/>
      <c r="X28" s="1023"/>
      <c r="Y28" s="1023"/>
      <c r="Z28" s="1023"/>
      <c r="AA28" s="1023"/>
      <c r="AB28" s="1023"/>
      <c r="AC28" s="1023"/>
      <c r="AD28" s="1023"/>
      <c r="AE28" s="1023"/>
      <c r="AF28" s="1023"/>
      <c r="AG28" s="1023"/>
      <c r="AH28" s="1023"/>
      <c r="AI28" s="1023"/>
      <c r="AJ28" s="1023"/>
      <c r="AK28" s="1023"/>
      <c r="AL28" s="1023"/>
      <c r="AM28" s="1023"/>
      <c r="AN28" s="1023"/>
      <c r="AO28" s="1023"/>
      <c r="AP28" s="1023"/>
      <c r="AQ28" s="1023"/>
      <c r="AR28" s="1023"/>
      <c r="AS28" s="1023"/>
      <c r="AT28" s="1023"/>
      <c r="AU28" s="1023"/>
      <c r="AV28" s="1023"/>
      <c r="AW28" s="1023"/>
      <c r="AX28" s="1023"/>
    </row>
    <row r="29" spans="2:50" ht="15" customHeight="1" x14ac:dyDescent="0.25">
      <c r="E29" s="544"/>
      <c r="F29" s="544"/>
      <c r="G29" s="544"/>
      <c r="H29" s="544"/>
      <c r="I29" s="544"/>
      <c r="J29" s="1023"/>
      <c r="K29" s="1023"/>
      <c r="L29" s="1023"/>
      <c r="M29" s="1023"/>
      <c r="N29" s="1023"/>
      <c r="O29" s="1023"/>
      <c r="P29" s="1023"/>
      <c r="Q29" s="1023"/>
      <c r="R29" s="1023"/>
      <c r="S29" s="1023"/>
      <c r="T29" s="1023"/>
      <c r="U29" s="1023"/>
      <c r="V29" s="1023"/>
      <c r="W29" s="1023"/>
      <c r="X29" s="1023"/>
      <c r="Y29" s="1023"/>
      <c r="Z29" s="1023"/>
      <c r="AA29" s="1023"/>
      <c r="AB29" s="1023"/>
      <c r="AC29" s="1023"/>
      <c r="AD29" s="1023"/>
      <c r="AE29" s="1023"/>
      <c r="AF29" s="1023"/>
      <c r="AG29" s="1023"/>
      <c r="AH29" s="1023"/>
      <c r="AI29" s="1023"/>
      <c r="AJ29" s="1023"/>
      <c r="AK29" s="1023"/>
      <c r="AL29" s="1023"/>
      <c r="AM29" s="1023"/>
      <c r="AN29" s="1023"/>
      <c r="AO29" s="1023"/>
      <c r="AP29" s="1023"/>
      <c r="AQ29" s="1023"/>
      <c r="AR29" s="1023"/>
      <c r="AS29" s="1023"/>
      <c r="AT29" s="1023"/>
      <c r="AU29" s="1023"/>
      <c r="AV29" s="1023"/>
      <c r="AW29" s="1023"/>
      <c r="AX29" s="1023"/>
    </row>
    <row r="30" spans="2:50" ht="15" customHeight="1" x14ac:dyDescent="0.25">
      <c r="B30" s="21" t="str">
        <f>Translate!E$727</f>
        <v>Unit costs</v>
      </c>
      <c r="E30" s="544"/>
      <c r="F30" s="544"/>
      <c r="G30" s="544"/>
      <c r="H30" s="544"/>
      <c r="I30" s="544"/>
      <c r="J30" s="1023"/>
      <c r="K30" s="1023"/>
      <c r="L30" s="1023"/>
      <c r="M30" s="1023"/>
      <c r="N30" s="1023"/>
      <c r="O30" s="1023"/>
      <c r="P30" s="1023"/>
      <c r="Q30" s="1023"/>
      <c r="R30" s="1023"/>
      <c r="S30" s="1023"/>
      <c r="T30" s="1023"/>
      <c r="U30" s="1023"/>
      <c r="V30" s="1023"/>
      <c r="W30" s="1023"/>
      <c r="X30" s="1023"/>
      <c r="Y30" s="1023"/>
      <c r="Z30" s="1023"/>
      <c r="AA30" s="1023"/>
      <c r="AB30" s="1023"/>
      <c r="AC30" s="1023"/>
      <c r="AD30" s="1023"/>
      <c r="AE30" s="1023"/>
      <c r="AF30" s="1023"/>
      <c r="AG30" s="1023"/>
      <c r="AH30" s="1023"/>
      <c r="AI30" s="1023"/>
      <c r="AJ30" s="1023"/>
      <c r="AK30" s="1023"/>
      <c r="AL30" s="1023"/>
      <c r="AM30" s="1023"/>
      <c r="AN30" s="1023"/>
      <c r="AO30" s="1023"/>
      <c r="AP30" s="1023"/>
      <c r="AQ30" s="1023"/>
      <c r="AR30" s="1023"/>
      <c r="AS30" s="1023"/>
      <c r="AT30" s="1023"/>
      <c r="AU30" s="1023"/>
      <c r="AV30" s="1023"/>
      <c r="AW30" s="1023"/>
      <c r="AX30" s="1023"/>
    </row>
    <row r="31" spans="2:50" ht="15" customHeight="1" x14ac:dyDescent="0.25">
      <c r="E31" s="544" t="str">
        <f t="shared" ref="E31:E37" si="5" xml:space="preserve"> E10</f>
        <v>Transport costs post-fiscal point</v>
      </c>
      <c r="F31" s="1082">
        <f t="shared" ref="F31:F36" si="6" xml:space="preserve"> SUM(K10:AX10) / F$20</f>
        <v>0</v>
      </c>
      <c r="G31" s="190" t="str">
        <f xml:space="preserve"> Inputs!F$56</f>
        <v>US$ 2021 / bbl</v>
      </c>
      <c r="H31" s="544"/>
      <c r="I31" s="544"/>
      <c r="J31" s="1023"/>
      <c r="K31" s="1023"/>
      <c r="L31" s="1023"/>
      <c r="M31" s="1023"/>
      <c r="N31" s="1023"/>
      <c r="O31" s="1023"/>
      <c r="P31" s="1023"/>
      <c r="Q31" s="1023"/>
      <c r="R31" s="1023"/>
      <c r="S31" s="1023"/>
      <c r="T31" s="1023"/>
      <c r="U31" s="1023"/>
      <c r="V31" s="1023"/>
      <c r="W31" s="1023"/>
      <c r="X31" s="1023"/>
      <c r="Y31" s="1023"/>
      <c r="Z31" s="1023"/>
      <c r="AA31" s="1023"/>
      <c r="AB31" s="1023"/>
      <c r="AC31" s="1023"/>
      <c r="AD31" s="1023"/>
      <c r="AE31" s="1023"/>
      <c r="AF31" s="1023"/>
      <c r="AG31" s="1023"/>
      <c r="AH31" s="1023"/>
      <c r="AI31" s="1023"/>
      <c r="AJ31" s="1023"/>
      <c r="AK31" s="1023"/>
      <c r="AL31" s="1023"/>
      <c r="AM31" s="1023"/>
      <c r="AN31" s="1023"/>
      <c r="AO31" s="1023"/>
      <c r="AP31" s="1023"/>
      <c r="AQ31" s="1023"/>
      <c r="AR31" s="1023"/>
      <c r="AS31" s="1023"/>
      <c r="AT31" s="1023"/>
      <c r="AU31" s="1023"/>
      <c r="AV31" s="1023"/>
      <c r="AW31" s="1023"/>
      <c r="AX31" s="1023"/>
    </row>
    <row r="32" spans="2:50" ht="15" customHeight="1" x14ac:dyDescent="0.25">
      <c r="E32" s="544" t="str">
        <f t="shared" si="5"/>
        <v>Exploration costs</v>
      </c>
      <c r="F32" s="1082">
        <f t="shared" si="6"/>
        <v>2.1016238580803996</v>
      </c>
      <c r="G32" s="190" t="str">
        <f xml:space="preserve"> Inputs!F$56</f>
        <v>US$ 2021 / bbl</v>
      </c>
      <c r="H32" s="544"/>
      <c r="I32" s="544"/>
      <c r="J32" s="1023"/>
      <c r="K32" s="1023"/>
      <c r="L32" s="1023"/>
      <c r="M32" s="1023"/>
      <c r="N32" s="1023"/>
      <c r="O32" s="1023"/>
      <c r="P32" s="1023"/>
      <c r="Q32" s="1023"/>
      <c r="R32" s="1023"/>
      <c r="S32" s="1023"/>
      <c r="T32" s="1023"/>
      <c r="U32" s="1023"/>
      <c r="V32" s="1023"/>
      <c r="W32" s="1023"/>
      <c r="X32" s="1023"/>
      <c r="Y32" s="1023"/>
      <c r="Z32" s="1023"/>
      <c r="AA32" s="1023"/>
      <c r="AB32" s="1023"/>
      <c r="AC32" s="1023"/>
      <c r="AD32" s="1023"/>
      <c r="AE32" s="1023"/>
      <c r="AF32" s="1023"/>
      <c r="AG32" s="1023"/>
      <c r="AH32" s="1023"/>
      <c r="AI32" s="1023"/>
      <c r="AJ32" s="1023"/>
      <c r="AK32" s="1023"/>
      <c r="AL32" s="1023"/>
      <c r="AM32" s="1023"/>
      <c r="AN32" s="1023"/>
      <c r="AO32" s="1023"/>
      <c r="AP32" s="1023"/>
      <c r="AQ32" s="1023"/>
      <c r="AR32" s="1023"/>
      <c r="AS32" s="1023"/>
      <c r="AT32" s="1023"/>
      <c r="AU32" s="1023"/>
      <c r="AV32" s="1023"/>
      <c r="AW32" s="1023"/>
      <c r="AX32" s="1023"/>
    </row>
    <row r="33" spans="1:50" ht="15" customHeight="1" x14ac:dyDescent="0.25">
      <c r="E33" s="544" t="str">
        <f t="shared" si="5"/>
        <v>Development costs</v>
      </c>
      <c r="F33" s="1082">
        <f t="shared" si="6"/>
        <v>8.2563794424587122</v>
      </c>
      <c r="G33" s="190" t="str">
        <f xml:space="preserve"> Inputs!F$56</f>
        <v>US$ 2021 / bbl</v>
      </c>
      <c r="H33" s="544"/>
      <c r="I33" s="544"/>
      <c r="J33" s="1023"/>
      <c r="K33" s="1023"/>
      <c r="L33" s="1023"/>
      <c r="M33" s="1023"/>
      <c r="N33" s="1023"/>
      <c r="O33" s="1023"/>
      <c r="P33" s="1023"/>
      <c r="Q33" s="1023"/>
      <c r="R33" s="1023"/>
      <c r="S33" s="1023"/>
      <c r="T33" s="1023"/>
      <c r="U33" s="1023"/>
      <c r="V33" s="1023"/>
      <c r="W33" s="1023"/>
      <c r="X33" s="1023"/>
      <c r="Y33" s="1023"/>
      <c r="Z33" s="1023"/>
      <c r="AA33" s="1023"/>
      <c r="AB33" s="1023"/>
      <c r="AC33" s="1023"/>
      <c r="AD33" s="1023"/>
      <c r="AE33" s="1023"/>
      <c r="AF33" s="1023"/>
      <c r="AG33" s="1023"/>
      <c r="AH33" s="1023"/>
      <c r="AI33" s="1023"/>
      <c r="AJ33" s="1023"/>
      <c r="AK33" s="1023"/>
      <c r="AL33" s="1023"/>
      <c r="AM33" s="1023"/>
      <c r="AN33" s="1023"/>
      <c r="AO33" s="1023"/>
      <c r="AP33" s="1023"/>
      <c r="AQ33" s="1023"/>
      <c r="AR33" s="1023"/>
      <c r="AS33" s="1023"/>
      <c r="AT33" s="1023"/>
      <c r="AU33" s="1023"/>
      <c r="AV33" s="1023"/>
      <c r="AW33" s="1023"/>
      <c r="AX33" s="1023"/>
    </row>
    <row r="34" spans="1:50" ht="15" customHeight="1" x14ac:dyDescent="0.25">
      <c r="E34" s="544" t="str">
        <f t="shared" si="5"/>
        <v>Replacement capital costs</v>
      </c>
      <c r="F34" s="1082">
        <f t="shared" si="6"/>
        <v>0</v>
      </c>
      <c r="G34" s="190" t="str">
        <f xml:space="preserve"> Inputs!F$56</f>
        <v>US$ 2021 / bbl</v>
      </c>
      <c r="H34" s="544"/>
      <c r="I34" s="544"/>
      <c r="J34" s="1023"/>
      <c r="K34" s="1023"/>
      <c r="L34" s="1023"/>
      <c r="M34" s="1023"/>
      <c r="N34" s="1023"/>
      <c r="O34" s="1023"/>
      <c r="P34" s="1023"/>
      <c r="Q34" s="1023"/>
      <c r="R34" s="1023"/>
      <c r="S34" s="1023"/>
      <c r="T34" s="1023"/>
      <c r="U34" s="1023"/>
      <c r="V34" s="1023"/>
      <c r="W34" s="1023"/>
      <c r="X34" s="1023"/>
      <c r="Y34" s="1023"/>
      <c r="Z34" s="1023"/>
      <c r="AA34" s="1023"/>
      <c r="AB34" s="1023"/>
      <c r="AC34" s="1023"/>
      <c r="AD34" s="1023"/>
      <c r="AE34" s="1023"/>
      <c r="AF34" s="1023"/>
      <c r="AG34" s="1023"/>
      <c r="AH34" s="1023"/>
      <c r="AI34" s="1023"/>
      <c r="AJ34" s="1023"/>
      <c r="AK34" s="1023"/>
      <c r="AL34" s="1023"/>
      <c r="AM34" s="1023"/>
      <c r="AN34" s="1023"/>
      <c r="AO34" s="1023"/>
      <c r="AP34" s="1023"/>
      <c r="AQ34" s="1023"/>
      <c r="AR34" s="1023"/>
      <c r="AS34" s="1023"/>
      <c r="AT34" s="1023"/>
      <c r="AU34" s="1023"/>
      <c r="AV34" s="1023"/>
      <c r="AW34" s="1023"/>
      <c r="AX34" s="1023"/>
    </row>
    <row r="35" spans="1:50" ht="15" customHeight="1" x14ac:dyDescent="0.25">
      <c r="E35" s="544" t="str">
        <f t="shared" si="5"/>
        <v>Operating costs</v>
      </c>
      <c r="F35" s="1082">
        <f t="shared" si="6"/>
        <v>10.629349619858212</v>
      </c>
      <c r="G35" s="190" t="str">
        <f xml:space="preserve"> Inputs!F$56</f>
        <v>US$ 2021 / bbl</v>
      </c>
      <c r="H35" s="544"/>
      <c r="I35" s="544"/>
      <c r="J35" s="1023"/>
      <c r="K35" s="1023"/>
      <c r="L35" s="1023"/>
      <c r="M35" s="1023"/>
      <c r="N35" s="1023"/>
      <c r="O35" s="1023"/>
      <c r="P35" s="1023"/>
      <c r="Q35" s="1023"/>
      <c r="R35" s="1023"/>
      <c r="S35" s="1023"/>
      <c r="T35" s="1023"/>
      <c r="U35" s="1023"/>
      <c r="V35" s="1023"/>
      <c r="W35" s="1023"/>
      <c r="X35" s="1023"/>
      <c r="Y35" s="1023"/>
      <c r="Z35" s="1023"/>
      <c r="AA35" s="1023"/>
      <c r="AB35" s="1023"/>
      <c r="AC35" s="1023"/>
      <c r="AD35" s="1023"/>
      <c r="AE35" s="1023"/>
      <c r="AF35" s="1023"/>
      <c r="AG35" s="1023"/>
      <c r="AH35" s="1023"/>
      <c r="AI35" s="1023"/>
      <c r="AJ35" s="1023"/>
      <c r="AK35" s="1023"/>
      <c r="AL35" s="1023"/>
      <c r="AM35" s="1023"/>
      <c r="AN35" s="1023"/>
      <c r="AO35" s="1023"/>
      <c r="AP35" s="1023"/>
      <c r="AQ35" s="1023"/>
      <c r="AR35" s="1023"/>
      <c r="AS35" s="1023"/>
      <c r="AT35" s="1023"/>
      <c r="AU35" s="1023"/>
      <c r="AV35" s="1023"/>
      <c r="AW35" s="1023"/>
      <c r="AX35" s="1023"/>
    </row>
    <row r="36" spans="1:50" ht="15" customHeight="1" x14ac:dyDescent="0.25">
      <c r="E36" s="544" t="str">
        <f t="shared" si="5"/>
        <v>Decommissioning costs</v>
      </c>
      <c r="F36" s="1082">
        <f t="shared" si="6"/>
        <v>0.82563794424587122</v>
      </c>
      <c r="G36" s="190" t="str">
        <f xml:space="preserve"> Inputs!F$56</f>
        <v>US$ 2021 / bbl</v>
      </c>
      <c r="H36" s="544"/>
      <c r="I36" s="544"/>
      <c r="J36" s="1023"/>
      <c r="K36" s="1023"/>
      <c r="L36" s="1023"/>
      <c r="M36" s="1023"/>
      <c r="N36" s="1023"/>
      <c r="O36" s="1023"/>
      <c r="P36" s="1023"/>
      <c r="Q36" s="1023"/>
      <c r="R36" s="1023"/>
      <c r="S36" s="1023"/>
      <c r="T36" s="1023"/>
      <c r="U36" s="1023"/>
      <c r="V36" s="1023"/>
      <c r="W36" s="1023"/>
      <c r="X36" s="1023"/>
      <c r="Y36" s="1023"/>
      <c r="Z36" s="1023"/>
      <c r="AA36" s="1023"/>
      <c r="AB36" s="1023"/>
      <c r="AC36" s="1023"/>
      <c r="AD36" s="1023"/>
      <c r="AE36" s="1023"/>
      <c r="AF36" s="1023"/>
      <c r="AG36" s="1023"/>
      <c r="AH36" s="1023"/>
      <c r="AI36" s="1023"/>
      <c r="AJ36" s="1023"/>
      <c r="AK36" s="1023"/>
      <c r="AL36" s="1023"/>
      <c r="AM36" s="1023"/>
      <c r="AN36" s="1023"/>
      <c r="AO36" s="1023"/>
      <c r="AP36" s="1023"/>
      <c r="AQ36" s="1023"/>
      <c r="AR36" s="1023"/>
      <c r="AS36" s="1023"/>
      <c r="AT36" s="1023"/>
      <c r="AU36" s="1023"/>
      <c r="AV36" s="1023"/>
      <c r="AW36" s="1023"/>
      <c r="AX36" s="1023"/>
    </row>
    <row r="37" spans="1:50" ht="15" customHeight="1" x14ac:dyDescent="0.25">
      <c r="E37" s="544" t="str">
        <f t="shared" si="5"/>
        <v>Total costs</v>
      </c>
      <c r="F37" s="1082">
        <f>SUM(F31:F36)</f>
        <v>21.812990864643197</v>
      </c>
      <c r="G37" s="190" t="str">
        <f xml:space="preserve"> Inputs!F$56</f>
        <v>US$ 2021 / bbl</v>
      </c>
      <c r="H37" s="544"/>
      <c r="I37" s="544"/>
      <c r="J37" s="1023"/>
      <c r="K37" s="1023"/>
      <c r="L37" s="1023"/>
      <c r="M37" s="1023"/>
      <c r="N37" s="1023"/>
      <c r="O37" s="1023"/>
      <c r="P37" s="1023"/>
      <c r="Q37" s="1023"/>
      <c r="R37" s="1023"/>
      <c r="S37" s="1023"/>
      <c r="T37" s="1023"/>
      <c r="U37" s="1023"/>
      <c r="V37" s="1023"/>
      <c r="W37" s="1023"/>
      <c r="X37" s="1023"/>
      <c r="Y37" s="1023"/>
      <c r="Z37" s="1023"/>
      <c r="AA37" s="1023"/>
      <c r="AB37" s="1023"/>
      <c r="AC37" s="1023"/>
      <c r="AD37" s="1023"/>
      <c r="AE37" s="1023"/>
      <c r="AF37" s="1023"/>
      <c r="AG37" s="1023"/>
      <c r="AH37" s="1023"/>
      <c r="AI37" s="1023"/>
      <c r="AJ37" s="1023"/>
      <c r="AK37" s="1023"/>
      <c r="AL37" s="1023"/>
      <c r="AM37" s="1023"/>
      <c r="AN37" s="1023"/>
      <c r="AO37" s="1023"/>
      <c r="AP37" s="1023"/>
      <c r="AQ37" s="1023"/>
      <c r="AR37" s="1023"/>
      <c r="AS37" s="1023"/>
      <c r="AT37" s="1023"/>
      <c r="AU37" s="1023"/>
      <c r="AV37" s="1023"/>
      <c r="AW37" s="1023"/>
      <c r="AX37" s="1023"/>
    </row>
    <row r="38" spans="1:50" ht="15" customHeight="1" x14ac:dyDescent="0.25">
      <c r="E38"/>
      <c r="F38" s="544"/>
      <c r="G38" s="544"/>
      <c r="H38" s="544"/>
      <c r="I38" s="544"/>
      <c r="J38" s="1023"/>
      <c r="K38" s="1023"/>
      <c r="L38" s="1023"/>
      <c r="M38" s="1023"/>
      <c r="N38" s="1023"/>
      <c r="O38" s="1023"/>
      <c r="P38" s="1023"/>
      <c r="Q38" s="1023"/>
      <c r="R38" s="1023"/>
      <c r="S38" s="1023"/>
      <c r="T38" s="1023"/>
      <c r="U38" s="1023"/>
      <c r="V38" s="1023"/>
      <c r="W38" s="1023"/>
      <c r="X38" s="1023"/>
      <c r="Y38" s="1023"/>
      <c r="Z38" s="1023"/>
      <c r="AA38" s="1023"/>
      <c r="AB38" s="1023"/>
      <c r="AC38" s="1023"/>
      <c r="AD38" s="1023"/>
      <c r="AE38" s="1023"/>
      <c r="AF38" s="1023"/>
      <c r="AG38" s="1023"/>
      <c r="AH38" s="1023"/>
      <c r="AI38" s="1023"/>
      <c r="AJ38" s="1023"/>
      <c r="AK38" s="1023"/>
      <c r="AL38" s="1023"/>
      <c r="AM38" s="1023"/>
      <c r="AN38" s="1023"/>
      <c r="AO38" s="1023"/>
      <c r="AP38" s="1023"/>
      <c r="AQ38" s="1023"/>
      <c r="AR38" s="1023"/>
      <c r="AS38" s="1023"/>
      <c r="AT38" s="1023"/>
      <c r="AU38" s="1023"/>
      <c r="AV38" s="1023"/>
      <c r="AW38" s="1023"/>
      <c r="AX38" s="1023"/>
    </row>
    <row r="39" spans="1:50" s="3" customFormat="1" ht="15" customHeight="1" x14ac:dyDescent="0.25">
      <c r="A39" s="89"/>
      <c r="B39" s="87" t="str">
        <f>Translate!E$679</f>
        <v>Check project data in correct row</v>
      </c>
      <c r="C39" s="89"/>
      <c r="D39" s="89"/>
      <c r="E39" s="89"/>
      <c r="F39"/>
      <c r="G39" s="90"/>
      <c r="H39" s="89"/>
      <c r="I39" s="89"/>
      <c r="J39" s="89"/>
      <c r="K39" s="89"/>
      <c r="L39" s="89"/>
      <c r="M39" s="89"/>
      <c r="N39" s="89"/>
      <c r="O39" s="89"/>
      <c r="P39" s="89"/>
      <c r="Q39" s="89"/>
      <c r="R39" s="89"/>
      <c r="S39" s="89"/>
      <c r="T39" s="89"/>
      <c r="U39" s="89"/>
      <c r="V39" s="89"/>
      <c r="W39" s="89"/>
      <c r="X39" s="89"/>
      <c r="Y39" s="89"/>
      <c r="Z39" s="89"/>
      <c r="AA39" s="89"/>
      <c r="AB39" s="89"/>
      <c r="AC39" s="89"/>
      <c r="AD39" s="89"/>
      <c r="AE39" s="89"/>
      <c r="AF39" s="89"/>
      <c r="AG39" s="89"/>
      <c r="AH39" s="89"/>
      <c r="AI39" s="89"/>
      <c r="AJ39" s="89"/>
      <c r="AK39" s="89"/>
      <c r="AL39" s="89"/>
      <c r="AM39" s="89"/>
      <c r="AN39" s="89"/>
      <c r="AO39" s="89"/>
      <c r="AP39" s="89"/>
      <c r="AQ39" s="89"/>
      <c r="AR39" s="89"/>
      <c r="AS39" s="89"/>
      <c r="AT39" s="89"/>
      <c r="AU39" s="89"/>
      <c r="AV39" s="89"/>
      <c r="AW39" s="89"/>
      <c r="AX39" s="89"/>
    </row>
    <row r="40" spans="1:50" s="3" customFormat="1" ht="15" customHeight="1" x14ac:dyDescent="0.25">
      <c r="A40" s="89"/>
      <c r="B40" s="89"/>
      <c r="C40" s="89"/>
      <c r="D40" s="89"/>
      <c r="E40" s="139" t="str">
        <f xml:space="preserve"> Inputs!E$15</f>
        <v>First row of project data</v>
      </c>
      <c r="F40" s="139">
        <f xml:space="preserve"> Inputs!F$15</f>
        <v>9</v>
      </c>
      <c r="G40" s="139" t="str">
        <f xml:space="preserve"> Inputs!G$15</f>
        <v>row</v>
      </c>
      <c r="H40" s="89"/>
      <c r="I40" s="89"/>
      <c r="J40" s="89"/>
      <c r="K40" s="89"/>
      <c r="L40" s="89"/>
      <c r="M40" s="89"/>
      <c r="N40" s="89"/>
      <c r="O40" s="89"/>
      <c r="P40" s="89"/>
      <c r="Q40" s="89"/>
      <c r="R40" s="89"/>
      <c r="S40" s="89"/>
      <c r="T40" s="89"/>
      <c r="U40" s="89"/>
      <c r="V40" s="89"/>
      <c r="W40" s="89"/>
      <c r="X40" s="89"/>
      <c r="Y40" s="89"/>
      <c r="Z40" s="89"/>
      <c r="AA40" s="89"/>
      <c r="AB40" s="89"/>
      <c r="AC40" s="89"/>
      <c r="AD40" s="89"/>
      <c r="AE40" s="89"/>
      <c r="AF40" s="89"/>
      <c r="AG40" s="89"/>
      <c r="AH40" s="89"/>
      <c r="AI40" s="89"/>
      <c r="AJ40" s="89"/>
      <c r="AK40" s="89"/>
      <c r="AL40" s="89"/>
      <c r="AM40" s="89"/>
      <c r="AN40" s="89"/>
      <c r="AO40" s="89"/>
      <c r="AP40" s="89"/>
      <c r="AQ40" s="89"/>
      <c r="AR40" s="89"/>
      <c r="AS40" s="89"/>
      <c r="AT40" s="89"/>
      <c r="AU40" s="89"/>
      <c r="AV40" s="89"/>
      <c r="AW40" s="89"/>
      <c r="AX40" s="89"/>
    </row>
    <row r="41" spans="1:50" s="3" customFormat="1" ht="15" customHeight="1" x14ac:dyDescent="0.25">
      <c r="A41" s="89"/>
      <c r="B41" s="89"/>
      <c r="C41" s="89"/>
      <c r="D41" s="89"/>
      <c r="E41" s="89" t="str">
        <f>Translate!E722</f>
        <v>First row of project data</v>
      </c>
      <c r="F41" s="89">
        <f xml:space="preserve"> ROW(F9)</f>
        <v>9</v>
      </c>
      <c r="G41" s="948" t="str">
        <f xml:space="preserve"> Translate!E$775</f>
        <v>row</v>
      </c>
      <c r="H41" s="89"/>
      <c r="I41" s="89"/>
      <c r="J41" s="89"/>
      <c r="K41" s="89"/>
      <c r="L41" s="89"/>
      <c r="M41" s="89"/>
      <c r="N41" s="89"/>
      <c r="O41" s="89"/>
      <c r="P41" s="89"/>
      <c r="Q41" s="89"/>
      <c r="R41" s="89"/>
      <c r="S41" s="89"/>
      <c r="T41" s="89"/>
      <c r="U41" s="89"/>
      <c r="V41" s="89"/>
      <c r="W41" s="89"/>
      <c r="X41" s="89"/>
      <c r="Y41" s="89"/>
      <c r="Z41" s="89"/>
      <c r="AA41" s="89"/>
      <c r="AB41" s="89"/>
      <c r="AC41" s="89"/>
      <c r="AD41" s="89"/>
      <c r="AE41" s="89"/>
      <c r="AF41" s="89"/>
      <c r="AG41" s="89"/>
      <c r="AH41" s="89"/>
      <c r="AI41" s="89"/>
      <c r="AJ41" s="89"/>
      <c r="AK41" s="89"/>
      <c r="AL41" s="89"/>
      <c r="AM41" s="89"/>
      <c r="AN41" s="89"/>
      <c r="AO41" s="89"/>
      <c r="AP41" s="89"/>
      <c r="AQ41" s="89"/>
      <c r="AR41" s="89"/>
      <c r="AS41" s="89"/>
      <c r="AT41" s="89"/>
      <c r="AU41" s="89"/>
      <c r="AV41" s="89"/>
      <c r="AW41" s="89"/>
      <c r="AX41" s="89"/>
    </row>
    <row r="42" spans="1:50" s="3" customFormat="1" ht="15" customHeight="1" x14ac:dyDescent="0.25">
      <c r="A42" s="89"/>
      <c r="B42" s="89"/>
      <c r="C42" s="89"/>
      <c r="D42" s="89"/>
      <c r="E42" s="89" t="str">
        <f>Translate!E$722</f>
        <v>First row of project data</v>
      </c>
      <c r="F42" s="159">
        <f xml:space="preserve"> IF( ABS(F40 - F41) &lt;&gt; 0, 1, 0)</f>
        <v>0</v>
      </c>
      <c r="G42" s="90" t="str">
        <f xml:space="preserve"> Translate!E$604</f>
        <v>Check</v>
      </c>
      <c r="H42" s="89"/>
      <c r="I42" s="89"/>
      <c r="J42" s="89"/>
      <c r="K42" s="89"/>
      <c r="L42" s="89"/>
      <c r="M42" s="89"/>
      <c r="N42" s="89"/>
      <c r="O42" s="89"/>
      <c r="P42" s="89"/>
      <c r="Q42" s="89"/>
      <c r="R42" s="89"/>
      <c r="S42" s="89"/>
      <c r="T42" s="89"/>
      <c r="U42" s="89"/>
      <c r="V42" s="89"/>
      <c r="W42" s="89"/>
      <c r="X42" s="89"/>
      <c r="Y42" s="89"/>
      <c r="Z42" s="89"/>
      <c r="AA42" s="89"/>
      <c r="AB42" s="89"/>
      <c r="AC42" s="89"/>
      <c r="AD42" s="89"/>
      <c r="AE42" s="89"/>
      <c r="AF42" s="89"/>
      <c r="AG42" s="89"/>
      <c r="AH42" s="89"/>
      <c r="AI42" s="89"/>
      <c r="AJ42" s="89"/>
      <c r="AK42" s="89"/>
      <c r="AL42" s="89"/>
      <c r="AM42" s="89"/>
      <c r="AN42" s="89"/>
      <c r="AO42" s="89"/>
      <c r="AP42" s="89"/>
      <c r="AQ42" s="89"/>
      <c r="AR42" s="89"/>
      <c r="AS42" s="89"/>
      <c r="AT42" s="89"/>
      <c r="AU42" s="89"/>
      <c r="AV42" s="89"/>
      <c r="AW42" s="89"/>
      <c r="AX42" s="89"/>
    </row>
    <row r="43" spans="1:50" ht="15" customHeight="1" x14ac:dyDescent="0.25">
      <c r="E43"/>
      <c r="F43" s="544"/>
      <c r="G43" s="544"/>
      <c r="H43" s="544"/>
      <c r="I43" s="544"/>
      <c r="J43" s="1023"/>
      <c r="K43" s="1023"/>
      <c r="L43" s="1023"/>
      <c r="M43" s="1023"/>
      <c r="N43" s="1023"/>
      <c r="O43" s="1023"/>
      <c r="P43" s="1023"/>
      <c r="Q43" s="1023"/>
      <c r="R43" s="1023"/>
      <c r="S43" s="1023"/>
      <c r="T43" s="1023"/>
      <c r="U43" s="1023"/>
      <c r="V43" s="1023"/>
      <c r="W43" s="1023"/>
      <c r="X43" s="1023"/>
      <c r="Y43" s="1023"/>
      <c r="Z43" s="1023"/>
      <c r="AA43" s="1023"/>
      <c r="AB43" s="1023"/>
      <c r="AC43" s="1023"/>
      <c r="AD43" s="1023"/>
      <c r="AE43" s="1023"/>
      <c r="AF43" s="1023"/>
      <c r="AG43" s="1023"/>
      <c r="AH43" s="1023"/>
      <c r="AI43" s="1023"/>
      <c r="AJ43" s="1023"/>
      <c r="AK43" s="1023"/>
      <c r="AL43" s="1023"/>
      <c r="AM43" s="1023"/>
      <c r="AN43" s="1023"/>
      <c r="AO43" s="1023"/>
      <c r="AP43" s="1023"/>
      <c r="AQ43" s="1023"/>
      <c r="AR43" s="1023"/>
      <c r="AS43" s="1023"/>
      <c r="AT43" s="1023"/>
      <c r="AU43" s="1023"/>
      <c r="AV43" s="1023"/>
      <c r="AW43" s="1023"/>
      <c r="AX43" s="1023"/>
    </row>
    <row r="44" spans="1:50" ht="15" customHeight="1" x14ac:dyDescent="0.25">
      <c r="E44"/>
      <c r="F44" s="544"/>
      <c r="G44" s="544"/>
      <c r="H44" s="544"/>
      <c r="I44" s="544"/>
      <c r="J44" s="1023"/>
      <c r="K44" s="1023"/>
      <c r="L44" s="1023"/>
      <c r="M44" s="1023"/>
      <c r="N44" s="1023"/>
      <c r="O44" s="1023"/>
      <c r="P44" s="1023"/>
      <c r="Q44" s="1023"/>
      <c r="R44" s="1023"/>
      <c r="S44" s="1023"/>
      <c r="T44" s="1023"/>
      <c r="U44" s="1023"/>
      <c r="V44" s="1023"/>
      <c r="W44" s="1023"/>
      <c r="X44" s="1023"/>
      <c r="Y44" s="1023"/>
      <c r="Z44" s="1023"/>
      <c r="AA44" s="1023"/>
      <c r="AB44" s="1023"/>
      <c r="AC44" s="1023"/>
      <c r="AD44" s="1023"/>
      <c r="AE44" s="1023"/>
      <c r="AF44" s="1023"/>
      <c r="AG44" s="1023"/>
      <c r="AH44" s="1023"/>
      <c r="AI44" s="1023"/>
      <c r="AJ44" s="1023"/>
      <c r="AK44" s="1023"/>
      <c r="AL44" s="1023"/>
      <c r="AM44" s="1023"/>
      <c r="AN44" s="1023"/>
      <c r="AO44" s="1023"/>
      <c r="AP44" s="1023"/>
      <c r="AQ44" s="1023"/>
      <c r="AR44" s="1023"/>
      <c r="AS44" s="1023"/>
      <c r="AT44" s="1023"/>
      <c r="AU44" s="1023"/>
      <c r="AV44" s="1023"/>
      <c r="AW44" s="1023"/>
      <c r="AX44" s="1023"/>
    </row>
    <row r="45" spans="1:50" ht="15" customHeight="1" x14ac:dyDescent="0.25">
      <c r="A45" s="99" t="str">
        <f>Translate!E$727</f>
        <v>Unit costs</v>
      </c>
      <c r="B45" s="99"/>
      <c r="C45" s="99"/>
      <c r="D45" s="99"/>
      <c r="E45" s="101"/>
      <c r="F45" s="99"/>
      <c r="G45" s="99"/>
      <c r="H45" s="99"/>
      <c r="I45" s="99"/>
      <c r="J45" s="99"/>
      <c r="K45" s="99"/>
      <c r="L45" s="99"/>
      <c r="M45" s="99"/>
      <c r="N45" s="99"/>
      <c r="O45" s="99"/>
      <c r="P45" s="99"/>
      <c r="Q45" s="99"/>
      <c r="R45" s="99"/>
      <c r="S45" s="99"/>
      <c r="T45" s="99"/>
      <c r="U45" s="99"/>
      <c r="V45" s="99"/>
      <c r="W45" s="99"/>
      <c r="X45" s="99"/>
      <c r="Y45" s="99"/>
      <c r="Z45" s="99"/>
      <c r="AA45" s="99"/>
      <c r="AB45" s="99"/>
      <c r="AC45" s="99"/>
      <c r="AD45" s="99"/>
      <c r="AE45" s="99"/>
      <c r="AF45" s="99"/>
      <c r="AG45" s="99"/>
      <c r="AH45" s="99"/>
      <c r="AI45" s="99"/>
      <c r="AJ45" s="99"/>
      <c r="AK45" s="99"/>
      <c r="AL45" s="99"/>
      <c r="AM45" s="99"/>
      <c r="AN45" s="99"/>
      <c r="AO45" s="99"/>
      <c r="AP45" s="99"/>
      <c r="AQ45" s="99"/>
      <c r="AR45" s="99"/>
      <c r="AS45" s="99"/>
      <c r="AT45" s="99"/>
      <c r="AU45" s="99"/>
      <c r="AV45" s="99"/>
      <c r="AW45" s="99"/>
      <c r="AX45" s="99"/>
    </row>
    <row r="47" spans="1:50" ht="15" customHeight="1" x14ac:dyDescent="0.25">
      <c r="E47" s="544" t="str">
        <f xml:space="preserve"> E$9</f>
        <v>Oil production RATE</v>
      </c>
      <c r="F47" s="544">
        <f t="shared" ref="F47:AX47" si="7" xml:space="preserve"> F$9</f>
        <v>0</v>
      </c>
      <c r="G47" s="544" t="str">
        <f t="shared" si="7"/>
        <v>KBOPD</v>
      </c>
      <c r="H47" s="544">
        <f t="shared" si="7"/>
        <v>0</v>
      </c>
      <c r="I47" s="544">
        <f t="shared" si="7"/>
        <v>0</v>
      </c>
      <c r="J47" s="544">
        <f t="shared" si="7"/>
        <v>0</v>
      </c>
      <c r="K47" s="544">
        <f t="shared" si="7"/>
        <v>0</v>
      </c>
      <c r="L47" s="544">
        <f t="shared" si="7"/>
        <v>0</v>
      </c>
      <c r="M47" s="544">
        <f t="shared" si="7"/>
        <v>0</v>
      </c>
      <c r="N47" s="544">
        <f t="shared" si="7"/>
        <v>0</v>
      </c>
      <c r="O47" s="544">
        <f t="shared" si="7"/>
        <v>0</v>
      </c>
      <c r="P47" s="544">
        <f t="shared" si="7"/>
        <v>0</v>
      </c>
      <c r="Q47" s="544">
        <f t="shared" si="7"/>
        <v>0</v>
      </c>
      <c r="R47" s="544">
        <f t="shared" si="7"/>
        <v>9.5471162223815913</v>
      </c>
      <c r="S47" s="544">
        <f t="shared" si="7"/>
        <v>55</v>
      </c>
      <c r="T47" s="544">
        <f t="shared" si="7"/>
        <v>55</v>
      </c>
      <c r="U47" s="544">
        <f t="shared" si="7"/>
        <v>55</v>
      </c>
      <c r="V47" s="544">
        <f t="shared" si="7"/>
        <v>55</v>
      </c>
      <c r="W47" s="544">
        <f t="shared" si="7"/>
        <v>55</v>
      </c>
      <c r="X47" s="544">
        <f t="shared" si="7"/>
        <v>47.85</v>
      </c>
      <c r="Y47" s="544">
        <f t="shared" si="7"/>
        <v>41.6295</v>
      </c>
      <c r="Z47" s="544">
        <f t="shared" si="7"/>
        <v>36.217664999999997</v>
      </c>
      <c r="AA47" s="544">
        <f t="shared" si="7"/>
        <v>31.509368549999998</v>
      </c>
      <c r="AB47" s="544">
        <f t="shared" si="7"/>
        <v>27.413150638499999</v>
      </c>
      <c r="AC47" s="544">
        <f t="shared" si="7"/>
        <v>23.849441055494999</v>
      </c>
      <c r="AD47" s="544">
        <f t="shared" si="7"/>
        <v>20.749013718280651</v>
      </c>
      <c r="AE47" s="544">
        <f t="shared" si="7"/>
        <v>18.051641934904165</v>
      </c>
      <c r="AF47" s="544">
        <f t="shared" si="7"/>
        <v>15.704928483366624</v>
      </c>
      <c r="AG47" s="544">
        <f t="shared" si="7"/>
        <v>0</v>
      </c>
      <c r="AH47" s="544">
        <f t="shared" si="7"/>
        <v>0</v>
      </c>
      <c r="AI47" s="544">
        <f t="shared" si="7"/>
        <v>0</v>
      </c>
      <c r="AJ47" s="544">
        <f t="shared" si="7"/>
        <v>0</v>
      </c>
      <c r="AK47" s="544">
        <f t="shared" si="7"/>
        <v>0</v>
      </c>
      <c r="AL47" s="544">
        <f t="shared" si="7"/>
        <v>0</v>
      </c>
      <c r="AM47" s="544">
        <f t="shared" si="7"/>
        <v>0</v>
      </c>
      <c r="AN47" s="544">
        <f t="shared" si="7"/>
        <v>0</v>
      </c>
      <c r="AO47" s="544">
        <f t="shared" si="7"/>
        <v>0</v>
      </c>
      <c r="AP47" s="544">
        <f t="shared" si="7"/>
        <v>0</v>
      </c>
      <c r="AQ47" s="544">
        <f t="shared" si="7"/>
        <v>0</v>
      </c>
      <c r="AR47" s="544">
        <f t="shared" si="7"/>
        <v>0</v>
      </c>
      <c r="AS47" s="544">
        <f t="shared" si="7"/>
        <v>0</v>
      </c>
      <c r="AT47" s="544">
        <f t="shared" si="7"/>
        <v>0</v>
      </c>
      <c r="AU47" s="544">
        <f t="shared" si="7"/>
        <v>0</v>
      </c>
      <c r="AV47" s="544">
        <f t="shared" si="7"/>
        <v>0</v>
      </c>
      <c r="AW47" s="544">
        <f t="shared" si="7"/>
        <v>0</v>
      </c>
      <c r="AX47" s="544">
        <f t="shared" si="7"/>
        <v>0</v>
      </c>
    </row>
    <row r="48" spans="1:50" ht="15" customHeight="1" x14ac:dyDescent="0.25">
      <c r="E48" s="304" t="str">
        <f xml:space="preserve"> Inputs!E$79</f>
        <v>Production days per year</v>
      </c>
      <c r="F48" s="304">
        <f xml:space="preserve"> Inputs!F$79</f>
        <v>365</v>
      </c>
      <c r="G48" s="304" t="str">
        <f xml:space="preserve"> Inputs!G$79</f>
        <v>Days</v>
      </c>
      <c r="H48" s="544"/>
      <c r="I48" s="544"/>
      <c r="J48" s="544"/>
      <c r="K48" s="544"/>
      <c r="L48" s="544"/>
      <c r="M48" s="544"/>
      <c r="N48" s="544"/>
      <c r="O48" s="544"/>
      <c r="P48" s="544"/>
      <c r="Q48" s="544"/>
      <c r="R48" s="544"/>
      <c r="S48" s="544"/>
      <c r="T48" s="544"/>
      <c r="U48" s="544"/>
      <c r="V48" s="544"/>
      <c r="W48" s="544"/>
      <c r="X48" s="544"/>
      <c r="Y48" s="544"/>
      <c r="Z48" s="544"/>
      <c r="AA48" s="544"/>
      <c r="AB48" s="544"/>
      <c r="AC48" s="544"/>
      <c r="AD48" s="544"/>
      <c r="AE48" s="544"/>
      <c r="AF48" s="544"/>
      <c r="AG48" s="544"/>
      <c r="AH48" s="544"/>
      <c r="AI48" s="544"/>
      <c r="AJ48" s="544"/>
      <c r="AK48" s="544"/>
      <c r="AL48" s="544"/>
      <c r="AM48" s="544"/>
      <c r="AN48" s="544"/>
      <c r="AO48" s="544"/>
      <c r="AP48" s="544"/>
      <c r="AQ48" s="544"/>
      <c r="AR48" s="544"/>
      <c r="AS48" s="544"/>
      <c r="AT48" s="544"/>
      <c r="AU48" s="544"/>
      <c r="AV48" s="544"/>
      <c r="AW48" s="544"/>
      <c r="AX48" s="544"/>
    </row>
    <row r="49" spans="1:50" ht="15" customHeight="1" x14ac:dyDescent="0.25">
      <c r="E49" s="304" t="str">
        <f xml:space="preserve"> Inputs!E$81</f>
        <v>one thousand</v>
      </c>
      <c r="F49" s="304">
        <f xml:space="preserve"> Inputs!F$81</f>
        <v>1000</v>
      </c>
      <c r="G49" s="304" t="str">
        <f xml:space="preserve"> Inputs!G$81</f>
        <v>Constant</v>
      </c>
      <c r="H49" s="544"/>
      <c r="I49" s="544"/>
      <c r="J49" s="544"/>
      <c r="K49" s="544"/>
      <c r="L49" s="544"/>
      <c r="M49" s="544"/>
      <c r="N49" s="544"/>
      <c r="O49" s="544"/>
      <c r="P49" s="544"/>
      <c r="Q49" s="544"/>
      <c r="R49" s="544"/>
      <c r="S49" s="544"/>
      <c r="T49" s="544"/>
      <c r="U49" s="544"/>
      <c r="V49" s="544"/>
      <c r="W49" s="544"/>
      <c r="X49" s="544"/>
      <c r="Y49" s="544"/>
      <c r="Z49" s="544"/>
      <c r="AA49" s="544"/>
      <c r="AB49" s="544"/>
      <c r="AC49" s="544"/>
      <c r="AD49" s="544"/>
      <c r="AE49" s="544"/>
      <c r="AF49" s="544"/>
      <c r="AG49" s="544"/>
      <c r="AH49" s="544"/>
      <c r="AI49" s="544"/>
      <c r="AJ49" s="544"/>
      <c r="AK49" s="544"/>
      <c r="AL49" s="544"/>
      <c r="AM49" s="544"/>
      <c r="AN49" s="544"/>
      <c r="AO49" s="544"/>
      <c r="AP49" s="544"/>
      <c r="AQ49" s="544"/>
      <c r="AR49" s="544"/>
      <c r="AS49" s="544"/>
      <c r="AT49" s="544"/>
      <c r="AU49" s="544"/>
      <c r="AV49" s="544"/>
      <c r="AW49" s="544"/>
      <c r="AX49" s="544"/>
    </row>
    <row r="50" spans="1:50" ht="15" customHeight="1" x14ac:dyDescent="0.25">
      <c r="E50" s="544" t="str">
        <f>Translate!E723</f>
        <v>Oil production Volume</v>
      </c>
      <c r="F50" s="544"/>
      <c r="G50" s="544" t="str">
        <f xml:space="preserve"> Translate!E$88</f>
        <v>Mn Bbl</v>
      </c>
      <c r="H50" s="544"/>
      <c r="I50" s="544">
        <f xml:space="preserve"> SUM(K50:AX50)</f>
        <v>199.84546634506873</v>
      </c>
      <c r="J50" s="544"/>
      <c r="K50" s="544">
        <f t="shared" ref="K50:AX50" si="8" xml:space="preserve"> K47 * $F48 / $F49</f>
        <v>0</v>
      </c>
      <c r="L50" s="544">
        <f t="shared" si="8"/>
        <v>0</v>
      </c>
      <c r="M50" s="544">
        <f t="shared" si="8"/>
        <v>0</v>
      </c>
      <c r="N50" s="544">
        <f t="shared" si="8"/>
        <v>0</v>
      </c>
      <c r="O50" s="544">
        <f t="shared" si="8"/>
        <v>0</v>
      </c>
      <c r="P50" s="544">
        <f t="shared" si="8"/>
        <v>0</v>
      </c>
      <c r="Q50" s="544">
        <f t="shared" si="8"/>
        <v>0</v>
      </c>
      <c r="R50" s="544">
        <f t="shared" si="8"/>
        <v>3.4846974211692809</v>
      </c>
      <c r="S50" s="544">
        <f t="shared" si="8"/>
        <v>20.074999999999999</v>
      </c>
      <c r="T50" s="544">
        <f t="shared" si="8"/>
        <v>20.074999999999999</v>
      </c>
      <c r="U50" s="544">
        <f t="shared" si="8"/>
        <v>20.074999999999999</v>
      </c>
      <c r="V50" s="544">
        <f t="shared" si="8"/>
        <v>20.074999999999999</v>
      </c>
      <c r="W50" s="544">
        <f t="shared" si="8"/>
        <v>20.074999999999999</v>
      </c>
      <c r="X50" s="544">
        <f t="shared" si="8"/>
        <v>17.465250000000001</v>
      </c>
      <c r="Y50" s="544">
        <f t="shared" si="8"/>
        <v>15.194767499999999</v>
      </c>
      <c r="Z50" s="544">
        <f t="shared" si="8"/>
        <v>13.219447724999998</v>
      </c>
      <c r="AA50" s="544">
        <f t="shared" si="8"/>
        <v>11.500919520749999</v>
      </c>
      <c r="AB50" s="544">
        <f t="shared" si="8"/>
        <v>10.005799983052501</v>
      </c>
      <c r="AC50" s="544">
        <f t="shared" si="8"/>
        <v>8.7050459852556745</v>
      </c>
      <c r="AD50" s="544">
        <f t="shared" si="8"/>
        <v>7.5733900071724376</v>
      </c>
      <c r="AE50" s="544">
        <f t="shared" si="8"/>
        <v>6.5888493062400206</v>
      </c>
      <c r="AF50" s="544">
        <f t="shared" si="8"/>
        <v>5.7322988964288175</v>
      </c>
      <c r="AG50" s="544">
        <f t="shared" si="8"/>
        <v>0</v>
      </c>
      <c r="AH50" s="544">
        <f t="shared" si="8"/>
        <v>0</v>
      </c>
      <c r="AI50" s="544">
        <f t="shared" si="8"/>
        <v>0</v>
      </c>
      <c r="AJ50" s="544">
        <f t="shared" si="8"/>
        <v>0</v>
      </c>
      <c r="AK50" s="544">
        <f t="shared" si="8"/>
        <v>0</v>
      </c>
      <c r="AL50" s="544">
        <f t="shared" si="8"/>
        <v>0</v>
      </c>
      <c r="AM50" s="544">
        <f t="shared" si="8"/>
        <v>0</v>
      </c>
      <c r="AN50" s="544">
        <f t="shared" si="8"/>
        <v>0</v>
      </c>
      <c r="AO50" s="544">
        <f t="shared" si="8"/>
        <v>0</v>
      </c>
      <c r="AP50" s="544">
        <f t="shared" si="8"/>
        <v>0</v>
      </c>
      <c r="AQ50" s="544">
        <f t="shared" si="8"/>
        <v>0</v>
      </c>
      <c r="AR50" s="544">
        <f t="shared" si="8"/>
        <v>0</v>
      </c>
      <c r="AS50" s="544">
        <f t="shared" si="8"/>
        <v>0</v>
      </c>
      <c r="AT50" s="544">
        <f t="shared" si="8"/>
        <v>0</v>
      </c>
      <c r="AU50" s="544">
        <f t="shared" si="8"/>
        <v>0</v>
      </c>
      <c r="AV50" s="544">
        <f t="shared" si="8"/>
        <v>0</v>
      </c>
      <c r="AW50" s="544">
        <f t="shared" si="8"/>
        <v>0</v>
      </c>
      <c r="AX50" s="544">
        <f t="shared" si="8"/>
        <v>0</v>
      </c>
    </row>
    <row r="52" spans="1:50" ht="15" customHeight="1" x14ac:dyDescent="0.25">
      <c r="E52" s="350" t="str">
        <f xml:space="preserve"> E$14</f>
        <v>Operating costs</v>
      </c>
      <c r="F52" s="350">
        <f t="shared" ref="F52:AX52" si="9" xml:space="preserve"> F$14</f>
        <v>0</v>
      </c>
      <c r="G52" s="350" t="str">
        <f t="shared" si="9"/>
        <v>US$ mn 2021</v>
      </c>
      <c r="H52" s="350">
        <f t="shared" si="9"/>
        <v>0</v>
      </c>
      <c r="I52" s="350">
        <f t="shared" si="9"/>
        <v>2124.2273317253434</v>
      </c>
      <c r="J52" s="350">
        <f t="shared" si="9"/>
        <v>0</v>
      </c>
      <c r="K52" s="350">
        <f t="shared" si="9"/>
        <v>0</v>
      </c>
      <c r="L52" s="350">
        <f t="shared" si="9"/>
        <v>0</v>
      </c>
      <c r="M52" s="350">
        <f t="shared" si="9"/>
        <v>0</v>
      </c>
      <c r="N52" s="350">
        <f t="shared" si="9"/>
        <v>0</v>
      </c>
      <c r="O52" s="350">
        <f t="shared" si="9"/>
        <v>0</v>
      </c>
      <c r="P52" s="350">
        <f t="shared" si="9"/>
        <v>0</v>
      </c>
      <c r="Q52" s="350">
        <f t="shared" si="9"/>
        <v>0</v>
      </c>
      <c r="R52" s="350">
        <f t="shared" si="9"/>
        <v>92.423487105846405</v>
      </c>
      <c r="S52" s="350">
        <f t="shared" si="9"/>
        <v>175.375</v>
      </c>
      <c r="T52" s="350">
        <f t="shared" si="9"/>
        <v>175.375</v>
      </c>
      <c r="U52" s="350">
        <f t="shared" si="9"/>
        <v>175.375</v>
      </c>
      <c r="V52" s="350">
        <f t="shared" si="9"/>
        <v>175.375</v>
      </c>
      <c r="W52" s="350">
        <f t="shared" si="9"/>
        <v>175.375</v>
      </c>
      <c r="X52" s="350">
        <f t="shared" si="9"/>
        <v>162.32625000000002</v>
      </c>
      <c r="Y52" s="350">
        <f t="shared" si="9"/>
        <v>150.9738375</v>
      </c>
      <c r="Z52" s="350">
        <f t="shared" si="9"/>
        <v>141.09723862499999</v>
      </c>
      <c r="AA52" s="350">
        <f t="shared" si="9"/>
        <v>132.50459760375</v>
      </c>
      <c r="AB52" s="350">
        <f t="shared" si="9"/>
        <v>125.02899991526249</v>
      </c>
      <c r="AC52" s="350">
        <f t="shared" si="9"/>
        <v>118.52522992627837</v>
      </c>
      <c r="AD52" s="350">
        <f t="shared" si="9"/>
        <v>112.86695003586219</v>
      </c>
      <c r="AE52" s="350">
        <f t="shared" si="9"/>
        <v>107.94424653120009</v>
      </c>
      <c r="AF52" s="350">
        <f t="shared" si="9"/>
        <v>103.66149448214409</v>
      </c>
      <c r="AG52" s="350">
        <f t="shared" si="9"/>
        <v>0</v>
      </c>
      <c r="AH52" s="350">
        <f t="shared" si="9"/>
        <v>0</v>
      </c>
      <c r="AI52" s="350">
        <f t="shared" si="9"/>
        <v>0</v>
      </c>
      <c r="AJ52" s="350">
        <f t="shared" si="9"/>
        <v>0</v>
      </c>
      <c r="AK52" s="350">
        <f t="shared" si="9"/>
        <v>0</v>
      </c>
      <c r="AL52" s="350">
        <f t="shared" si="9"/>
        <v>0</v>
      </c>
      <c r="AM52" s="350">
        <f t="shared" si="9"/>
        <v>0</v>
      </c>
      <c r="AN52" s="350">
        <f t="shared" si="9"/>
        <v>0</v>
      </c>
      <c r="AO52" s="350">
        <f t="shared" si="9"/>
        <v>0</v>
      </c>
      <c r="AP52" s="350">
        <f t="shared" si="9"/>
        <v>0</v>
      </c>
      <c r="AQ52" s="350">
        <f t="shared" si="9"/>
        <v>0</v>
      </c>
      <c r="AR52" s="350">
        <f t="shared" si="9"/>
        <v>0</v>
      </c>
      <c r="AS52" s="350">
        <f t="shared" si="9"/>
        <v>0</v>
      </c>
      <c r="AT52" s="350">
        <f t="shared" si="9"/>
        <v>0</v>
      </c>
      <c r="AU52" s="350">
        <f t="shared" si="9"/>
        <v>0</v>
      </c>
      <c r="AV52" s="350">
        <f t="shared" si="9"/>
        <v>0</v>
      </c>
      <c r="AW52" s="350">
        <f t="shared" si="9"/>
        <v>0</v>
      </c>
      <c r="AX52" s="350">
        <f t="shared" si="9"/>
        <v>0</v>
      </c>
    </row>
    <row r="53" spans="1:50" ht="15" customHeight="1" x14ac:dyDescent="0.25">
      <c r="E53" s="544" t="str">
        <f ca="1">A1 &amp; " " &amp; Translate!E$786</f>
        <v>200MMbbl Unit opex</v>
      </c>
      <c r="F53" s="544"/>
      <c r="G53" s="190" t="str">
        <f xml:space="preserve"> Inputs!F$56</f>
        <v>US$ 2021 / bbl</v>
      </c>
      <c r="H53" s="544"/>
      <c r="I53" s="544"/>
      <c r="J53" s="544"/>
      <c r="K53" s="544">
        <f t="shared" ref="K53:AX53" si="10" xml:space="preserve"> IFERROR(K52 / K50, 0)</f>
        <v>0</v>
      </c>
      <c r="L53" s="544">
        <f t="shared" si="10"/>
        <v>0</v>
      </c>
      <c r="M53" s="544">
        <f t="shared" si="10"/>
        <v>0</v>
      </c>
      <c r="N53" s="544">
        <f t="shared" si="10"/>
        <v>0</v>
      </c>
      <c r="O53" s="544">
        <f t="shared" si="10"/>
        <v>0</v>
      </c>
      <c r="P53" s="544">
        <f t="shared" si="10"/>
        <v>0</v>
      </c>
      <c r="Q53" s="544">
        <f t="shared" si="10"/>
        <v>0</v>
      </c>
      <c r="R53" s="544">
        <f t="shared" si="10"/>
        <v>26.522672110462306</v>
      </c>
      <c r="S53" s="544">
        <f t="shared" si="10"/>
        <v>8.7359900373599011</v>
      </c>
      <c r="T53" s="544">
        <f t="shared" si="10"/>
        <v>8.7359900373599011</v>
      </c>
      <c r="U53" s="544">
        <f t="shared" si="10"/>
        <v>8.7359900373599011</v>
      </c>
      <c r="V53" s="544">
        <f t="shared" si="10"/>
        <v>8.7359900373599011</v>
      </c>
      <c r="W53" s="544">
        <f t="shared" si="10"/>
        <v>8.7359900373599011</v>
      </c>
      <c r="X53" s="544">
        <f t="shared" si="10"/>
        <v>9.2942414222527603</v>
      </c>
      <c r="Y53" s="544">
        <f t="shared" si="10"/>
        <v>9.9359096807502976</v>
      </c>
      <c r="Z53" s="544">
        <f t="shared" si="10"/>
        <v>10.673459403161262</v>
      </c>
      <c r="AA53" s="544">
        <f t="shared" si="10"/>
        <v>11.52121770478306</v>
      </c>
      <c r="AB53" s="544">
        <f t="shared" si="10"/>
        <v>12.495652534233399</v>
      </c>
      <c r="AC53" s="544">
        <f t="shared" si="10"/>
        <v>13.61569256808437</v>
      </c>
      <c r="AD53" s="544">
        <f t="shared" si="10"/>
        <v>14.903094905844103</v>
      </c>
      <c r="AE53" s="544">
        <f t="shared" si="10"/>
        <v>16.382867707866783</v>
      </c>
      <c r="AF53" s="544">
        <f t="shared" si="10"/>
        <v>18.083755986053777</v>
      </c>
      <c r="AG53" s="544">
        <f t="shared" si="10"/>
        <v>0</v>
      </c>
      <c r="AH53" s="544">
        <f t="shared" si="10"/>
        <v>0</v>
      </c>
      <c r="AI53" s="544">
        <f t="shared" si="10"/>
        <v>0</v>
      </c>
      <c r="AJ53" s="544">
        <f t="shared" si="10"/>
        <v>0</v>
      </c>
      <c r="AK53" s="544">
        <f t="shared" si="10"/>
        <v>0</v>
      </c>
      <c r="AL53" s="544">
        <f t="shared" si="10"/>
        <v>0</v>
      </c>
      <c r="AM53" s="544">
        <f t="shared" si="10"/>
        <v>0</v>
      </c>
      <c r="AN53" s="544">
        <f t="shared" si="10"/>
        <v>0</v>
      </c>
      <c r="AO53" s="544">
        <f t="shared" si="10"/>
        <v>0</v>
      </c>
      <c r="AP53" s="544">
        <f t="shared" si="10"/>
        <v>0</v>
      </c>
      <c r="AQ53" s="544">
        <f t="shared" si="10"/>
        <v>0</v>
      </c>
      <c r="AR53" s="544">
        <f t="shared" si="10"/>
        <v>0</v>
      </c>
      <c r="AS53" s="544">
        <f t="shared" si="10"/>
        <v>0</v>
      </c>
      <c r="AT53" s="544">
        <f t="shared" si="10"/>
        <v>0</v>
      </c>
      <c r="AU53" s="544">
        <f t="shared" si="10"/>
        <v>0</v>
      </c>
      <c r="AV53" s="544">
        <f t="shared" si="10"/>
        <v>0</v>
      </c>
      <c r="AW53" s="544">
        <f t="shared" si="10"/>
        <v>0</v>
      </c>
      <c r="AX53" s="544">
        <f t="shared" si="10"/>
        <v>0</v>
      </c>
    </row>
    <row r="56" spans="1:50" ht="15" customHeight="1" x14ac:dyDescent="0.25">
      <c r="A56" s="99" t="str">
        <f>Translate!E$728</f>
        <v>Charts</v>
      </c>
      <c r="B56" s="99"/>
      <c r="C56" s="99"/>
      <c r="D56" s="99"/>
      <c r="E56" s="101"/>
      <c r="F56" s="99"/>
      <c r="G56" s="99"/>
      <c r="H56" s="99"/>
      <c r="I56" s="99"/>
      <c r="J56" s="99"/>
      <c r="K56" s="99"/>
      <c r="L56" s="99"/>
      <c r="M56" s="99"/>
      <c r="N56" s="99"/>
      <c r="O56" s="99"/>
      <c r="P56" s="99"/>
      <c r="Q56" s="99"/>
      <c r="R56" s="99"/>
      <c r="S56" s="99"/>
      <c r="T56" s="99"/>
      <c r="U56" s="99"/>
      <c r="V56" s="99"/>
      <c r="W56" s="99"/>
      <c r="X56" s="99"/>
      <c r="Y56" s="99"/>
      <c r="Z56" s="99"/>
      <c r="AA56" s="99"/>
      <c r="AB56" s="99"/>
      <c r="AC56" s="99"/>
      <c r="AD56" s="99"/>
      <c r="AE56" s="99"/>
      <c r="AF56" s="99"/>
      <c r="AG56" s="99"/>
      <c r="AH56" s="99"/>
      <c r="AI56" s="99"/>
      <c r="AJ56" s="99"/>
      <c r="AK56" s="99"/>
      <c r="AL56" s="99"/>
      <c r="AM56" s="99"/>
      <c r="AN56" s="99"/>
      <c r="AO56" s="99"/>
      <c r="AP56" s="99"/>
      <c r="AQ56" s="99"/>
      <c r="AR56" s="99"/>
      <c r="AS56" s="99"/>
      <c r="AT56" s="99"/>
      <c r="AU56" s="99"/>
      <c r="AV56" s="99"/>
      <c r="AW56" s="99"/>
      <c r="AX56" s="99"/>
    </row>
    <row r="81" spans="1:50" ht="15" customHeight="1" x14ac:dyDescent="0.25">
      <c r="A81" s="66" t="str">
        <f ca="1">A$1 &amp; ": " &amp; Translate!E$626</f>
        <v>200MMbbl: Sheet checks</v>
      </c>
      <c r="B81" s="99"/>
      <c r="C81" s="99"/>
      <c r="D81" s="99"/>
      <c r="E81" s="101"/>
      <c r="F81" s="99"/>
      <c r="G81" s="99"/>
      <c r="H81" s="99"/>
      <c r="I81" s="99"/>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row>
    <row r="82" spans="1:50" ht="15" customHeight="1" x14ac:dyDescent="0.25">
      <c r="E82" s="544"/>
      <c r="F82" s="544"/>
      <c r="G82" s="544"/>
      <c r="H82" s="544"/>
      <c r="I82" s="544"/>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row>
    <row r="83" spans="1:50" ht="15" customHeight="1" x14ac:dyDescent="0.25">
      <c r="A83" s="67"/>
      <c r="B83" s="68"/>
      <c r="C83" s="287"/>
      <c r="D83" s="69"/>
      <c r="E83" s="67"/>
      <c r="F83" s="1077" t="str">
        <f xml:space="preserve"> Translate!E$651</f>
        <v>do not delete row</v>
      </c>
      <c r="G83" s="67"/>
      <c r="H83" s="67"/>
      <c r="I83" s="67"/>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row>
    <row r="84" spans="1:50" ht="15" customHeight="1" x14ac:dyDescent="0.25">
      <c r="A84" s="544"/>
      <c r="B84" s="544"/>
      <c r="C84" s="544"/>
      <c r="D84" s="544"/>
      <c r="E84" s="307" t="str">
        <f xml:space="preserve"> E$42</f>
        <v>First row of project data</v>
      </c>
      <c r="F84" s="36">
        <f xml:space="preserve"> F$42</f>
        <v>0</v>
      </c>
      <c r="G84" s="307" t="str">
        <f xml:space="preserve"> G$42</f>
        <v>Check</v>
      </c>
      <c r="H84" s="544"/>
      <c r="I84" s="544"/>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row>
    <row r="85" spans="1:50" ht="15" customHeight="1" x14ac:dyDescent="0.25">
      <c r="A85" s="67"/>
      <c r="B85" s="68"/>
      <c r="C85" s="287"/>
      <c r="D85" s="69"/>
      <c r="E85" s="67"/>
      <c r="F85" s="1077" t="str">
        <f xml:space="preserve"> Translate!E$651</f>
        <v>do not delete row</v>
      </c>
      <c r="G85" s="67"/>
      <c r="H85" s="67"/>
      <c r="I85" s="67"/>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row>
    <row r="86" spans="1:50" ht="15" customHeight="1" x14ac:dyDescent="0.25">
      <c r="E86" s="544" t="str">
        <f ca="1" xml:space="preserve"> Translate!E$604 &amp; ": " &amp; A$1</f>
        <v>Check: 200MMbbl</v>
      </c>
      <c r="F86" s="72">
        <f xml:space="preserve"> SUM(F83:F85)</f>
        <v>0</v>
      </c>
      <c r="G86" s="544" t="str">
        <f xml:space="preserve"> Translate!E$604</f>
        <v>Check</v>
      </c>
      <c r="H86" s="544"/>
      <c r="I86" s="544"/>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row>
  </sheetData>
  <conditionalFormatting sqref="F84">
    <cfRule type="cellIs" dxfId="36" priority="9" stopIfTrue="1" operator="notEqual">
      <formula>0</formula>
    </cfRule>
    <cfRule type="cellIs" dxfId="35" priority="10" stopIfTrue="1" operator="equal">
      <formula>""</formula>
    </cfRule>
  </conditionalFormatting>
  <conditionalFormatting sqref="F86">
    <cfRule type="cellIs" dxfId="34" priority="11" stopIfTrue="1" operator="notEqual">
      <formula>0</formula>
    </cfRule>
    <cfRule type="cellIs" dxfId="33" priority="12" stopIfTrue="1" operator="equal">
      <formula>""</formula>
    </cfRule>
  </conditionalFormatting>
  <conditionalFormatting sqref="F3">
    <cfRule type="cellIs" dxfId="32" priority="7" stopIfTrue="1" operator="notEqual">
      <formula>0</formula>
    </cfRule>
    <cfRule type="cellIs" dxfId="31" priority="8" stopIfTrue="1" operator="equal">
      <formula>""</formula>
    </cfRule>
  </conditionalFormatting>
  <conditionalFormatting sqref="F3">
    <cfRule type="cellIs" dxfId="30" priority="5" stopIfTrue="1" operator="notEqual">
      <formula>0</formula>
    </cfRule>
    <cfRule type="cellIs" dxfId="29" priority="6" stopIfTrue="1" operator="equal">
      <formula>""</formula>
    </cfRule>
  </conditionalFormatting>
  <conditionalFormatting sqref="F42">
    <cfRule type="cellIs" dxfId="28" priority="3" stopIfTrue="1" operator="notEqual">
      <formula>0</formula>
    </cfRule>
    <cfRule type="cellIs" dxfId="27" priority="4" stopIfTrue="1" operator="equal">
      <formula>""</formula>
    </cfRule>
  </conditionalFormatting>
  <conditionalFormatting sqref="F42">
    <cfRule type="cellIs" dxfId="26" priority="1" stopIfTrue="1" operator="notEqual">
      <formula>0</formula>
    </cfRule>
    <cfRule type="cellIs" dxfId="25" priority="2" stopIfTrue="1" operator="equal">
      <formula>""</formula>
    </cfRule>
  </conditionalFormatting>
  <printOptions headings="1"/>
  <pageMargins left="0.74803149606299213" right="0.70866141732283472" top="0.98425196850393704" bottom="0.74803149606299213" header="0.51181102362204722" footer="0.31496062992125984"/>
  <pageSetup scale="55" orientation="landscape" blackAndWhite="1" r:id="rId1"/>
  <headerFooter>
    <oddHeader>&amp;LPROJECT BULYANHULU&amp;CSheet:&amp;A&amp;RSTRICTLY CONFIDENTIAL</oddHeader>
    <oddFooter>&amp;L&amp;F ( printed on &amp;D at &amp;T )&amp;RPage &amp;P of &amp;N</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8BCE3-6C26-47FB-AABA-9D722E6CCC55}">
  <sheetPr codeName="Sheet12">
    <tabColor rgb="FFA6A6A6"/>
    <pageSetUpPr autoPageBreaks="0"/>
  </sheetPr>
  <dimension ref="A1:AQ930"/>
  <sheetViews>
    <sheetView topLeftCell="A598" zoomScaleNormal="100" workbookViewId="0">
      <selection activeCell="E627" sqref="E627"/>
    </sheetView>
  </sheetViews>
  <sheetFormatPr defaultColWidth="10.7265625" defaultRowHeight="14.5" outlineLevelCol="1" x14ac:dyDescent="0.25"/>
  <cols>
    <col min="1" max="4" width="1.26953125" style="7" customWidth="1"/>
    <col min="5" max="5" width="55" style="1042" customWidth="1"/>
    <col min="6" max="6" width="12.7265625" style="7" customWidth="1"/>
    <col min="7" max="7" width="15.7265625" style="7" customWidth="1"/>
    <col min="8" max="8" width="40.7265625" style="7" hidden="1" customWidth="1" outlineLevel="1"/>
    <col min="9" max="9" width="12.7265625" style="7" customWidth="1" collapsed="1"/>
    <col min="10" max="10" width="3.7265625" style="7" customWidth="1"/>
    <col min="11" max="11" width="61.7265625" style="1044" customWidth="1"/>
    <col min="12" max="12" width="56" style="1044" bestFit="1" customWidth="1"/>
    <col min="13" max="13" width="44.26953125" style="1044" customWidth="1"/>
    <col min="14" max="14" width="56" style="1044" customWidth="1"/>
    <col min="15" max="15" width="44.26953125" style="1042" customWidth="1"/>
    <col min="16" max="16" width="3.7265625" style="7" customWidth="1"/>
    <col min="17" max="16384" width="10.7265625" style="7"/>
  </cols>
  <sheetData>
    <row r="1" spans="1:43" s="934" customFormat="1" x14ac:dyDescent="0.25">
      <c r="A1" s="396" t="str">
        <f ca="1" xml:space="preserve"> RIGHT( CELL("filename",$A$1), LEN( CELL("filename",$A$1)) - SEARCH("]", CELL("filename",$A$1)))</f>
        <v>Translate</v>
      </c>
      <c r="B1" s="933"/>
      <c r="C1" s="933"/>
      <c r="D1" s="933"/>
      <c r="E1" s="1034"/>
      <c r="F1" s="933"/>
      <c r="G1" s="933"/>
      <c r="H1" s="933"/>
      <c r="I1" s="933"/>
      <c r="J1" s="933"/>
      <c r="K1" s="1047"/>
      <c r="L1" s="1052"/>
      <c r="M1" s="1047"/>
      <c r="N1" s="1047"/>
      <c r="O1" s="1034"/>
      <c r="P1" s="933"/>
      <c r="Q1" s="933"/>
      <c r="R1" s="933"/>
      <c r="S1" s="933"/>
      <c r="T1" s="933"/>
      <c r="U1" s="933"/>
      <c r="V1" s="933"/>
      <c r="W1" s="933"/>
      <c r="X1" s="933"/>
      <c r="Y1" s="933"/>
      <c r="Z1" s="933"/>
      <c r="AA1" s="933"/>
      <c r="AB1" s="933"/>
      <c r="AC1" s="933"/>
      <c r="AD1" s="933"/>
      <c r="AE1" s="933"/>
      <c r="AF1" s="933"/>
      <c r="AG1" s="933"/>
      <c r="AH1" s="933"/>
      <c r="AI1" s="933"/>
      <c r="AJ1" s="933"/>
      <c r="AK1" s="933"/>
      <c r="AL1" s="933"/>
      <c r="AM1" s="933"/>
      <c r="AN1" s="933"/>
      <c r="AO1" s="933"/>
      <c r="AP1" s="933"/>
      <c r="AQ1" s="933"/>
    </row>
    <row r="2" spans="1:43" s="935" customFormat="1" x14ac:dyDescent="0.25">
      <c r="E2" s="1043" t="str">
        <f xml:space="preserve"> Inputs!E$101</f>
        <v>Language selected</v>
      </c>
      <c r="F2" s="142">
        <f xml:space="preserve"> Inputs!F$101</f>
        <v>1</v>
      </c>
      <c r="G2" s="142" t="str">
        <f xml:space="preserve"> Inputs!G$101</f>
        <v>Option selected</v>
      </c>
      <c r="H2" s="90" t="str">
        <f>Translate!E600</f>
        <v>Comments</v>
      </c>
      <c r="K2" s="1048" t="str">
        <f xml:space="preserve"> E$565</f>
        <v>English</v>
      </c>
      <c r="L2" s="1048" t="str">
        <f xml:space="preserve"> E$566</f>
        <v>French</v>
      </c>
      <c r="M2" s="1048" t="str">
        <f xml:space="preserve"> E$567</f>
        <v>Spanish</v>
      </c>
      <c r="N2" s="1048" t="str">
        <f xml:space="preserve"> Inputs!F$99</f>
        <v>Other1</v>
      </c>
      <c r="O2" s="1035" t="str">
        <f xml:space="preserve"> Inputs!F$100</f>
        <v>Other2</v>
      </c>
    </row>
    <row r="3" spans="1:43" s="935" customFormat="1" x14ac:dyDescent="0.25">
      <c r="E3" s="1044" t="str">
        <f>INDEX(K3:O3, , F$2)</f>
        <v>Authors</v>
      </c>
      <c r="F3" s="142"/>
      <c r="G3" s="142"/>
      <c r="J3" s="434"/>
      <c r="K3" s="1036" t="s">
        <v>53</v>
      </c>
      <c r="L3" s="1041" t="s">
        <v>54</v>
      </c>
      <c r="M3" s="1036" t="s">
        <v>55</v>
      </c>
      <c r="N3" s="1036"/>
      <c r="O3" s="1037"/>
      <c r="P3" s="434"/>
    </row>
    <row r="4" spans="1:43" s="935" customFormat="1" ht="29" x14ac:dyDescent="0.25">
      <c r="E4" s="1044" t="str">
        <f>INDEX(K4:O4, , F$2)</f>
        <v>Contact in IMF FAD</v>
      </c>
      <c r="F4" s="142"/>
      <c r="G4" s="142"/>
      <c r="J4" s="434"/>
      <c r="K4" s="1036" t="s">
        <v>56</v>
      </c>
      <c r="L4" s="1041" t="s">
        <v>57</v>
      </c>
      <c r="M4" s="1036" t="s">
        <v>58</v>
      </c>
      <c r="N4" s="1036"/>
      <c r="O4" s="1037"/>
      <c r="P4" s="434"/>
    </row>
    <row r="5" spans="1:43" s="935" customFormat="1" x14ac:dyDescent="0.25">
      <c r="E5" s="1044" t="str">
        <f>INDEX(K5:O5, , F$2)</f>
        <v>Owner</v>
      </c>
      <c r="F5" s="142"/>
      <c r="G5" s="142"/>
      <c r="J5" s="434"/>
      <c r="K5" s="1036" t="s">
        <v>59</v>
      </c>
      <c r="L5" s="1041" t="s">
        <v>60</v>
      </c>
      <c r="M5" s="1036" t="s">
        <v>61</v>
      </c>
      <c r="N5" s="1036"/>
      <c r="O5" s="1037"/>
      <c r="P5" s="434"/>
    </row>
    <row r="6" spans="1:43" s="935" customFormat="1" x14ac:dyDescent="0.25">
      <c r="E6" s="1044" t="str">
        <f>INDEX(K6:O6, , F$2)</f>
        <v>Overall checks</v>
      </c>
      <c r="F6" s="142"/>
      <c r="G6" s="142"/>
      <c r="J6" s="434"/>
      <c r="K6" s="1036" t="s">
        <v>62</v>
      </c>
      <c r="L6" s="1041" t="s">
        <v>63</v>
      </c>
      <c r="M6" s="1036" t="s">
        <v>64</v>
      </c>
      <c r="N6" s="1036"/>
      <c r="O6" s="1037"/>
      <c r="P6" s="434"/>
    </row>
    <row r="7" spans="1:43" s="935" customFormat="1" x14ac:dyDescent="0.25">
      <c r="E7" s="1044" t="str" cm="1">
        <f t="array" ref="E7">INDEX(K7:O7, , F$2)</f>
        <v>Checks</v>
      </c>
      <c r="F7" s="142"/>
      <c r="G7" s="142"/>
      <c r="J7" s="434"/>
      <c r="K7" s="1036" t="s">
        <v>65</v>
      </c>
      <c r="L7" s="1041" t="s">
        <v>66</v>
      </c>
      <c r="M7" s="1036" t="s">
        <v>67</v>
      </c>
      <c r="N7" s="1036"/>
      <c r="O7" s="1037"/>
      <c r="P7" s="434"/>
    </row>
    <row r="8" spans="1:43" s="935" customFormat="1" x14ac:dyDescent="0.25">
      <c r="E8" s="1044" t="str" cm="1">
        <f t="array" ref="E8">INDEX(K8:O8, , F$2)</f>
        <v>Changes</v>
      </c>
      <c r="F8" s="142"/>
      <c r="G8" s="142"/>
      <c r="J8" s="434"/>
      <c r="K8" s="1036" t="s">
        <v>68</v>
      </c>
      <c r="L8" s="1041" t="s">
        <v>69</v>
      </c>
      <c r="M8" s="1036" t="s">
        <v>70</v>
      </c>
      <c r="N8" s="1036"/>
      <c r="O8" s="1037"/>
      <c r="P8" s="434"/>
    </row>
    <row r="9" spans="1:43" s="935" customFormat="1" x14ac:dyDescent="0.25">
      <c r="E9" s="1044" t="str">
        <f t="shared" ref="E9:E17" si="0">INDEX(K9:O9, , F$2)</f>
        <v>Enter fiscal regime assumptions</v>
      </c>
      <c r="F9" s="142"/>
      <c r="G9" s="142"/>
      <c r="J9" s="434"/>
      <c r="K9" s="1036" t="s">
        <v>71</v>
      </c>
      <c r="L9" s="1041" t="s">
        <v>72</v>
      </c>
      <c r="M9" s="1036" t="s">
        <v>73</v>
      </c>
      <c r="N9" s="1036"/>
      <c r="O9" s="1037"/>
      <c r="P9" s="434"/>
    </row>
    <row r="10" spans="1:43" s="935" customFormat="1" x14ac:dyDescent="0.25">
      <c r="E10" s="1044" t="str">
        <f t="shared" si="0"/>
        <v>Enter project data</v>
      </c>
      <c r="F10" s="142"/>
      <c r="G10" s="142"/>
      <c r="J10" s="434"/>
      <c r="K10" s="1036" t="s">
        <v>74</v>
      </c>
      <c r="L10" s="1053" t="s">
        <v>75</v>
      </c>
      <c r="M10" s="1036" t="s">
        <v>76</v>
      </c>
      <c r="N10" s="1036"/>
      <c r="O10" s="1037"/>
      <c r="P10" s="434"/>
    </row>
    <row r="11" spans="1:43" s="935" customFormat="1" x14ac:dyDescent="0.25">
      <c r="E11" s="1044" t="str">
        <f t="shared" si="0"/>
        <v>Select fiscal regime</v>
      </c>
      <c r="F11" s="142"/>
      <c r="G11" s="142"/>
      <c r="J11" s="434"/>
      <c r="K11" s="1036" t="s">
        <v>77</v>
      </c>
      <c r="L11" s="1041" t="s">
        <v>78</v>
      </c>
      <c r="M11" s="1036" t="s">
        <v>79</v>
      </c>
      <c r="N11" s="1036"/>
      <c r="O11" s="1037"/>
      <c r="P11" s="434"/>
    </row>
    <row r="12" spans="1:43" s="935" customFormat="1" x14ac:dyDescent="0.25">
      <c r="E12" s="1044" t="str">
        <f t="shared" si="0"/>
        <v>Select project</v>
      </c>
      <c r="F12" s="142"/>
      <c r="G12" s="142"/>
      <c r="J12" s="434"/>
      <c r="K12" s="1036" t="s">
        <v>80</v>
      </c>
      <c r="L12" s="1041" t="s">
        <v>81</v>
      </c>
      <c r="M12" s="1036" t="s">
        <v>82</v>
      </c>
      <c r="N12" s="1036"/>
      <c r="O12" s="1037"/>
      <c r="P12" s="434"/>
    </row>
    <row r="13" spans="1:43" s="935" customFormat="1" x14ac:dyDescent="0.25">
      <c r="E13" s="1044" t="str">
        <f t="shared" si="0"/>
        <v>Change oil price</v>
      </c>
      <c r="F13" s="142"/>
      <c r="G13" s="142"/>
      <c r="J13" s="434"/>
      <c r="K13" s="1036" t="s">
        <v>83</v>
      </c>
      <c r="L13" s="1053" t="s">
        <v>84</v>
      </c>
      <c r="M13" s="1036" t="s">
        <v>85</v>
      </c>
      <c r="N13" s="1036"/>
      <c r="O13" s="1037"/>
      <c r="P13" s="434"/>
    </row>
    <row r="14" spans="1:43" s="935" customFormat="1" x14ac:dyDescent="0.25">
      <c r="E14" s="1044" t="str">
        <f t="shared" si="0"/>
        <v>Review results</v>
      </c>
      <c r="F14" s="142"/>
      <c r="G14" s="142"/>
      <c r="J14" s="434"/>
      <c r="K14" s="1036" t="s">
        <v>86</v>
      </c>
      <c r="L14" s="1041" t="s">
        <v>87</v>
      </c>
      <c r="M14" s="1036" t="s">
        <v>88</v>
      </c>
      <c r="N14" s="1036"/>
      <c r="O14" s="1037"/>
      <c r="P14" s="434"/>
    </row>
    <row r="15" spans="1:43" s="935" customFormat="1" x14ac:dyDescent="0.25">
      <c r="E15" s="1044" t="str">
        <f t="shared" si="0"/>
        <v>Review detailed results</v>
      </c>
      <c r="F15" s="142"/>
      <c r="G15" s="142"/>
      <c r="J15" s="434"/>
      <c r="K15" s="1036" t="s">
        <v>89</v>
      </c>
      <c r="L15" s="1041" t="s">
        <v>90</v>
      </c>
      <c r="M15" s="1036" t="s">
        <v>91</v>
      </c>
      <c r="N15" s="1036"/>
      <c r="O15" s="1037"/>
      <c r="P15" s="434"/>
    </row>
    <row r="16" spans="1:43" s="935" customFormat="1" x14ac:dyDescent="0.25">
      <c r="E16" s="1044" t="str">
        <f t="shared" si="0"/>
        <v>Analytical routines</v>
      </c>
      <c r="F16" s="142"/>
      <c r="G16" s="142"/>
      <c r="J16" s="434"/>
      <c r="K16" s="1036" t="s">
        <v>92</v>
      </c>
      <c r="L16" s="1053" t="s">
        <v>93</v>
      </c>
      <c r="M16" s="1036" t="s">
        <v>94</v>
      </c>
      <c r="N16" s="1036"/>
      <c r="O16" s="1037"/>
      <c r="P16" s="434"/>
    </row>
    <row r="17" spans="5:16" s="935" customFormat="1" x14ac:dyDescent="0.25">
      <c r="E17" s="1044" t="str">
        <f t="shared" si="0"/>
        <v>Abbreviations</v>
      </c>
      <c r="F17" s="142"/>
      <c r="G17" s="142"/>
      <c r="J17" s="434"/>
      <c r="K17" s="1036" t="s">
        <v>95</v>
      </c>
      <c r="L17" s="1041" t="s">
        <v>96</v>
      </c>
      <c r="M17" s="1036" t="s">
        <v>97</v>
      </c>
      <c r="N17" s="1036"/>
      <c r="O17" s="1037"/>
      <c r="P17" s="434"/>
    </row>
    <row r="18" spans="5:16" s="935" customFormat="1" x14ac:dyDescent="0.25">
      <c r="E18" s="1044" t="str" cm="1">
        <f t="array" ref="E18">INDEX(K18:O18, , F$2)</f>
        <v>Name ranges used in the model</v>
      </c>
      <c r="F18" s="142"/>
      <c r="G18" s="142"/>
      <c r="J18" s="434"/>
      <c r="K18" s="1036" t="s">
        <v>98</v>
      </c>
      <c r="L18" s="1041" t="s">
        <v>99</v>
      </c>
      <c r="M18" s="1036" t="s">
        <v>100</v>
      </c>
      <c r="N18" s="1036"/>
      <c r="O18" s="1037"/>
      <c r="P18" s="434"/>
    </row>
    <row r="19" spans="5:16" s="935" customFormat="1" x14ac:dyDescent="0.25">
      <c r="E19" s="1044" t="str" cm="1">
        <f t="array" ref="E19">INDEX(K19:O19, , F$2)</f>
        <v>Sheet tabs</v>
      </c>
      <c r="F19" s="142"/>
      <c r="G19" s="142"/>
      <c r="J19" s="434"/>
      <c r="K19" s="1036" t="s">
        <v>101</v>
      </c>
      <c r="L19" s="1041" t="s">
        <v>102</v>
      </c>
      <c r="M19" s="1036" t="s">
        <v>103</v>
      </c>
      <c r="N19" s="1036"/>
      <c r="O19" s="1037"/>
      <c r="P19" s="434"/>
    </row>
    <row r="20" spans="5:16" s="935" customFormat="1" x14ac:dyDescent="0.25">
      <c r="E20" s="1044" t="str" cm="1">
        <f t="array" ref="E20">INDEX(K20:O20, , F$2)</f>
        <v>Font colour only</v>
      </c>
      <c r="F20" s="142"/>
      <c r="G20" s="142"/>
      <c r="J20" s="434"/>
      <c r="K20" s="1036" t="s">
        <v>104</v>
      </c>
      <c r="L20" s="1041" t="s">
        <v>105</v>
      </c>
      <c r="M20" s="1036" t="s">
        <v>106</v>
      </c>
      <c r="N20" s="1036"/>
      <c r="O20" s="1037"/>
      <c r="P20" s="434"/>
    </row>
    <row r="21" spans="5:16" s="935" customFormat="1" x14ac:dyDescent="0.25">
      <c r="E21" s="1044" t="str" cm="1">
        <f t="array" ref="E21">INDEX(K21:O21, , F$2)</f>
        <v>Font + shade combinations</v>
      </c>
      <c r="F21" s="142"/>
      <c r="G21" s="142"/>
      <c r="J21" s="434"/>
      <c r="K21" s="1036" t="s">
        <v>107</v>
      </c>
      <c r="L21" s="1041" t="s">
        <v>108</v>
      </c>
      <c r="M21" s="1036" t="s">
        <v>109</v>
      </c>
      <c r="N21" s="1036"/>
      <c r="O21" s="1037"/>
      <c r="P21" s="434"/>
    </row>
    <row r="22" spans="5:16" s="935" customFormat="1" x14ac:dyDescent="0.25">
      <c r="E22" s="1044" t="str" cm="1">
        <f t="array" ref="E22">INDEX(K22:O22, , F$2)</f>
        <v>Error checks &amp; alerts</v>
      </c>
      <c r="F22" s="142"/>
      <c r="G22" s="142"/>
      <c r="J22" s="434"/>
      <c r="K22" s="1036" t="s">
        <v>110</v>
      </c>
      <c r="L22" s="1041" t="s">
        <v>111</v>
      </c>
      <c r="M22" s="1036" t="s">
        <v>112</v>
      </c>
      <c r="N22" s="1036"/>
      <c r="O22" s="1037"/>
      <c r="P22" s="434"/>
    </row>
    <row r="23" spans="5:16" s="935" customFormat="1" x14ac:dyDescent="0.25">
      <c r="E23" s="1044" t="str" cm="1">
        <f t="array" ref="E23">INDEX(K23:O23, , F$2)</f>
        <v>Dashboard</v>
      </c>
      <c r="F23" s="142"/>
      <c r="G23" s="142"/>
      <c r="J23" s="434"/>
      <c r="K23" s="1036" t="s">
        <v>13</v>
      </c>
      <c r="L23" s="1041" t="s">
        <v>113</v>
      </c>
      <c r="M23" s="1036" t="s">
        <v>114</v>
      </c>
      <c r="N23" s="1036"/>
      <c r="O23" s="1037"/>
      <c r="P23" s="434"/>
    </row>
    <row r="24" spans="5:16" s="935" customFormat="1" x14ac:dyDescent="0.25">
      <c r="E24" s="1044" t="str" cm="1">
        <f t="array" ref="E24">INDEX(K24:O24, , F$2)</f>
        <v>Input sheets</v>
      </c>
      <c r="F24" s="142"/>
      <c r="G24" s="142"/>
      <c r="J24" s="434"/>
      <c r="K24" s="1036" t="s">
        <v>115</v>
      </c>
      <c r="L24" s="1041" t="s">
        <v>116</v>
      </c>
      <c r="M24" s="1036" t="s">
        <v>117</v>
      </c>
      <c r="N24" s="1036"/>
      <c r="O24" s="1037"/>
      <c r="P24" s="434"/>
    </row>
    <row r="25" spans="5:16" s="935" customFormat="1" x14ac:dyDescent="0.25">
      <c r="E25" s="1044" t="str" cm="1">
        <f t="array" ref="E25">INDEX(K25:O25, , F$2)</f>
        <v>Calculation sheets</v>
      </c>
      <c r="F25" s="142"/>
      <c r="G25" s="142"/>
      <c r="J25" s="434"/>
      <c r="K25" s="1036" t="s">
        <v>118</v>
      </c>
      <c r="L25" s="1041" t="s">
        <v>119</v>
      </c>
      <c r="M25" s="1036" t="s">
        <v>120</v>
      </c>
      <c r="N25" s="1036"/>
      <c r="O25" s="1037"/>
      <c r="P25" s="434"/>
    </row>
    <row r="26" spans="5:16" s="935" customFormat="1" x14ac:dyDescent="0.25">
      <c r="E26" s="1044" t="str" cm="1">
        <f t="array" ref="E26">INDEX(K26:O26, , F$2)</f>
        <v>Key output sheets</v>
      </c>
      <c r="F26" s="142"/>
      <c r="G26" s="142"/>
      <c r="J26" s="434"/>
      <c r="K26" s="1036" t="s">
        <v>121</v>
      </c>
      <c r="L26" s="1041" t="s">
        <v>122</v>
      </c>
      <c r="M26" s="1036" t="s">
        <v>123</v>
      </c>
      <c r="N26" s="1036"/>
      <c r="O26" s="1037"/>
      <c r="P26" s="434"/>
    </row>
    <row r="27" spans="5:16" s="935" customFormat="1" x14ac:dyDescent="0.25">
      <c r="E27" s="1044" t="str" cm="1">
        <f t="array" ref="E27">INDEX(K27:O27, , F$2)</f>
        <v>Documentation sheets</v>
      </c>
      <c r="F27" s="142"/>
      <c r="G27" s="142"/>
      <c r="J27" s="434"/>
      <c r="K27" s="1036" t="s">
        <v>124</v>
      </c>
      <c r="L27" s="1041" t="s">
        <v>125</v>
      </c>
      <c r="M27" s="1036" t="s">
        <v>126</v>
      </c>
      <c r="N27" s="1036"/>
      <c r="O27" s="1037"/>
      <c r="P27" s="434"/>
    </row>
    <row r="28" spans="5:16" s="935" customFormat="1" x14ac:dyDescent="0.25">
      <c r="E28" s="1044" t="str" cm="1">
        <f t="array" ref="E28">INDEX(K28:O28, , F$2)</f>
        <v>Quality control sheets</v>
      </c>
      <c r="F28" s="142"/>
      <c r="G28" s="142"/>
      <c r="J28" s="434"/>
      <c r="K28" s="1036" t="s">
        <v>127</v>
      </c>
      <c r="L28" s="1053" t="s">
        <v>128</v>
      </c>
      <c r="M28" s="1036" t="s">
        <v>129</v>
      </c>
      <c r="N28" s="1036"/>
      <c r="O28" s="1037"/>
      <c r="P28" s="434"/>
    </row>
    <row r="29" spans="5:16" s="935" customFormat="1" x14ac:dyDescent="0.25">
      <c r="E29" s="1044" t="str" cm="1">
        <f t="array" ref="E29">INDEX(K29:O29, , F$2)</f>
        <v>Imported from another sheet</v>
      </c>
      <c r="F29" s="142"/>
      <c r="G29" s="142"/>
      <c r="J29" s="434"/>
      <c r="K29" s="1036" t="s">
        <v>130</v>
      </c>
      <c r="L29" s="1041" t="s">
        <v>131</v>
      </c>
      <c r="M29" s="1036" t="s">
        <v>132</v>
      </c>
      <c r="N29" s="1036"/>
      <c r="O29" s="1037"/>
      <c r="P29" s="434"/>
    </row>
    <row r="30" spans="5:16" s="935" customFormat="1" ht="29" x14ac:dyDescent="0.25">
      <c r="E30" s="1044" t="str" cm="1">
        <f t="array" ref="E30">INDEX(K30:O30, , F$2)</f>
        <v>Exported to another sheet (except from Input sheets)</v>
      </c>
      <c r="F30" s="142"/>
      <c r="G30" s="142"/>
      <c r="J30" s="434"/>
      <c r="K30" s="1036" t="s">
        <v>133</v>
      </c>
      <c r="L30" s="1053" t="s">
        <v>134</v>
      </c>
      <c r="M30" s="1036" t="s">
        <v>135</v>
      </c>
      <c r="N30" s="1036"/>
      <c r="O30" s="1037"/>
      <c r="P30" s="434"/>
    </row>
    <row r="31" spans="5:16" s="935" customFormat="1" x14ac:dyDescent="0.25">
      <c r="E31" s="1044" t="str" cm="1">
        <f t="array" ref="E31">INDEX(K31:O31, , F$2)</f>
        <v>Within sheet link or calculation</v>
      </c>
      <c r="F31" s="142"/>
      <c r="G31" s="142"/>
      <c r="J31" s="434"/>
      <c r="K31" s="1036" t="s">
        <v>136</v>
      </c>
      <c r="L31" s="1041" t="s">
        <v>137</v>
      </c>
      <c r="M31" s="1036" t="s">
        <v>138</v>
      </c>
      <c r="N31" s="1036"/>
      <c r="O31" s="1037"/>
      <c r="P31" s="434"/>
    </row>
    <row r="32" spans="5:16" s="935" customFormat="1" ht="29" x14ac:dyDescent="0.25">
      <c r="E32" s="1044" t="str" cm="1">
        <f t="array" ref="E32">INDEX(K32:O32, , F$2)</f>
        <v>Calling fiscal parameter from fiscal regime inputs</v>
      </c>
      <c r="F32" s="142"/>
      <c r="G32" s="142"/>
      <c r="J32" s="434"/>
      <c r="K32" s="1036" t="s">
        <v>139</v>
      </c>
      <c r="L32" s="1041" t="s">
        <v>140</v>
      </c>
      <c r="M32" s="1036" t="s">
        <v>141</v>
      </c>
      <c r="N32" s="1036"/>
      <c r="O32" s="1037"/>
      <c r="P32" s="434"/>
    </row>
    <row r="33" spans="5:16" s="935" customFormat="1" x14ac:dyDescent="0.25">
      <c r="E33" s="1044" t="str" cm="1">
        <f t="array" ref="E33">INDEX(K33:O33, , F$2)</f>
        <v>Inputs</v>
      </c>
      <c r="F33" s="142"/>
      <c r="G33" s="142"/>
      <c r="J33" s="434"/>
      <c r="K33" s="1036" t="s">
        <v>142</v>
      </c>
      <c r="L33" s="1041" t="s">
        <v>143</v>
      </c>
      <c r="M33" s="1036" t="s">
        <v>144</v>
      </c>
      <c r="N33" s="1036"/>
      <c r="O33" s="1037"/>
      <c r="P33" s="434"/>
    </row>
    <row r="34" spans="5:16" s="935" customFormat="1" x14ac:dyDescent="0.25">
      <c r="E34" s="1044" t="str" cm="1">
        <f t="array" ref="E34">INDEX(K34:O34, , F$2)</f>
        <v>Calculations</v>
      </c>
      <c r="F34" s="142"/>
      <c r="G34" s="142"/>
      <c r="J34" s="434"/>
      <c r="K34" s="1036" t="s">
        <v>145</v>
      </c>
      <c r="L34" s="1041" t="s">
        <v>146</v>
      </c>
      <c r="M34" s="1036" t="s">
        <v>147</v>
      </c>
      <c r="N34" s="1036"/>
      <c r="O34" s="1037"/>
      <c r="P34" s="434"/>
    </row>
    <row r="35" spans="5:16" s="935" customFormat="1" ht="29" x14ac:dyDescent="0.25">
      <c r="E35" s="1044" t="str" cm="1">
        <f t="array" ref="E35">INDEX(K35:O35, , F$2)</f>
        <v>Blocks of data linked by arrays OR Indirect formula</v>
      </c>
      <c r="F35" s="142"/>
      <c r="G35" s="142"/>
      <c r="J35" s="434"/>
      <c r="K35" s="1036" t="s">
        <v>148</v>
      </c>
      <c r="L35" s="1041" t="s">
        <v>149</v>
      </c>
      <c r="M35" s="1036" t="s">
        <v>150</v>
      </c>
      <c r="N35" s="1036"/>
      <c r="O35" s="1037"/>
      <c r="P35" s="434"/>
    </row>
    <row r="36" spans="5:16" s="935" customFormat="1" x14ac:dyDescent="0.25">
      <c r="E36" s="1044" t="str" cm="1">
        <f t="array" ref="E36">INDEX(K36:O36, , F$2)</f>
        <v xml:space="preserve">Within-worksheet counter-flow </v>
      </c>
      <c r="F36" s="142"/>
      <c r="G36" s="142"/>
      <c r="J36" s="434"/>
      <c r="K36" s="1036" t="s">
        <v>151</v>
      </c>
      <c r="L36" s="1053" t="s">
        <v>152</v>
      </c>
      <c r="M36" s="1036" t="s">
        <v>153</v>
      </c>
      <c r="N36" s="1036"/>
      <c r="O36" s="1037"/>
      <c r="P36" s="434"/>
    </row>
    <row r="37" spans="5:16" s="935" customFormat="1" x14ac:dyDescent="0.25">
      <c r="E37" s="1044" t="str" cm="1">
        <f t="array" ref="E37">INDEX(K37:O37, , F$2)</f>
        <v>Empty cells being deliberately referenced</v>
      </c>
      <c r="F37" s="142"/>
      <c r="G37" s="142"/>
      <c r="J37" s="434"/>
      <c r="K37" s="1036" t="s">
        <v>154</v>
      </c>
      <c r="L37" s="1053" t="s">
        <v>155</v>
      </c>
      <c r="M37" s="1036" t="s">
        <v>156</v>
      </c>
      <c r="N37" s="1036"/>
      <c r="O37" s="1037"/>
      <c r="P37" s="434"/>
    </row>
    <row r="38" spans="5:16" s="935" customFormat="1" x14ac:dyDescent="0.25">
      <c r="E38" s="1044" t="str" cm="1">
        <f t="array" ref="E38">INDEX(K38:O38, , F$2)</f>
        <v>Section separator</v>
      </c>
      <c r="F38" s="142"/>
      <c r="G38" s="142"/>
      <c r="I38" s="1046"/>
      <c r="J38" s="434"/>
      <c r="K38" s="1036" t="s">
        <v>157</v>
      </c>
      <c r="L38" s="1053" t="s">
        <v>158</v>
      </c>
      <c r="M38" s="1036" t="s">
        <v>159</v>
      </c>
      <c r="N38" s="1036"/>
      <c r="O38" s="1037"/>
      <c r="P38" s="434"/>
    </row>
    <row r="39" spans="5:16" s="935" customFormat="1" x14ac:dyDescent="0.25">
      <c r="E39" s="1044" t="str" cm="1">
        <f t="array" ref="E39">INDEX(K39:O39, , F$2)</f>
        <v>OK</v>
      </c>
      <c r="F39" s="142"/>
      <c r="G39" s="142"/>
      <c r="J39" s="434"/>
      <c r="K39" s="1036" t="s">
        <v>160</v>
      </c>
      <c r="L39" s="1041" t="s">
        <v>160</v>
      </c>
      <c r="M39" s="1036" t="s">
        <v>160</v>
      </c>
      <c r="N39" s="1036"/>
      <c r="O39" s="1037"/>
      <c r="P39" s="434"/>
    </row>
    <row r="40" spans="5:16" s="935" customFormat="1" x14ac:dyDescent="0.25">
      <c r="E40" s="1044" t="str" cm="1">
        <f t="array" ref="E40">INDEX(K40:O40, , F$2)</f>
        <v>Error</v>
      </c>
      <c r="F40" s="142"/>
      <c r="G40" s="142"/>
      <c r="J40" s="434"/>
      <c r="K40" s="1036" t="s">
        <v>161</v>
      </c>
      <c r="L40" s="1041" t="s">
        <v>162</v>
      </c>
      <c r="M40" s="1036" t="s">
        <v>161</v>
      </c>
      <c r="N40" s="1036"/>
      <c r="O40" s="1037"/>
      <c r="P40" s="434"/>
    </row>
    <row r="41" spans="5:16" s="935" customFormat="1" x14ac:dyDescent="0.25">
      <c r="E41" s="1044" t="str" cm="1">
        <f t="array" ref="E41">INDEX(K41:O41, , F$2)</f>
        <v>Alert</v>
      </c>
      <c r="F41" s="142"/>
      <c r="G41" s="142"/>
      <c r="J41" s="434"/>
      <c r="K41" s="1036" t="s">
        <v>163</v>
      </c>
      <c r="L41" s="1041" t="s">
        <v>164</v>
      </c>
      <c r="M41" s="1036" t="s">
        <v>165</v>
      </c>
      <c r="N41" s="1036"/>
      <c r="O41" s="1037"/>
      <c r="P41" s="434"/>
    </row>
    <row r="42" spans="5:16" s="935" customFormat="1" x14ac:dyDescent="0.25">
      <c r="E42" s="1044" t="str" cm="1">
        <f t="array" ref="E42">INDEX(K42:O42, , F$2)</f>
        <v>Average effective tax rate</v>
      </c>
      <c r="F42" s="142"/>
      <c r="G42" s="142"/>
      <c r="J42" s="434"/>
      <c r="K42" s="1036" t="s">
        <v>166</v>
      </c>
      <c r="L42" s="1041" t="s">
        <v>167</v>
      </c>
      <c r="M42" s="1036" t="s">
        <v>168</v>
      </c>
      <c r="N42" s="1036"/>
      <c r="O42" s="1037"/>
      <c r="P42" s="434"/>
    </row>
    <row r="43" spans="5:16" s="935" customFormat="1" x14ac:dyDescent="0.25">
      <c r="E43" s="1044" t="str" cm="1">
        <f t="array" ref="E43">INDEX(K43:O43, , F$2)</f>
        <v>Barrel</v>
      </c>
      <c r="F43" s="142"/>
      <c r="G43" s="142"/>
      <c r="J43" s="434"/>
      <c r="K43" s="1036" t="s">
        <v>169</v>
      </c>
      <c r="L43" s="1041" t="s">
        <v>170</v>
      </c>
      <c r="M43" s="1036" t="s">
        <v>171</v>
      </c>
      <c r="N43" s="1036"/>
      <c r="O43" s="1037"/>
      <c r="P43" s="434"/>
    </row>
    <row r="44" spans="5:16" s="935" customFormat="1" x14ac:dyDescent="0.25">
      <c r="E44" s="1044" t="str" cm="1">
        <f t="array" ref="E44">INDEX(K44:O44, , F$2)</f>
        <v>Barrels of oil equivalent</v>
      </c>
      <c r="F44" s="142"/>
      <c r="G44" s="142"/>
      <c r="J44" s="434"/>
      <c r="K44" s="1036" t="s">
        <v>172</v>
      </c>
      <c r="L44" s="1053" t="s">
        <v>173</v>
      </c>
      <c r="M44" s="1036" t="s">
        <v>174</v>
      </c>
      <c r="N44" s="1036"/>
      <c r="O44" s="1037"/>
      <c r="P44" s="434"/>
    </row>
    <row r="45" spans="5:16" s="935" customFormat="1" x14ac:dyDescent="0.25">
      <c r="E45" s="1044" t="str" cm="1">
        <f t="array" ref="E45">INDEX(K45:O45, , F$2)</f>
        <v>Carbon dioxide equivalent</v>
      </c>
      <c r="F45" s="142"/>
      <c r="G45" s="142"/>
      <c r="J45" s="434"/>
      <c r="K45" s="1036" t="s">
        <v>175</v>
      </c>
      <c r="L45" s="1041" t="s">
        <v>176</v>
      </c>
      <c r="M45" s="1036" t="s">
        <v>177</v>
      </c>
      <c r="N45" s="1036"/>
      <c r="O45" s="1037"/>
      <c r="P45" s="434"/>
    </row>
    <row r="46" spans="5:16" s="935" customFormat="1" x14ac:dyDescent="0.25">
      <c r="E46" s="1044" t="str" cm="1">
        <f t="array" ref="E46">INDEX(K46:O46, , F$2)</f>
        <v>Economic limit</v>
      </c>
      <c r="F46" s="142"/>
      <c r="G46" s="142"/>
      <c r="J46" s="434"/>
      <c r="K46" s="1036" t="s">
        <v>178</v>
      </c>
      <c r="L46" s="1041" t="s">
        <v>179</v>
      </c>
      <c r="M46" s="1036" t="s">
        <v>180</v>
      </c>
      <c r="N46" s="1036"/>
      <c r="O46" s="1037"/>
      <c r="P46" s="434"/>
    </row>
    <row r="47" spans="5:16" s="935" customFormat="1" x14ac:dyDescent="0.25">
      <c r="E47" s="1044" t="str" cm="1">
        <f t="array" ref="E47">INDEX(K47:O47, , F$2)</f>
        <v>Economic limit test</v>
      </c>
      <c r="F47" s="142"/>
      <c r="G47" s="142"/>
      <c r="J47" s="434"/>
      <c r="K47" s="1036" t="s">
        <v>181</v>
      </c>
      <c r="L47" s="1041" t="s">
        <v>182</v>
      </c>
      <c r="M47" s="1036" t="s">
        <v>183</v>
      </c>
      <c r="N47" s="1036"/>
      <c r="O47" s="1037"/>
      <c r="P47" s="434"/>
    </row>
    <row r="48" spans="5:16" s="935" customFormat="1" ht="29" x14ac:dyDescent="0.25">
      <c r="E48" s="1044" t="str" cm="1">
        <f t="array" ref="E48">INDEX(K48:O48, , F$2)</f>
        <v>Final investment decision (start of development)</v>
      </c>
      <c r="F48" s="142"/>
      <c r="G48" s="142"/>
      <c r="J48" s="434"/>
      <c r="K48" s="1036" t="s">
        <v>184</v>
      </c>
      <c r="L48" s="1041" t="s">
        <v>185</v>
      </c>
      <c r="M48" s="1036" t="s">
        <v>186</v>
      </c>
      <c r="N48" s="1036"/>
      <c r="O48" s="1037"/>
      <c r="P48" s="434"/>
    </row>
    <row r="49" spans="5:16" s="935" customFormat="1" x14ac:dyDescent="0.25">
      <c r="E49" s="1044" t="str" cm="1">
        <f t="array" ref="E49">INDEX(K49:O49, , F$2)</f>
        <v>Final investment decision forward</v>
      </c>
      <c r="F49" s="142"/>
      <c r="G49" s="142"/>
      <c r="J49" s="434"/>
      <c r="K49" s="1036" t="s">
        <v>187</v>
      </c>
      <c r="L49" s="1053" t="s">
        <v>188</v>
      </c>
      <c r="M49" s="1036" t="s">
        <v>189</v>
      </c>
      <c r="N49" s="1036"/>
      <c r="O49" s="1037"/>
      <c r="P49" s="434"/>
    </row>
    <row r="50" spans="5:16" s="935" customFormat="1" x14ac:dyDescent="0.25">
      <c r="E50" s="1044" t="str" cm="1">
        <f t="array" ref="E50">INDEX(K50:O50, , F$2)</f>
        <v>Grams</v>
      </c>
      <c r="F50" s="142"/>
      <c r="G50" s="142"/>
      <c r="J50" s="434"/>
      <c r="K50" s="1036" t="s">
        <v>190</v>
      </c>
      <c r="L50" s="1041" t="s">
        <v>191</v>
      </c>
      <c r="M50" s="1036" t="s">
        <v>192</v>
      </c>
      <c r="N50" s="1036"/>
      <c r="O50" s="1037"/>
      <c r="P50" s="434"/>
    </row>
    <row r="51" spans="5:16" s="935" customFormat="1" x14ac:dyDescent="0.25">
      <c r="E51" s="1044" t="str" cm="1">
        <f t="array" ref="E51">INDEX(K51:O51, , F$2)</f>
        <v>Internal rate of return</v>
      </c>
      <c r="F51" s="142"/>
      <c r="G51" s="142"/>
      <c r="J51" s="434"/>
      <c r="K51" s="1036" t="s">
        <v>193</v>
      </c>
      <c r="L51" s="1041" t="s">
        <v>194</v>
      </c>
      <c r="M51" s="1036" t="s">
        <v>195</v>
      </c>
      <c r="N51" s="1036"/>
      <c r="O51" s="1037"/>
      <c r="P51" s="434"/>
    </row>
    <row r="52" spans="5:16" s="935" customFormat="1" x14ac:dyDescent="0.25">
      <c r="E52" s="1044" t="str" cm="1">
        <f t="array" ref="E52">INDEX(K52:O52, , F$2)</f>
        <v>Megajoules</v>
      </c>
      <c r="F52" s="142"/>
      <c r="G52" s="142"/>
      <c r="J52" s="434"/>
      <c r="K52" s="1036" t="s">
        <v>196</v>
      </c>
      <c r="L52" s="1041" t="s">
        <v>197</v>
      </c>
      <c r="M52" s="1036" t="s">
        <v>198</v>
      </c>
      <c r="N52" s="1036"/>
      <c r="O52" s="1037"/>
      <c r="P52" s="434"/>
    </row>
    <row r="53" spans="5:16" s="935" customFormat="1" x14ac:dyDescent="0.25">
      <c r="E53" s="1044" t="str" cm="1">
        <f t="array" ref="E53">INDEX(K53:O53, , F$2)</f>
        <v>Millions of barrels</v>
      </c>
      <c r="F53" s="142"/>
      <c r="G53" s="142"/>
      <c r="J53" s="434"/>
      <c r="K53" s="1036" t="s">
        <v>199</v>
      </c>
      <c r="L53" s="1041" t="s">
        <v>200</v>
      </c>
      <c r="M53" s="1036" t="s">
        <v>201</v>
      </c>
      <c r="N53" s="1036"/>
      <c r="O53" s="1037"/>
      <c r="P53" s="434"/>
    </row>
    <row r="54" spans="5:16" s="935" customFormat="1" x14ac:dyDescent="0.25">
      <c r="E54" s="1044" t="str" cm="1">
        <f t="array" ref="E54">INDEX(K54:O54, , F$2)</f>
        <v>Million</v>
      </c>
      <c r="F54" s="142"/>
      <c r="G54" s="142"/>
      <c r="J54" s="434"/>
      <c r="K54" s="1036" t="s">
        <v>202</v>
      </c>
      <c r="L54" s="1041" t="s">
        <v>202</v>
      </c>
      <c r="M54" s="1036" t="s">
        <v>203</v>
      </c>
      <c r="N54" s="1036"/>
      <c r="O54" s="1037"/>
      <c r="P54" s="434"/>
    </row>
    <row r="55" spans="5:16" s="935" customFormat="1" x14ac:dyDescent="0.25">
      <c r="E55" s="1044" t="str" cm="1">
        <f t="array" ref="E55">INDEX(K55:O55, , F$2)</f>
        <v>Net present value</v>
      </c>
      <c r="F55" s="142"/>
      <c r="G55" s="142"/>
      <c r="J55" s="434"/>
      <c r="K55" s="1036" t="s">
        <v>204</v>
      </c>
      <c r="L55" s="1053" t="s">
        <v>205</v>
      </c>
      <c r="M55" s="1036" t="s">
        <v>206</v>
      </c>
      <c r="N55" s="1036"/>
      <c r="O55" s="1037"/>
      <c r="P55" s="434"/>
    </row>
    <row r="56" spans="5:16" s="935" customFormat="1" x14ac:dyDescent="0.25">
      <c r="E56" s="1044" t="str" cm="1">
        <f t="array" ref="E56">INDEX(K56:O56, , F$2)</f>
        <v>Percent per year</v>
      </c>
      <c r="F56" s="142"/>
      <c r="G56" s="142"/>
      <c r="J56" s="434"/>
      <c r="K56" s="1036" t="s">
        <v>207</v>
      </c>
      <c r="L56" s="1041" t="s">
        <v>208</v>
      </c>
      <c r="M56" s="1036" t="s">
        <v>209</v>
      </c>
      <c r="N56" s="1036"/>
      <c r="O56" s="1037"/>
      <c r="P56" s="434"/>
    </row>
    <row r="57" spans="5:16" s="935" customFormat="1" x14ac:dyDescent="0.25">
      <c r="E57" s="1044" t="str" cm="1">
        <f t="array" ref="E57">INDEX(K57:O57, , F$2)</f>
        <v>Thousands of barrels per day</v>
      </c>
      <c r="F57" s="142"/>
      <c r="G57" s="142"/>
      <c r="J57" s="434"/>
      <c r="K57" s="1036" t="s">
        <v>210</v>
      </c>
      <c r="L57" s="1041" t="s">
        <v>211</v>
      </c>
      <c r="M57" s="1036" t="s">
        <v>212</v>
      </c>
      <c r="N57" s="1036"/>
      <c r="O57" s="1037"/>
      <c r="P57" s="434"/>
    </row>
    <row r="58" spans="5:16" s="935" customFormat="1" x14ac:dyDescent="0.25">
      <c r="E58" s="1044" t="str" cm="1">
        <f t="array" ref="E58">INDEX(K58:O58, , F$2)</f>
        <v>Tonnes</v>
      </c>
      <c r="F58" s="142"/>
      <c r="G58" s="142"/>
      <c r="J58" s="434"/>
      <c r="K58" s="1036" t="s">
        <v>213</v>
      </c>
      <c r="L58" s="1041" t="s">
        <v>213</v>
      </c>
      <c r="M58" s="1036" t="s">
        <v>214</v>
      </c>
      <c r="N58" s="1036"/>
      <c r="O58" s="1037"/>
      <c r="P58" s="434"/>
    </row>
    <row r="59" spans="5:16" s="935" customFormat="1" x14ac:dyDescent="0.25">
      <c r="E59" s="1044" t="str" cm="1">
        <f t="array" ref="E59">INDEX(K59:O59, , F$2)</f>
        <v>undiscounted</v>
      </c>
      <c r="F59" s="142"/>
      <c r="G59" s="142"/>
      <c r="J59" s="434"/>
      <c r="K59" s="1036" t="s">
        <v>215</v>
      </c>
      <c r="L59" s="1041" t="s">
        <v>216</v>
      </c>
      <c r="M59" s="1036" t="s">
        <v>217</v>
      </c>
      <c r="N59" s="1036"/>
      <c r="O59" s="1037"/>
      <c r="P59" s="434"/>
    </row>
    <row r="60" spans="5:16" s="935" customFormat="1" x14ac:dyDescent="0.25">
      <c r="E60" s="1044" t="str" cm="1">
        <f t="array" ref="E60">INDEX(K60:O60, , F$2)</f>
        <v>US$</v>
      </c>
      <c r="F60" s="142"/>
      <c r="G60" s="142"/>
      <c r="J60" s="434"/>
      <c r="K60" s="1036" t="s">
        <v>218</v>
      </c>
      <c r="L60" s="1041" t="s">
        <v>218</v>
      </c>
      <c r="M60" s="1036" t="s">
        <v>218</v>
      </c>
      <c r="N60" s="1036"/>
      <c r="O60" s="1037"/>
      <c r="P60" s="434"/>
    </row>
    <row r="61" spans="5:16" s="935" customFormat="1" x14ac:dyDescent="0.25">
      <c r="E61" s="1044" t="str" cm="1">
        <f t="array" ref="E61">INDEX(K61:O61, , F$2)</f>
        <v>White</v>
      </c>
      <c r="F61" s="142"/>
      <c r="G61" s="142"/>
      <c r="J61" s="434"/>
      <c r="K61" s="1036" t="s">
        <v>219</v>
      </c>
      <c r="L61" s="1041" t="s">
        <v>220</v>
      </c>
      <c r="M61" s="1036" t="s">
        <v>221</v>
      </c>
      <c r="N61" s="1036"/>
      <c r="O61" s="1037"/>
      <c r="P61" s="434"/>
    </row>
    <row r="62" spans="5:16" s="935" customFormat="1" x14ac:dyDescent="0.25">
      <c r="E62" s="1044" t="str" cm="1">
        <f t="array" ref="E62">INDEX(K62:O62, , F$2)</f>
        <v>Light yellow</v>
      </c>
      <c r="F62" s="142"/>
      <c r="G62" s="142"/>
      <c r="J62" s="434"/>
      <c r="K62" s="1036" t="s">
        <v>222</v>
      </c>
      <c r="L62" s="1041" t="s">
        <v>223</v>
      </c>
      <c r="M62" s="1036" t="s">
        <v>224</v>
      </c>
      <c r="N62" s="1036"/>
      <c r="O62" s="1037"/>
      <c r="P62" s="434"/>
    </row>
    <row r="63" spans="5:16" s="935" customFormat="1" x14ac:dyDescent="0.25">
      <c r="E63" s="1044" t="str" cm="1">
        <f t="array" ref="E63">INDEX(K63:O63, , F$2)</f>
        <v>Transparent/light gray</v>
      </c>
      <c r="F63" s="142"/>
      <c r="G63" s="142"/>
      <c r="J63" s="434"/>
      <c r="K63" s="1036" t="s">
        <v>225</v>
      </c>
      <c r="L63" s="1041" t="s">
        <v>226</v>
      </c>
      <c r="M63" s="1036" t="s">
        <v>227</v>
      </c>
      <c r="N63" s="1036"/>
      <c r="O63" s="1037"/>
      <c r="P63" s="434"/>
    </row>
    <row r="64" spans="5:16" s="935" customFormat="1" x14ac:dyDescent="0.25">
      <c r="E64" s="1044" t="str" cm="1">
        <f t="array" ref="E64">INDEX(K64:O64, , F$2)</f>
        <v>Pale blue</v>
      </c>
      <c r="F64" s="142"/>
      <c r="G64" s="142"/>
      <c r="J64" s="434"/>
      <c r="K64" s="1036" t="s">
        <v>228</v>
      </c>
      <c r="L64" s="1041" t="s">
        <v>229</v>
      </c>
      <c r="M64" s="1036" t="s">
        <v>230</v>
      </c>
      <c r="N64" s="1036"/>
      <c r="O64" s="1037"/>
      <c r="P64" s="434"/>
    </row>
    <row r="65" spans="5:16" s="935" customFormat="1" x14ac:dyDescent="0.25">
      <c r="E65" s="1044" t="str" cm="1">
        <f t="array" ref="E65">INDEX(K65:O65, , F$2)</f>
        <v>Dark gray</v>
      </c>
      <c r="F65" s="142"/>
      <c r="G65" s="142"/>
      <c r="J65" s="434"/>
      <c r="K65" s="1036" t="s">
        <v>231</v>
      </c>
      <c r="L65" s="1041" t="s">
        <v>232</v>
      </c>
      <c r="M65" s="1036" t="s">
        <v>233</v>
      </c>
      <c r="N65" s="1036"/>
      <c r="O65" s="1037"/>
      <c r="P65" s="434"/>
    </row>
    <row r="66" spans="5:16" s="935" customFormat="1" x14ac:dyDescent="0.25">
      <c r="E66" s="1044" t="str" cm="1">
        <f t="array" ref="E66">INDEX(K66:O66, , F$2)</f>
        <v>Turquoise</v>
      </c>
      <c r="F66" s="142"/>
      <c r="G66" s="142"/>
      <c r="J66" s="434"/>
      <c r="K66" s="1036" t="s">
        <v>234</v>
      </c>
      <c r="L66" s="1041" t="s">
        <v>234</v>
      </c>
      <c r="M66" s="1036" t="s">
        <v>235</v>
      </c>
      <c r="N66" s="1036"/>
      <c r="O66" s="1037"/>
      <c r="P66" s="434"/>
    </row>
    <row r="67" spans="5:16" s="935" customFormat="1" x14ac:dyDescent="0.25">
      <c r="E67" s="1044" t="str" cm="1">
        <f t="array" ref="E67">INDEX(K67:O67, , F$2)</f>
        <v>Blue font</v>
      </c>
      <c r="F67" s="142"/>
      <c r="G67" s="142"/>
      <c r="J67" s="434"/>
      <c r="K67" s="1036" t="s">
        <v>236</v>
      </c>
      <c r="L67" s="1041" t="s">
        <v>237</v>
      </c>
      <c r="M67" s="1036" t="s">
        <v>238</v>
      </c>
      <c r="N67" s="1036"/>
      <c r="O67" s="1037"/>
      <c r="P67" s="434"/>
    </row>
    <row r="68" spans="5:16" s="935" customFormat="1" x14ac:dyDescent="0.25">
      <c r="E68" s="1044" t="str" cm="1">
        <f t="array" ref="E68">INDEX(K68:O68, , F$2)</f>
        <v xml:space="preserve">Red font </v>
      </c>
      <c r="F68" s="142"/>
      <c r="G68" s="142"/>
      <c r="J68" s="434"/>
      <c r="K68" s="1036" t="s">
        <v>239</v>
      </c>
      <c r="L68" s="1041" t="s">
        <v>240</v>
      </c>
      <c r="M68" s="1036" t="s">
        <v>241</v>
      </c>
      <c r="N68" s="1036"/>
      <c r="O68" s="1037"/>
      <c r="P68" s="434"/>
    </row>
    <row r="69" spans="5:16" s="935" customFormat="1" x14ac:dyDescent="0.25">
      <c r="E69" s="1044" t="str" cm="1">
        <f t="array" ref="E69">INDEX(K69:O69, , F$2)</f>
        <v>Black font</v>
      </c>
      <c r="F69" s="142"/>
      <c r="G69" s="142"/>
      <c r="J69" s="434"/>
      <c r="K69" s="1036" t="s">
        <v>242</v>
      </c>
      <c r="L69" s="1041" t="s">
        <v>243</v>
      </c>
      <c r="M69" s="1036" t="s">
        <v>244</v>
      </c>
      <c r="N69" s="1036"/>
      <c r="O69" s="1037"/>
      <c r="P69" s="434"/>
    </row>
    <row r="70" spans="5:16" s="935" customFormat="1" x14ac:dyDescent="0.25">
      <c r="E70" s="1044" t="str" cm="1">
        <f t="array" ref="E70">INDEX(K70:O70, , F$2)</f>
        <v>Green font</v>
      </c>
      <c r="F70" s="142"/>
      <c r="G70" s="142"/>
      <c r="J70" s="434"/>
      <c r="K70" s="1036" t="s">
        <v>245</v>
      </c>
      <c r="L70" s="1041" t="s">
        <v>246</v>
      </c>
      <c r="M70" s="1036" t="s">
        <v>247</v>
      </c>
      <c r="N70" s="1036"/>
      <c r="O70" s="1037"/>
      <c r="P70" s="434"/>
    </row>
    <row r="71" spans="5:16" s="935" customFormat="1" x14ac:dyDescent="0.25">
      <c r="E71" s="1044" t="str" cm="1">
        <f t="array" ref="E71">INDEX(K71:O71, , F$2)</f>
        <v>Black font + Light Yellow shade</v>
      </c>
      <c r="F71" s="142"/>
      <c r="G71" s="142"/>
      <c r="J71" s="434"/>
      <c r="K71" s="1036" t="s">
        <v>248</v>
      </c>
      <c r="L71" s="1041" t="s">
        <v>249</v>
      </c>
      <c r="M71" s="1036" t="s">
        <v>250</v>
      </c>
      <c r="N71" s="1036"/>
      <c r="O71" s="1037"/>
      <c r="P71" s="434"/>
    </row>
    <row r="72" spans="5:16" s="935" customFormat="1" x14ac:dyDescent="0.25">
      <c r="E72" s="1044" t="str" cm="1">
        <f t="array" ref="E72">INDEX(K72:O72, , F$2)</f>
        <v>Transparent</v>
      </c>
      <c r="F72" s="142"/>
      <c r="G72" s="142"/>
      <c r="J72" s="434"/>
      <c r="K72" s="1036" t="s">
        <v>251</v>
      </c>
      <c r="L72" s="1041" t="s">
        <v>251</v>
      </c>
      <c r="M72" s="1036" t="s">
        <v>252</v>
      </c>
      <c r="N72" s="1036"/>
      <c r="O72" s="1037"/>
      <c r="P72" s="434"/>
    </row>
    <row r="73" spans="5:16" s="935" customFormat="1" x14ac:dyDescent="0.25">
      <c r="E73" s="1044" t="str" cm="1">
        <f t="array" ref="E73">INDEX(K73:O73, , F$2)</f>
        <v>Blue font and blue shade</v>
      </c>
      <c r="F73" s="142"/>
      <c r="G73" s="142"/>
      <c r="J73" s="434"/>
      <c r="K73" s="1036" t="s">
        <v>253</v>
      </c>
      <c r="L73" s="1041" t="s">
        <v>254</v>
      </c>
      <c r="M73" s="1036" t="s">
        <v>255</v>
      </c>
      <c r="N73" s="1036"/>
      <c r="O73" s="1037"/>
      <c r="P73" s="434"/>
    </row>
    <row r="74" spans="5:16" s="935" customFormat="1" x14ac:dyDescent="0.25">
      <c r="E74" s="1044" t="str" cm="1">
        <f t="array" ref="E74">INDEX(K74:O74, , F$2)</f>
        <v>Black font + light gray shade on entire row</v>
      </c>
      <c r="F74" s="142"/>
      <c r="G74" s="142"/>
      <c r="J74" s="434"/>
      <c r="K74" s="1036" t="s">
        <v>256</v>
      </c>
      <c r="L74" s="1041" t="s">
        <v>257</v>
      </c>
      <c r="M74" s="1036" t="s">
        <v>258</v>
      </c>
      <c r="N74" s="1036"/>
      <c r="O74" s="1037"/>
      <c r="P74" s="434"/>
    </row>
    <row r="75" spans="5:16" s="935" customFormat="1" x14ac:dyDescent="0.25">
      <c r="E75" s="1044" t="str" cm="1">
        <f t="array" ref="E75">INDEX(K75:O75, , F$2)</f>
        <v>Empty cell with light gray shade</v>
      </c>
      <c r="F75" s="142"/>
      <c r="G75" s="142"/>
      <c r="J75" s="434"/>
      <c r="K75" s="1036" t="s">
        <v>259</v>
      </c>
      <c r="L75" s="1041" t="s">
        <v>260</v>
      </c>
      <c r="M75" s="1036" t="s">
        <v>261</v>
      </c>
      <c r="N75" s="1036"/>
      <c r="O75" s="1037"/>
      <c r="P75" s="434"/>
    </row>
    <row r="76" spans="5:16" s="935" customFormat="1" ht="29" x14ac:dyDescent="0.25">
      <c r="E76" s="1044" t="str" cm="1">
        <f t="array" ref="E76">INDEX(K76:O76, , F$2)</f>
        <v>White font + pale blue shade on entire row</v>
      </c>
      <c r="F76" s="142"/>
      <c r="G76" s="142"/>
      <c r="J76" s="434"/>
      <c r="K76" s="1036" t="s">
        <v>262</v>
      </c>
      <c r="L76" s="1041" t="s">
        <v>263</v>
      </c>
      <c r="M76" s="1036" t="s">
        <v>264</v>
      </c>
      <c r="N76" s="1036"/>
      <c r="O76" s="1037"/>
      <c r="P76" s="434"/>
    </row>
    <row r="77" spans="5:16" s="935" customFormat="1" x14ac:dyDescent="0.25">
      <c r="E77" s="1044" t="str" cm="1">
        <f t="array" ref="E77">INDEX(K77:O77, , F$2)</f>
        <v>Green shade</v>
      </c>
      <c r="F77" s="142"/>
      <c r="G77" s="142"/>
      <c r="J77" s="434"/>
      <c r="K77" s="1036" t="s">
        <v>265</v>
      </c>
      <c r="L77" s="1041" t="s">
        <v>266</v>
      </c>
      <c r="M77" s="1036" t="s">
        <v>267</v>
      </c>
      <c r="N77" s="1036"/>
      <c r="O77" s="1037"/>
      <c r="P77" s="434"/>
    </row>
    <row r="78" spans="5:16" s="935" customFormat="1" x14ac:dyDescent="0.25">
      <c r="E78" s="1044" t="str" cm="1">
        <f t="array" ref="E78">INDEX(K78:O78, , F$2)</f>
        <v>Red shade</v>
      </c>
      <c r="F78" s="142"/>
      <c r="G78" s="142"/>
      <c r="J78" s="434"/>
      <c r="K78" s="1036" t="s">
        <v>268</v>
      </c>
      <c r="L78" s="1041" t="s">
        <v>269</v>
      </c>
      <c r="M78" s="1036" t="s">
        <v>270</v>
      </c>
      <c r="N78" s="1036"/>
      <c r="O78" s="1037"/>
      <c r="P78" s="434"/>
    </row>
    <row r="79" spans="5:16" s="935" customFormat="1" x14ac:dyDescent="0.25">
      <c r="E79" s="1044" t="str" cm="1">
        <f t="array" ref="E79">INDEX(K79:O79, , F$2)</f>
        <v>Gold shade</v>
      </c>
      <c r="F79" s="142"/>
      <c r="G79" s="142"/>
      <c r="J79" s="434"/>
      <c r="K79" s="1036" t="s">
        <v>271</v>
      </c>
      <c r="L79" s="1041" t="s">
        <v>272</v>
      </c>
      <c r="M79" s="1036" t="s">
        <v>273</v>
      </c>
      <c r="N79" s="1036"/>
      <c r="O79" s="1037"/>
      <c r="P79" s="434"/>
    </row>
    <row r="80" spans="5:16" s="935" customFormat="1" x14ac:dyDescent="0.25">
      <c r="E80" s="1044" t="str" cm="1">
        <f t="array" ref="E80">INDEX(K80:O80, , F$2)</f>
        <v>bbl</v>
      </c>
      <c r="F80" s="142"/>
      <c r="G80" s="142"/>
      <c r="J80" s="434"/>
      <c r="K80" s="1036" t="s">
        <v>274</v>
      </c>
      <c r="L80" s="1053" t="s">
        <v>274</v>
      </c>
      <c r="M80" s="1036" t="s">
        <v>275</v>
      </c>
      <c r="N80" s="1036"/>
      <c r="O80" s="1037"/>
      <c r="P80" s="434"/>
    </row>
    <row r="81" spans="5:16" s="935" customFormat="1" x14ac:dyDescent="0.25">
      <c r="E81" s="1044" t="str" cm="1">
        <f t="array" ref="E81">INDEX(K81:O81, , F$2)</f>
        <v>BOE</v>
      </c>
      <c r="F81" s="142"/>
      <c r="G81" s="142"/>
      <c r="J81" s="434"/>
      <c r="K81" s="1036" t="s">
        <v>276</v>
      </c>
      <c r="L81" s="1041" t="s">
        <v>277</v>
      </c>
      <c r="M81" s="1036" t="s">
        <v>277</v>
      </c>
      <c r="N81" s="1036"/>
      <c r="O81" s="1037"/>
      <c r="P81" s="434"/>
    </row>
    <row r="82" spans="5:16" s="935" customFormat="1" x14ac:dyDescent="0.25">
      <c r="E82" s="1044" t="str" cm="1">
        <f t="array" ref="E82">INDEX(K82:O82, , F$2)</f>
        <v>CO2 eq</v>
      </c>
      <c r="F82" s="142"/>
      <c r="G82" s="142"/>
      <c r="J82" s="434"/>
      <c r="K82" s="1036" t="s">
        <v>278</v>
      </c>
      <c r="L82" s="1041" t="s">
        <v>279</v>
      </c>
      <c r="M82" s="1036" t="s">
        <v>280</v>
      </c>
      <c r="N82" s="1036"/>
      <c r="O82" s="1037"/>
      <c r="P82" s="434"/>
    </row>
    <row r="83" spans="5:16" s="935" customFormat="1" x14ac:dyDescent="0.25">
      <c r="E83" s="1044" t="str" cm="1">
        <f t="array" ref="E83">INDEX(K83:O83, , F$2)</f>
        <v>EL</v>
      </c>
      <c r="F83" s="142"/>
      <c r="G83" s="142"/>
      <c r="J83" s="434"/>
      <c r="K83" s="1036" t="s">
        <v>281</v>
      </c>
      <c r="L83" s="1053" t="s">
        <v>282</v>
      </c>
      <c r="M83" s="1036" t="s">
        <v>281</v>
      </c>
      <c r="N83" s="1036"/>
      <c r="O83" s="1037"/>
      <c r="P83" s="434"/>
    </row>
    <row r="84" spans="5:16" s="935" customFormat="1" x14ac:dyDescent="0.25">
      <c r="E84" s="1044" t="str" cm="1">
        <f t="array" ref="E84">INDEX(K84:O84, , F$2)</f>
        <v>ELT</v>
      </c>
      <c r="F84" s="142"/>
      <c r="G84" s="142"/>
      <c r="J84" s="434"/>
      <c r="K84" s="1036" t="s">
        <v>283</v>
      </c>
      <c r="L84" s="1041" t="s">
        <v>284</v>
      </c>
      <c r="M84" s="1036" t="s">
        <v>283</v>
      </c>
      <c r="N84" s="1036"/>
      <c r="O84" s="1037"/>
      <c r="P84" s="434"/>
    </row>
    <row r="85" spans="5:16" s="935" customFormat="1" x14ac:dyDescent="0.25">
      <c r="E85" s="1044" t="str" cm="1">
        <f t="array" ref="E85">INDEX(K85:O85, , F$2)</f>
        <v>FID</v>
      </c>
      <c r="F85" s="142"/>
      <c r="G85" s="142"/>
      <c r="J85" s="434"/>
      <c r="K85" s="1036" t="s">
        <v>285</v>
      </c>
      <c r="L85" s="1041" t="s">
        <v>286</v>
      </c>
      <c r="M85" s="1036" t="s">
        <v>286</v>
      </c>
      <c r="N85" s="1036"/>
      <c r="O85" s="1037"/>
      <c r="P85" s="434"/>
    </row>
    <row r="86" spans="5:16" s="935" customFormat="1" x14ac:dyDescent="0.25">
      <c r="E86" s="1044" t="str" cm="1">
        <f t="array" ref="E86">INDEX(K86:O86, , F$2)</f>
        <v>g</v>
      </c>
      <c r="F86" s="142"/>
      <c r="G86" s="142"/>
      <c r="J86" s="434"/>
      <c r="K86" s="1036" t="s">
        <v>287</v>
      </c>
      <c r="L86" s="1041" t="s">
        <v>287</v>
      </c>
      <c r="M86" s="1036" t="s">
        <v>287</v>
      </c>
      <c r="N86" s="1036"/>
      <c r="O86" s="1037"/>
      <c r="P86" s="434"/>
    </row>
    <row r="87" spans="5:16" s="935" customFormat="1" x14ac:dyDescent="0.25">
      <c r="E87" s="1044" t="str" cm="1">
        <f t="array" ref="E87">INDEX(K87:O87, , F$2)</f>
        <v>MJ</v>
      </c>
      <c r="F87" s="142"/>
      <c r="G87" s="142"/>
      <c r="J87" s="434"/>
      <c r="K87" s="1036" t="s">
        <v>288</v>
      </c>
      <c r="L87" s="1041" t="s">
        <v>288</v>
      </c>
      <c r="M87" s="1036" t="s">
        <v>288</v>
      </c>
      <c r="N87" s="1036"/>
      <c r="O87" s="1037"/>
      <c r="P87" s="434"/>
    </row>
    <row r="88" spans="5:16" s="935" customFormat="1" x14ac:dyDescent="0.25">
      <c r="E88" s="1044" t="str" cm="1">
        <f t="array" ref="E88">INDEX(K88:O88, , F$2)</f>
        <v>Mn Bbl</v>
      </c>
      <c r="F88" s="142"/>
      <c r="G88" s="142"/>
      <c r="J88" s="434"/>
      <c r="K88" s="1036" t="s">
        <v>289</v>
      </c>
      <c r="L88" s="1053" t="s">
        <v>290</v>
      </c>
      <c r="M88" s="1036" t="s">
        <v>291</v>
      </c>
      <c r="N88" s="1036"/>
      <c r="O88" s="1037"/>
      <c r="P88" s="434"/>
    </row>
    <row r="89" spans="5:16" s="935" customFormat="1" x14ac:dyDescent="0.25">
      <c r="E89" s="1044" t="str" cm="1">
        <f t="array" ref="E89">INDEX(K89:O89, , F$2)</f>
        <v>mn</v>
      </c>
      <c r="F89" s="142"/>
      <c r="G89" s="142"/>
      <c r="J89" s="434"/>
      <c r="K89" s="1036" t="s">
        <v>292</v>
      </c>
      <c r="L89" s="1041" t="s">
        <v>293</v>
      </c>
      <c r="M89" s="1036" t="s">
        <v>293</v>
      </c>
      <c r="N89" s="1036"/>
      <c r="O89" s="1037"/>
      <c r="P89" s="434"/>
    </row>
    <row r="90" spans="5:16" s="935" customFormat="1" x14ac:dyDescent="0.25">
      <c r="E90" s="1044" t="str" cm="1">
        <f t="array" ref="E90">INDEX(K90:O90, , F$2)</f>
        <v>t</v>
      </c>
      <c r="F90" s="142"/>
      <c r="G90" s="142"/>
      <c r="J90" s="434"/>
      <c r="K90" s="1036" t="s">
        <v>294</v>
      </c>
      <c r="L90" s="1041" t="s">
        <v>294</v>
      </c>
      <c r="M90" s="1036" t="s">
        <v>294</v>
      </c>
      <c r="N90" s="1036"/>
      <c r="O90" s="1037"/>
      <c r="P90" s="434"/>
    </row>
    <row r="91" spans="5:16" s="935" customFormat="1" x14ac:dyDescent="0.25">
      <c r="E91" s="1044" t="str" cm="1">
        <f t="array" ref="E91">INDEX(K91:O91, , F$2)</f>
        <v>United States Dollars</v>
      </c>
      <c r="F91" s="142"/>
      <c r="G91" s="142"/>
      <c r="J91" s="434"/>
      <c r="K91" s="1036" t="s">
        <v>295</v>
      </c>
      <c r="L91" s="1041" t="s">
        <v>296</v>
      </c>
      <c r="M91" s="1036" t="s">
        <v>297</v>
      </c>
      <c r="N91" s="1036"/>
      <c r="O91" s="1037"/>
      <c r="P91" s="434"/>
    </row>
    <row r="92" spans="5:16" x14ac:dyDescent="0.25">
      <c r="E92" s="1044" t="str" cm="1">
        <f t="array" ref="E92">INDEX(K92:O92, , F$2)</f>
        <v>Regime number</v>
      </c>
      <c r="J92" s="434"/>
      <c r="K92" s="1036" t="s">
        <v>298</v>
      </c>
      <c r="L92" s="1041" t="s">
        <v>299</v>
      </c>
      <c r="M92" s="1036" t="s">
        <v>300</v>
      </c>
      <c r="N92" s="1036"/>
      <c r="O92" s="1038"/>
      <c r="P92" s="434"/>
    </row>
    <row r="93" spans="5:16" x14ac:dyDescent="0.25">
      <c r="E93" s="1044" t="str" cm="1">
        <f t="array" ref="E93">INDEX(K93:O93, , F$2)</f>
        <v>Regime name</v>
      </c>
      <c r="J93" s="434"/>
      <c r="K93" s="1036" t="s">
        <v>301</v>
      </c>
      <c r="L93" s="1041" t="s">
        <v>302</v>
      </c>
      <c r="M93" s="1036" t="s">
        <v>303</v>
      </c>
      <c r="N93" s="1036"/>
      <c r="O93" s="1038"/>
      <c r="P93" s="434"/>
    </row>
    <row r="94" spans="5:16" x14ac:dyDescent="0.25">
      <c r="E94" s="1044" t="str" cm="1">
        <f t="array" ref="E94">INDEX(K94:O94, , F$2)</f>
        <v>number</v>
      </c>
      <c r="J94" s="434"/>
      <c r="K94" s="1036" t="s">
        <v>304</v>
      </c>
      <c r="L94" s="1041" t="s">
        <v>305</v>
      </c>
      <c r="M94" s="1036" t="s">
        <v>306</v>
      </c>
      <c r="N94" s="1036"/>
      <c r="O94" s="1038"/>
      <c r="P94" s="434"/>
    </row>
    <row r="95" spans="5:16" x14ac:dyDescent="0.25">
      <c r="E95" s="1044" t="str" cm="1">
        <f t="array" ref="E95">INDEX(K95:O95, , F$2)</f>
        <v>Fiscal regime selection</v>
      </c>
      <c r="J95" s="434"/>
      <c r="K95" s="1036" t="s">
        <v>307</v>
      </c>
      <c r="L95" s="1041" t="s">
        <v>308</v>
      </c>
      <c r="M95" s="1036" t="s">
        <v>309</v>
      </c>
      <c r="N95" s="1036"/>
      <c r="O95" s="1038"/>
      <c r="P95" s="434"/>
    </row>
    <row r="96" spans="5:16" x14ac:dyDescent="0.25">
      <c r="E96" s="1044" t="str" cm="1">
        <f t="array" ref="E96">INDEX(K96:O96, , F$2)</f>
        <v>Fiscal regime parameters</v>
      </c>
      <c r="J96" s="434"/>
      <c r="K96" s="1036" t="s">
        <v>310</v>
      </c>
      <c r="L96" s="1041" t="s">
        <v>311</v>
      </c>
      <c r="M96" s="1036" t="s">
        <v>312</v>
      </c>
      <c r="N96" s="1036"/>
      <c r="O96" s="1038"/>
      <c r="P96" s="434"/>
    </row>
    <row r="97" spans="5:16" x14ac:dyDescent="0.25">
      <c r="E97" s="1044" t="str" cm="1">
        <f t="array" ref="E97">INDEX(K97:O97, , F$2)</f>
        <v>Selected regime number</v>
      </c>
      <c r="J97" s="434"/>
      <c r="K97" s="1036" t="s">
        <v>313</v>
      </c>
      <c r="L97" s="1041" t="s">
        <v>314</v>
      </c>
      <c r="M97" s="1036" t="s">
        <v>315</v>
      </c>
      <c r="N97" s="1036"/>
      <c r="O97" s="1038"/>
      <c r="P97" s="434"/>
    </row>
    <row r="98" spans="5:16" x14ac:dyDescent="0.25">
      <c r="E98" s="1044" t="str" cm="1">
        <f t="array" ref="E98">INDEX(K98:O98, , F$2)</f>
        <v>Project, Fiscal Regime &amp; Prices</v>
      </c>
      <c r="J98" s="434"/>
      <c r="K98" s="1036" t="s">
        <v>316</v>
      </c>
      <c r="L98" s="1041" t="s">
        <v>317</v>
      </c>
      <c r="M98" s="1036" t="s">
        <v>318</v>
      </c>
      <c r="N98" s="1036"/>
      <c r="O98" s="1038"/>
      <c r="P98" s="434"/>
    </row>
    <row r="99" spans="5:16" x14ac:dyDescent="0.25">
      <c r="E99" s="1044" t="str" cm="1">
        <f t="array" ref="E99">INDEX(K99:O99, , F$2)</f>
        <v>Language</v>
      </c>
      <c r="J99" s="434"/>
      <c r="K99" s="1036" t="s">
        <v>319</v>
      </c>
      <c r="L99" s="1041" t="s">
        <v>320</v>
      </c>
      <c r="M99" s="1036" t="s">
        <v>321</v>
      </c>
      <c r="N99" s="1036"/>
      <c r="O99" s="1038"/>
      <c r="P99" s="434"/>
    </row>
    <row r="100" spans="5:16" x14ac:dyDescent="0.25">
      <c r="E100" s="1044" t="str" cm="1">
        <f t="array" ref="E100">INDEX(K100:O100, , F$2)</f>
        <v>Fiscal regime selected</v>
      </c>
      <c r="J100" s="434"/>
      <c r="K100" s="1036" t="s">
        <v>322</v>
      </c>
      <c r="L100" s="1041" t="s">
        <v>323</v>
      </c>
      <c r="M100" s="1036" t="s">
        <v>324</v>
      </c>
      <c r="N100" s="1036"/>
      <c r="O100" s="1038"/>
      <c r="P100" s="434"/>
    </row>
    <row r="101" spans="5:16" x14ac:dyDescent="0.25">
      <c r="E101" s="1044" t="str" cm="1">
        <f t="array" ref="E101">INDEX(K101:O101, , F$2)</f>
        <v>Selected project</v>
      </c>
      <c r="J101" s="434"/>
      <c r="K101" s="1036" t="s">
        <v>325</v>
      </c>
      <c r="L101" s="1041" t="s">
        <v>326</v>
      </c>
      <c r="M101" s="1036" t="s">
        <v>327</v>
      </c>
      <c r="N101" s="1036"/>
      <c r="O101" s="1038"/>
      <c r="P101" s="434"/>
    </row>
    <row r="102" spans="5:16" x14ac:dyDescent="0.25">
      <c r="E102" s="1044" t="str" cm="1">
        <f t="array" ref="E102">INDEX(K102:O102, , F$2)</f>
        <v>Oil price (constant real terms)</v>
      </c>
      <c r="J102" s="434"/>
      <c r="K102" s="1036" t="s">
        <v>328</v>
      </c>
      <c r="L102" s="1041" t="s">
        <v>329</v>
      </c>
      <c r="M102" s="1036" t="s">
        <v>330</v>
      </c>
      <c r="N102" s="1036"/>
      <c r="O102" s="1038"/>
      <c r="P102" s="434"/>
    </row>
    <row r="103" spans="5:16" x14ac:dyDescent="0.25">
      <c r="E103" s="1044" t="str" cm="1">
        <f t="array" ref="E103">INDEX(K103:O103, , F$2)</f>
        <v>Option</v>
      </c>
      <c r="J103" s="434"/>
      <c r="K103" s="1036" t="s">
        <v>331</v>
      </c>
      <c r="L103" s="1041" t="s">
        <v>331</v>
      </c>
      <c r="M103" s="1036" t="s">
        <v>332</v>
      </c>
      <c r="N103" s="1036"/>
      <c r="O103" s="1038"/>
      <c r="P103" s="434"/>
    </row>
    <row r="104" spans="5:16" x14ac:dyDescent="0.25">
      <c r="E104" s="1044" t="str" cm="1">
        <f t="array" ref="E104">INDEX(K104:O104, , F$2)</f>
        <v>Price sensitivity</v>
      </c>
      <c r="J104" s="434"/>
      <c r="K104" s="1036" t="s">
        <v>333</v>
      </c>
      <c r="L104" s="1041" t="s">
        <v>334</v>
      </c>
      <c r="M104" s="1036" t="s">
        <v>335</v>
      </c>
      <c r="N104" s="1036"/>
      <c r="O104" s="1038"/>
      <c r="P104" s="434"/>
    </row>
    <row r="105" spans="5:16" x14ac:dyDescent="0.25">
      <c r="E105" s="1044" t="str" cm="1">
        <f t="array" ref="E105">INDEX(K105:O105, , F$2)</f>
        <v>Production sensitivity</v>
      </c>
      <c r="J105" s="434"/>
      <c r="K105" s="1036" t="s">
        <v>336</v>
      </c>
      <c r="L105" s="1041" t="s">
        <v>337</v>
      </c>
      <c r="M105" s="1036" t="s">
        <v>338</v>
      </c>
      <c r="N105" s="1036"/>
      <c r="O105" s="1038"/>
      <c r="P105" s="434"/>
    </row>
    <row r="106" spans="5:16" x14ac:dyDescent="0.25">
      <c r="E106" s="1044" t="str" cm="1">
        <f t="array" ref="E106">INDEX(K106:O106, , F$2)</f>
        <v>Exploration cost sensitivity</v>
      </c>
      <c r="J106" s="434"/>
      <c r="K106" s="1036" t="s">
        <v>339</v>
      </c>
      <c r="L106" s="1041" t="s">
        <v>340</v>
      </c>
      <c r="M106" s="1036" t="s">
        <v>341</v>
      </c>
      <c r="N106" s="1036"/>
      <c r="O106" s="1038"/>
      <c r="P106" s="434"/>
    </row>
    <row r="107" spans="5:16" ht="29" x14ac:dyDescent="0.25">
      <c r="E107" s="1044" t="str" cm="1">
        <f t="array" ref="E107">INDEX(K107:O107, , F$2)</f>
        <v xml:space="preserve">Capex sensitivity (Dev; Replace; Decomm.) </v>
      </c>
      <c r="J107" s="434"/>
      <c r="K107" s="1036" t="s">
        <v>342</v>
      </c>
      <c r="L107" s="1053" t="s">
        <v>343</v>
      </c>
      <c r="M107" s="1036" t="s">
        <v>344</v>
      </c>
      <c r="N107" s="1036"/>
      <c r="O107" s="1038"/>
      <c r="P107" s="434"/>
    </row>
    <row r="108" spans="5:16" x14ac:dyDescent="0.25">
      <c r="E108" s="1044" t="str" cm="1">
        <f t="array" ref="E108">INDEX(K108:O108, , F$2)</f>
        <v>Operating cost sensitivity</v>
      </c>
      <c r="J108" s="434"/>
      <c r="K108" s="1036" t="s">
        <v>345</v>
      </c>
      <c r="L108" s="1041" t="s">
        <v>346</v>
      </c>
      <c r="M108" s="1036" t="s">
        <v>347</v>
      </c>
      <c r="N108" s="1036"/>
      <c r="O108" s="1038"/>
      <c r="P108" s="434"/>
    </row>
    <row r="109" spans="5:16" x14ac:dyDescent="0.25">
      <c r="E109" s="1044" t="str" cm="1">
        <f t="array" ref="E109">INDEX(K109:O109, , F$2)</f>
        <v>Discount rate</v>
      </c>
      <c r="J109" s="434"/>
      <c r="K109" s="1036" t="s">
        <v>348</v>
      </c>
      <c r="L109" s="1041" t="s">
        <v>349</v>
      </c>
      <c r="M109" s="1036" t="s">
        <v>350</v>
      </c>
      <c r="N109" s="1036"/>
      <c r="O109" s="1038"/>
      <c r="P109" s="434"/>
    </row>
    <row r="110" spans="5:16" x14ac:dyDescent="0.25">
      <c r="E110" s="1044" t="str" cm="1">
        <f t="array" ref="E110">INDEX(K110:O110, , F$2)</f>
        <v>factor</v>
      </c>
      <c r="J110" s="434"/>
      <c r="K110" s="1036" t="s">
        <v>351</v>
      </c>
      <c r="L110" s="1041" t="s">
        <v>352</v>
      </c>
      <c r="M110" s="1036" t="s">
        <v>351</v>
      </c>
      <c r="N110" s="1036"/>
      <c r="O110" s="1038"/>
      <c r="P110" s="434"/>
    </row>
    <row r="111" spans="5:16" x14ac:dyDescent="0.25">
      <c r="E111" s="1044" t="str" cm="1">
        <f t="array" ref="E111">INDEX(K111:O111, , F$2)</f>
        <v>FID forward</v>
      </c>
      <c r="J111" s="434"/>
      <c r="K111" s="1036" t="s">
        <v>353</v>
      </c>
      <c r="L111" s="1053" t="s">
        <v>354</v>
      </c>
      <c r="M111" s="1036" t="s">
        <v>355</v>
      </c>
      <c r="N111" s="1036"/>
      <c r="O111" s="1038"/>
      <c r="P111" s="434"/>
    </row>
    <row r="112" spans="5:16" x14ac:dyDescent="0.25">
      <c r="E112" s="1044" t="str" cm="1">
        <f t="array" ref="E112">INDEX(K112:O112, , F$2)</f>
        <v>Project</v>
      </c>
      <c r="J112" s="434"/>
      <c r="K112" s="1036" t="s">
        <v>356</v>
      </c>
      <c r="L112" s="1041" t="s">
        <v>357</v>
      </c>
      <c r="M112" s="1036" t="s">
        <v>358</v>
      </c>
      <c r="N112" s="1036"/>
      <c r="O112" s="1038"/>
      <c r="P112" s="434"/>
    </row>
    <row r="113" spans="5:16" x14ac:dyDescent="0.25">
      <c r="E113" s="1044" t="str" cm="1">
        <f t="array" ref="E113">INDEX(K113:O113, , F$2)</f>
        <v>IOC</v>
      </c>
      <c r="J113" s="434"/>
      <c r="K113" s="1036" t="s">
        <v>359</v>
      </c>
      <c r="L113" s="1041" t="s">
        <v>360</v>
      </c>
      <c r="M113" s="1036" t="s">
        <v>361</v>
      </c>
      <c r="N113" s="1036"/>
      <c r="O113" s="1038"/>
      <c r="P113" s="434"/>
    </row>
    <row r="114" spans="5:16" x14ac:dyDescent="0.25">
      <c r="E114" s="1044" t="str" cm="1">
        <f t="array" ref="E114">INDEX(K114:O114, , F$2)</f>
        <v>Lender</v>
      </c>
      <c r="J114" s="434"/>
      <c r="K114" s="1036" t="s">
        <v>362</v>
      </c>
      <c r="L114" s="1041" t="s">
        <v>363</v>
      </c>
      <c r="M114" s="1036" t="s">
        <v>364</v>
      </c>
      <c r="N114" s="1036"/>
      <c r="O114" s="1038"/>
      <c r="P114" s="434"/>
    </row>
    <row r="115" spans="5:16" x14ac:dyDescent="0.25">
      <c r="E115" s="1044" t="str" cm="1">
        <f t="array" ref="E115">INDEX(K115:O115, , F$2)</f>
        <v>Government excl. participation</v>
      </c>
      <c r="J115" s="434"/>
      <c r="K115" s="1036" t="s">
        <v>365</v>
      </c>
      <c r="L115" s="1053" t="s">
        <v>366</v>
      </c>
      <c r="M115" s="1036" t="s">
        <v>367</v>
      </c>
      <c r="N115" s="1036"/>
      <c r="O115" s="1038"/>
      <c r="P115" s="434"/>
    </row>
    <row r="116" spans="5:16" x14ac:dyDescent="0.25">
      <c r="E116" s="1044" t="str" cm="1">
        <f t="array" ref="E116">INDEX(K116:O116, , F$2)</f>
        <v>Government including participation</v>
      </c>
      <c r="J116" s="434"/>
      <c r="K116" s="1036" t="s">
        <v>368</v>
      </c>
      <c r="L116" s="1053" t="s">
        <v>369</v>
      </c>
      <c r="M116" s="1036" t="s">
        <v>370</v>
      </c>
      <c r="N116" s="1036"/>
      <c r="O116" s="1038"/>
      <c r="P116" s="434"/>
    </row>
    <row r="117" spans="5:16" x14ac:dyDescent="0.25">
      <c r="E117" s="1044" t="str" cm="1">
        <f t="array" ref="E117">INDEX(K117:O117, , F$2)</f>
        <v>Government share</v>
      </c>
      <c r="J117" s="434"/>
      <c r="K117" s="1036" t="s">
        <v>371</v>
      </c>
      <c r="L117" s="1053" t="s">
        <v>372</v>
      </c>
      <c r="M117" s="1036" t="s">
        <v>373</v>
      </c>
      <c r="N117" s="1036"/>
      <c r="O117" s="1038"/>
      <c r="P117" s="434"/>
    </row>
    <row r="118" spans="5:16" x14ac:dyDescent="0.25">
      <c r="E118" s="1044" t="str" cm="1">
        <f t="array" ref="E118">INDEX(K118:O118, , F$2)</f>
        <v>Government share (AETR)</v>
      </c>
      <c r="J118" s="434"/>
      <c r="K118" s="1036" t="s">
        <v>374</v>
      </c>
      <c r="L118" s="1053" t="s">
        <v>375</v>
      </c>
      <c r="M118" s="1036" t="s">
        <v>376</v>
      </c>
      <c r="N118" s="1036"/>
      <c r="O118" s="1038"/>
      <c r="P118" s="434"/>
    </row>
    <row r="119" spans="5:16" ht="29" x14ac:dyDescent="0.25">
      <c r="E119" s="1044" t="str" cm="1">
        <f t="array" ref="E119">INDEX(K119:O119, , F$2)</f>
        <v>Government share of project benefits</v>
      </c>
      <c r="J119" s="434"/>
      <c r="K119" s="1036" t="s">
        <v>377</v>
      </c>
      <c r="L119" s="1053" t="s">
        <v>378</v>
      </c>
      <c r="M119" s="1036" t="s">
        <v>379</v>
      </c>
      <c r="N119" s="1036"/>
      <c r="O119" s="1038"/>
      <c r="P119" s="434"/>
    </row>
    <row r="120" spans="5:16" x14ac:dyDescent="0.25">
      <c r="E120" s="1044" t="str" cm="1">
        <f t="array" ref="E120">INDEX(K120:O120, , F$2)</f>
        <v>AETR</v>
      </c>
      <c r="J120" s="434"/>
      <c r="K120" s="1036" t="s">
        <v>380</v>
      </c>
      <c r="L120" s="1041" t="s">
        <v>381</v>
      </c>
      <c r="M120" s="1036" t="s">
        <v>381</v>
      </c>
      <c r="N120" s="1036"/>
      <c r="O120" s="1038"/>
      <c r="P120" s="434"/>
    </row>
    <row r="121" spans="5:16" x14ac:dyDescent="0.25">
      <c r="E121" s="1044" t="str" cm="1">
        <f t="array" ref="E121">INDEX(K121:O121, , F$2)</f>
        <v>Net decommissioning fund</v>
      </c>
      <c r="J121" s="434"/>
      <c r="K121" s="1036" t="s">
        <v>382</v>
      </c>
      <c r="L121" s="1053" t="s">
        <v>383</v>
      </c>
      <c r="M121" s="1036" t="s">
        <v>384</v>
      </c>
      <c r="N121" s="1036"/>
      <c r="O121" s="1038"/>
      <c r="P121" s="434"/>
    </row>
    <row r="122" spans="5:16" x14ac:dyDescent="0.25">
      <c r="E122" s="1044" t="str" cm="1">
        <f t="array" ref="E122">INDEX(K122:O122, , F$2)</f>
        <v>Participant cashflows</v>
      </c>
      <c r="J122" s="434"/>
      <c r="K122" s="1036" t="s">
        <v>385</v>
      </c>
      <c r="L122" s="1041" t="s">
        <v>386</v>
      </c>
      <c r="M122" s="1036" t="s">
        <v>387</v>
      </c>
      <c r="N122" s="1036"/>
      <c r="O122" s="1038"/>
      <c r="P122" s="434"/>
    </row>
    <row r="123" spans="5:16" x14ac:dyDescent="0.25">
      <c r="E123" s="1044" t="str" cm="1">
        <f t="array" ref="E123">INDEX(K123:O123, , F$2)</f>
        <v>Bonus</v>
      </c>
      <c r="J123" s="434"/>
      <c r="K123" s="1036" t="s">
        <v>388</v>
      </c>
      <c r="L123" s="1053" t="s">
        <v>388</v>
      </c>
      <c r="M123" s="1036" t="s">
        <v>389</v>
      </c>
      <c r="N123" s="1036"/>
      <c r="O123" s="1038"/>
      <c r="P123" s="434"/>
    </row>
    <row r="124" spans="5:16" ht="29" x14ac:dyDescent="0.25">
      <c r="E124" s="1044" t="str" cm="1">
        <f t="array" ref="E124">INDEX(K124:O124, , F$2)</f>
        <v>Signature bonus (first period of activity)</v>
      </c>
      <c r="J124" s="434"/>
      <c r="K124" s="1036" t="s">
        <v>390</v>
      </c>
      <c r="L124" s="1053" t="s">
        <v>391</v>
      </c>
      <c r="M124" s="1036" t="s">
        <v>392</v>
      </c>
      <c r="N124" s="1036"/>
      <c r="O124" s="1038"/>
      <c r="P124" s="434"/>
    </row>
    <row r="125" spans="5:16" x14ac:dyDescent="0.25">
      <c r="E125" s="1044" t="str" cm="1">
        <f t="array" ref="E125">INDEX(K125:O125, , F$2)</f>
        <v>Production bonus (start of production)</v>
      </c>
      <c r="J125" s="434"/>
      <c r="K125" s="1036" t="s">
        <v>393</v>
      </c>
      <c r="L125" s="1053" t="s">
        <v>394</v>
      </c>
      <c r="M125" s="1036" t="s">
        <v>395</v>
      </c>
      <c r="N125" s="1036"/>
      <c r="O125" s="1038"/>
      <c r="P125" s="434"/>
    </row>
    <row r="126" spans="5:16" ht="29" x14ac:dyDescent="0.25">
      <c r="E126" s="1044" t="str" cm="1">
        <f t="array" ref="E126">INDEX(K126:O126, , F$2)</f>
        <v>Bonuses cost recoverable and CIT and RRT deductible</v>
      </c>
      <c r="J126" s="434"/>
      <c r="K126" s="1036" t="s">
        <v>396</v>
      </c>
      <c r="L126" s="1053" t="s">
        <v>397</v>
      </c>
      <c r="M126" s="1036" t="s">
        <v>398</v>
      </c>
      <c r="N126" s="1036"/>
      <c r="O126" s="1038"/>
      <c r="P126" s="434"/>
    </row>
    <row r="127" spans="5:16" x14ac:dyDescent="0.25">
      <c r="E127" s="1044" t="str" cm="1">
        <f t="array" ref="E127">INDEX(K127:O127, , F$2)</f>
        <v>Royalty</v>
      </c>
      <c r="J127" s="434"/>
      <c r="K127" s="1036" t="s">
        <v>399</v>
      </c>
      <c r="L127" s="1041" t="s">
        <v>400</v>
      </c>
      <c r="M127" s="1036" t="s">
        <v>401</v>
      </c>
      <c r="N127" s="1036"/>
      <c r="O127" s="1038"/>
      <c r="P127" s="434"/>
    </row>
    <row r="128" spans="5:16" x14ac:dyDescent="0.25">
      <c r="E128" s="1044" t="str" cm="1">
        <f t="array" ref="E128">INDEX(K128:O128, , F$2)</f>
        <v>Royalty rate</v>
      </c>
      <c r="J128" s="434"/>
      <c r="K128" s="1036" t="s">
        <v>402</v>
      </c>
      <c r="L128" s="1041" t="s">
        <v>403</v>
      </c>
      <c r="M128" s="1036" t="s">
        <v>404</v>
      </c>
      <c r="N128" s="1036"/>
      <c r="O128" s="1038"/>
      <c r="P128" s="434"/>
    </row>
    <row r="129" spans="5:16" ht="29" x14ac:dyDescent="0.25">
      <c r="E129" s="1044" t="str" cm="1">
        <f t="array" ref="E129">INDEX(K129:O129, , F$2)</f>
        <v>Additional royalty rate above price threshold</v>
      </c>
      <c r="J129" s="434"/>
      <c r="K129" s="1036" t="s">
        <v>405</v>
      </c>
      <c r="L129" s="1053" t="s">
        <v>406</v>
      </c>
      <c r="M129" s="1036" t="s">
        <v>407</v>
      </c>
      <c r="N129" s="1036"/>
      <c r="O129" s="1038"/>
      <c r="P129" s="434"/>
    </row>
    <row r="130" spans="5:16" ht="29" x14ac:dyDescent="0.25">
      <c r="E130" s="1044" t="str" cm="1">
        <f t="array" ref="E130">INDEX(K130:O130, , F$2)</f>
        <v>Threshold for price royalty (0 = no price royalty)</v>
      </c>
      <c r="J130" s="434"/>
      <c r="K130" s="1036" t="s">
        <v>408</v>
      </c>
      <c r="L130" s="1053" t="s">
        <v>409</v>
      </c>
      <c r="M130" s="1036" t="s">
        <v>410</v>
      </c>
      <c r="N130" s="1036"/>
      <c r="O130" s="1038"/>
      <c r="P130" s="434"/>
    </row>
    <row r="131" spans="5:16" x14ac:dyDescent="0.25">
      <c r="E131" s="1044" t="str" cm="1">
        <f t="array" ref="E131">INDEX(K131:O131, , F$2)</f>
        <v>Price threshold inflation indexed</v>
      </c>
      <c r="J131" s="434"/>
      <c r="K131" s="1036" t="s">
        <v>411</v>
      </c>
      <c r="L131" s="1053" t="s">
        <v>412</v>
      </c>
      <c r="M131" s="1036" t="s">
        <v>413</v>
      </c>
      <c r="N131" s="1036"/>
      <c r="O131" s="1038"/>
      <c r="P131" s="434"/>
    </row>
    <row r="132" spans="5:16" x14ac:dyDescent="0.25">
      <c r="E132" s="1044" t="str" cm="1">
        <f t="array" ref="E132">INDEX(K132:O132, , F$2)</f>
        <v>Royalty base (net/gross)</v>
      </c>
      <c r="J132" s="434"/>
      <c r="K132" s="1036" t="s">
        <v>414</v>
      </c>
      <c r="L132" s="1053" t="s">
        <v>415</v>
      </c>
      <c r="M132" s="1036" t="s">
        <v>416</v>
      </c>
      <c r="N132" s="1036"/>
      <c r="O132" s="1038"/>
      <c r="P132" s="434"/>
    </row>
    <row r="133" spans="5:16" x14ac:dyDescent="0.25">
      <c r="E133" s="1044" t="str" cm="1">
        <f t="array" ref="E133">INDEX(K133:O133, , F$2)</f>
        <v>gross</v>
      </c>
      <c r="J133" s="434"/>
      <c r="K133" s="1036" t="s">
        <v>417</v>
      </c>
      <c r="L133" s="1053" t="s">
        <v>418</v>
      </c>
      <c r="M133" s="1036" t="s">
        <v>419</v>
      </c>
      <c r="N133" s="1036"/>
      <c r="O133" s="1038"/>
      <c r="P133" s="434"/>
    </row>
    <row r="134" spans="5:16" x14ac:dyDescent="0.25">
      <c r="E134" s="1044" t="str" cm="1">
        <f t="array" ref="E134">INDEX(K134:O134, , F$2)</f>
        <v>net</v>
      </c>
      <c r="J134" s="434"/>
      <c r="K134" s="1036" t="s">
        <v>41</v>
      </c>
      <c r="L134" s="1053" t="s">
        <v>420</v>
      </c>
      <c r="M134" s="1036" t="s">
        <v>421</v>
      </c>
      <c r="N134" s="1036"/>
      <c r="O134" s="1038"/>
      <c r="P134" s="434"/>
    </row>
    <row r="135" spans="5:16" x14ac:dyDescent="0.25">
      <c r="E135" s="1044" t="str" cm="1">
        <f t="array" ref="E135">INDEX(K135:O135, , F$2)</f>
        <v>Royalty, CIT and RRT deductible</v>
      </c>
      <c r="J135" s="434"/>
      <c r="K135" s="1036" t="s">
        <v>422</v>
      </c>
      <c r="L135" s="1053" t="s">
        <v>423</v>
      </c>
      <c r="M135" s="1036" t="s">
        <v>424</v>
      </c>
      <c r="N135" s="1036"/>
      <c r="O135" s="1038"/>
      <c r="P135" s="434"/>
    </row>
    <row r="136" spans="5:16" x14ac:dyDescent="0.25">
      <c r="E136" s="1044" t="str" cm="1">
        <f t="array" ref="E136">INDEX(K136:O136, , F$2)</f>
        <v>Carbon tax</v>
      </c>
      <c r="J136" s="434"/>
      <c r="K136" s="1036" t="s">
        <v>425</v>
      </c>
      <c r="L136" s="1053" t="s">
        <v>426</v>
      </c>
      <c r="M136" s="1036" t="s">
        <v>427</v>
      </c>
      <c r="N136" s="1036"/>
      <c r="O136" s="1038"/>
      <c r="P136" s="434"/>
    </row>
    <row r="137" spans="5:16" ht="29" x14ac:dyDescent="0.25">
      <c r="E137" s="1044" t="str" cm="1">
        <f t="array" ref="E137">INDEX(K137:O137, , F$2)</f>
        <v>Tax per ton of CO2 eq emitted in start year</v>
      </c>
      <c r="J137" s="434"/>
      <c r="K137" s="1036" t="s">
        <v>428</v>
      </c>
      <c r="L137" s="1053" t="s">
        <v>429</v>
      </c>
      <c r="M137" s="1036" t="s">
        <v>430</v>
      </c>
      <c r="N137" s="1036"/>
      <c r="O137" s="1038"/>
      <c r="P137" s="434"/>
    </row>
    <row r="138" spans="5:16" ht="29" x14ac:dyDescent="0.25">
      <c r="E138" s="1044" t="str" cm="1">
        <f t="array" ref="E138">INDEX(K138:O138, , F$2)</f>
        <v>Start year of carbon tax (0=from beginning)</v>
      </c>
      <c r="J138" s="434"/>
      <c r="K138" s="1036" t="s">
        <v>431</v>
      </c>
      <c r="L138" s="1053" t="s">
        <v>432</v>
      </c>
      <c r="M138" s="1036" t="s">
        <v>433</v>
      </c>
      <c r="N138" s="1036"/>
      <c r="O138" s="1038"/>
      <c r="P138" s="434"/>
    </row>
    <row r="139" spans="5:16" ht="29" x14ac:dyDescent="0.25">
      <c r="E139" s="1044" t="str" cm="1">
        <f t="array" ref="E139">INDEX(K139:O139, , F$2)</f>
        <v>Carbon tax in real or nominal terms</v>
      </c>
      <c r="J139" s="434"/>
      <c r="K139" s="1036" t="s">
        <v>434</v>
      </c>
      <c r="L139" s="1041" t="s">
        <v>435</v>
      </c>
      <c r="M139" s="1036" t="s">
        <v>436</v>
      </c>
      <c r="N139" s="1036"/>
      <c r="O139" s="1038"/>
      <c r="P139" s="434"/>
    </row>
    <row r="140" spans="5:16" ht="29" x14ac:dyDescent="0.25">
      <c r="E140" s="1044" t="str" cm="1">
        <f t="array" ref="E140">INDEX(K140:O140, , F$2)</f>
        <v>Method to change carbon tax over time</v>
      </c>
      <c r="J140" s="434"/>
      <c r="K140" s="1036" t="s">
        <v>437</v>
      </c>
      <c r="L140" s="1041" t="s">
        <v>438</v>
      </c>
      <c r="M140" s="1036" t="s">
        <v>439</v>
      </c>
      <c r="N140" s="1036"/>
      <c r="O140" s="1038"/>
      <c r="P140" s="434"/>
    </row>
    <row r="141" spans="5:16" ht="29" x14ac:dyDescent="0.25">
      <c r="E141" s="1044" t="str" cm="1">
        <f t="array" ref="E141">INDEX(K141:O141, , F$2)</f>
        <v>Percentage - Annual increase above inflation</v>
      </c>
      <c r="J141" s="434"/>
      <c r="K141" s="1051" t="s">
        <v>440</v>
      </c>
      <c r="L141" s="1053" t="s">
        <v>441</v>
      </c>
      <c r="M141" s="1036" t="s">
        <v>442</v>
      </c>
      <c r="N141" s="1036"/>
      <c r="O141" s="1038"/>
      <c r="P141" s="434"/>
    </row>
    <row r="142" spans="5:16" ht="29" x14ac:dyDescent="0.25">
      <c r="E142" s="1044" t="str" cm="1">
        <f t="array" ref="E142">INDEX(K142:O142, , F$2)</f>
        <v>TargetYear - Tax per CO2 eq emitted in future year</v>
      </c>
      <c r="J142" s="434"/>
      <c r="K142" s="1036" t="s">
        <v>443</v>
      </c>
      <c r="L142" s="1041" t="s">
        <v>444</v>
      </c>
      <c r="M142" s="1036" t="s">
        <v>445</v>
      </c>
      <c r="N142" s="1036"/>
      <c r="O142" s="1038"/>
      <c r="P142" s="434"/>
    </row>
    <row r="143" spans="5:16" ht="29" x14ac:dyDescent="0.25">
      <c r="E143" s="1044" t="str" cm="1">
        <f t="array" ref="E143">INDEX(K143:O143, , F$2)</f>
        <v>TargetYear - Year in which Tax reaches target level</v>
      </c>
      <c r="J143" s="434"/>
      <c r="K143" s="1036" t="s">
        <v>446</v>
      </c>
      <c r="L143" s="1041" t="s">
        <v>447</v>
      </c>
      <c r="M143" s="1036" t="s">
        <v>448</v>
      </c>
      <c r="N143" s="1036"/>
      <c r="O143" s="1038"/>
      <c r="P143" s="434"/>
    </row>
    <row r="144" spans="5:16" ht="29" x14ac:dyDescent="0.25">
      <c r="E144" s="1044" t="str" cm="1">
        <f t="array" ref="E144">INDEX(K144:O144, , F$2)</f>
        <v>Carbon tax imposed on scope 3 emissions levied on investor</v>
      </c>
      <c r="J144" s="434"/>
      <c r="K144" s="1036" t="s">
        <v>449</v>
      </c>
      <c r="L144" s="1053" t="s">
        <v>450</v>
      </c>
      <c r="M144" s="1036" t="s">
        <v>451</v>
      </c>
      <c r="N144" s="1036"/>
      <c r="O144" s="1038"/>
      <c r="P144" s="434"/>
    </row>
    <row r="145" spans="5:16" ht="29" x14ac:dyDescent="0.25">
      <c r="E145" s="1044" t="str" cm="1">
        <f t="array" ref="E145">INDEX(K145:O145, , F$2)</f>
        <v>Carbon tax cost recoverable and CIT and RRT deductible</v>
      </c>
      <c r="J145" s="434"/>
      <c r="K145" s="1036" t="s">
        <v>452</v>
      </c>
      <c r="L145" s="1053" t="s">
        <v>453</v>
      </c>
      <c r="M145" s="1036" t="s">
        <v>454</v>
      </c>
      <c r="N145" s="1036"/>
      <c r="O145" s="1038"/>
      <c r="P145" s="434"/>
    </row>
    <row r="146" spans="5:16" x14ac:dyDescent="0.25">
      <c r="E146" s="1044" t="str" cm="1">
        <f t="array" ref="E146">INDEX(K146:O146, , F$2)</f>
        <v>Decommissioning</v>
      </c>
      <c r="J146" s="434"/>
      <c r="K146" s="1036" t="s">
        <v>455</v>
      </c>
      <c r="L146" s="1053" t="s">
        <v>456</v>
      </c>
      <c r="M146" s="1036" t="s">
        <v>457</v>
      </c>
      <c r="N146" s="1036"/>
      <c r="O146" s="1038"/>
      <c r="P146" s="434"/>
    </row>
    <row r="147" spans="5:16" x14ac:dyDescent="0.25">
      <c r="E147" s="1044" t="str" cm="1">
        <f t="array" ref="E147">INDEX(K147:O147, , F$2)</f>
        <v>Decommissioning fund</v>
      </c>
      <c r="J147" s="434"/>
      <c r="K147" s="1036" t="s">
        <v>458</v>
      </c>
      <c r="L147" s="1053" t="s">
        <v>459</v>
      </c>
      <c r="M147" s="1036" t="s">
        <v>460</v>
      </c>
      <c r="N147" s="1036"/>
      <c r="O147" s="1038"/>
      <c r="P147" s="434"/>
    </row>
    <row r="148" spans="5:16" x14ac:dyDescent="0.25">
      <c r="E148" s="1044" t="str" cm="1">
        <f t="array" ref="E148">INDEX(K148:O148, , F$2)</f>
        <v>Commencement of decommissioning provision</v>
      </c>
      <c r="J148" s="434"/>
      <c r="K148" s="1036" t="s">
        <v>461</v>
      </c>
      <c r="L148" s="1053" t="s">
        <v>462</v>
      </c>
      <c r="M148" s="1036" t="s">
        <v>463</v>
      </c>
      <c r="N148" s="1036"/>
      <c r="O148" s="1038"/>
      <c r="P148" s="434"/>
    </row>
    <row r="149" spans="5:16" x14ac:dyDescent="0.25">
      <c r="E149" s="1044" t="str" cm="1">
        <f t="array" ref="E149">INDEX(K149:O149, , F$2)</f>
        <v>Regime type</v>
      </c>
      <c r="J149" s="434"/>
      <c r="K149" s="1036" t="s">
        <v>464</v>
      </c>
      <c r="L149" s="1041" t="s">
        <v>465</v>
      </c>
      <c r="M149" s="1036" t="s">
        <v>466</v>
      </c>
      <c r="N149" s="1036"/>
      <c r="O149" s="1038"/>
      <c r="P149" s="434"/>
    </row>
    <row r="150" spans="5:16" ht="29" x14ac:dyDescent="0.25">
      <c r="E150" s="1044" t="str" cm="1">
        <f t="array" ref="E150">INDEX(K150:O150, , F$2)</f>
        <v>Production sharing: Cost recovery</v>
      </c>
      <c r="J150" s="434"/>
      <c r="K150" s="1036" t="s">
        <v>467</v>
      </c>
      <c r="L150" s="1053" t="s">
        <v>468</v>
      </c>
      <c r="M150" s="1036" t="s">
        <v>469</v>
      </c>
      <c r="N150" s="1036"/>
      <c r="O150" s="1038"/>
      <c r="P150" s="434"/>
    </row>
    <row r="151" spans="5:16" x14ac:dyDescent="0.25">
      <c r="E151" s="1044" t="str" cm="1">
        <f t="array" ref="E151">INDEX(K151:O151, , F$2)</f>
        <v>Cost recovery limit</v>
      </c>
      <c r="J151" s="434"/>
      <c r="K151" s="1036" t="s">
        <v>470</v>
      </c>
      <c r="L151" s="1053" t="s">
        <v>471</v>
      </c>
      <c r="M151" s="1036" t="s">
        <v>472</v>
      </c>
      <c r="N151" s="1036"/>
      <c r="O151" s="1038"/>
      <c r="P151" s="434"/>
    </row>
    <row r="152" spans="5:16" x14ac:dyDescent="0.25">
      <c r="E152" s="1044" t="str" cm="1">
        <f t="array" ref="E152">INDEX(K152:O152, , F$2)</f>
        <v>Interest cost recoverable</v>
      </c>
      <c r="J152" s="434"/>
      <c r="K152" s="1036" t="s">
        <v>473</v>
      </c>
      <c r="L152" s="1053" t="s">
        <v>474</v>
      </c>
      <c r="M152" s="1036" t="s">
        <v>475</v>
      </c>
      <c r="N152" s="1036"/>
      <c r="O152" s="1038"/>
      <c r="P152" s="434"/>
    </row>
    <row r="153" spans="5:16" x14ac:dyDescent="0.25">
      <c r="E153" s="1044" t="str" cm="1">
        <f t="array" ref="E153">INDEX(K153:O153, , F$2)</f>
        <v>Uplift limit (production years)</v>
      </c>
      <c r="J153" s="434"/>
      <c r="K153" s="1036" t="s">
        <v>476</v>
      </c>
      <c r="L153" s="1053" t="s">
        <v>477</v>
      </c>
      <c r="M153" s="1036" t="s">
        <v>478</v>
      </c>
      <c r="N153" s="1036"/>
      <c r="O153" s="1038"/>
      <c r="P153" s="434"/>
    </row>
    <row r="154" spans="5:16" x14ac:dyDescent="0.25">
      <c r="E154" s="1044" t="str" cm="1">
        <f t="array" ref="E154">INDEX(K154:O154, , F$2)</f>
        <v>Production sharing: Profit oil</v>
      </c>
      <c r="J154" s="434"/>
      <c r="K154" s="1036" t="s">
        <v>479</v>
      </c>
      <c r="L154" s="1053" t="s">
        <v>480</v>
      </c>
      <c r="M154" s="1036" t="s">
        <v>481</v>
      </c>
      <c r="N154" s="1036"/>
      <c r="O154" s="1038"/>
      <c r="P154" s="434"/>
    </row>
    <row r="155" spans="5:16" x14ac:dyDescent="0.25">
      <c r="E155" s="1044" t="str" cm="1">
        <f t="array" ref="E155">INDEX(K155:O155, , F$2)</f>
        <v>Selected profit oil sharing method</v>
      </c>
      <c r="J155" s="434"/>
      <c r="K155" s="1036" t="s">
        <v>482</v>
      </c>
      <c r="L155" s="1053" t="s">
        <v>483</v>
      </c>
      <c r="M155" s="1036" t="s">
        <v>484</v>
      </c>
      <c r="N155" s="1036"/>
      <c r="O155" s="1038"/>
      <c r="P155" s="434"/>
    </row>
    <row r="156" spans="5:16" x14ac:dyDescent="0.25">
      <c r="E156" s="1044" t="str" cm="1">
        <f t="array" ref="E156">INDEX(K156:O156, , F$2)</f>
        <v>DROP tiers</v>
      </c>
      <c r="J156" s="434"/>
      <c r="K156" s="1036" t="s">
        <v>485</v>
      </c>
      <c r="L156" s="1041" t="s">
        <v>486</v>
      </c>
      <c r="M156" s="1036" t="s">
        <v>487</v>
      </c>
      <c r="N156" s="1036"/>
      <c r="O156" s="1038"/>
      <c r="P156" s="434"/>
    </row>
    <row r="157" spans="5:16" x14ac:dyDescent="0.25">
      <c r="E157" s="1044" t="str" cm="1">
        <f t="array" ref="E157">INDEX(K157:O157, , F$2)</f>
        <v>DROP tier</v>
      </c>
      <c r="J157" s="434"/>
      <c r="K157" s="1036" t="s">
        <v>488</v>
      </c>
      <c r="L157" s="1041" t="s">
        <v>489</v>
      </c>
      <c r="M157" s="1036" t="s">
        <v>490</v>
      </c>
      <c r="N157" s="1036"/>
      <c r="O157" s="1038"/>
      <c r="P157" s="434"/>
    </row>
    <row r="158" spans="5:16" x14ac:dyDescent="0.25">
      <c r="E158" s="1044" t="str" cm="1">
        <f t="array" ref="E158">INDEX(K158:O158, , F$2)</f>
        <v>R-Factor tiers</v>
      </c>
      <c r="J158" s="434"/>
      <c r="K158" s="1036" t="s">
        <v>491</v>
      </c>
      <c r="L158" s="1053" t="s">
        <v>492</v>
      </c>
      <c r="M158" s="1036" t="s">
        <v>493</v>
      </c>
      <c r="N158" s="1036"/>
      <c r="O158" s="1038"/>
      <c r="P158" s="434"/>
    </row>
    <row r="159" spans="5:16" x14ac:dyDescent="0.25">
      <c r="E159" s="1044" t="str" cm="1">
        <f t="array" ref="E159">INDEX(K159:O159, , F$2)</f>
        <v>R-Factor tier</v>
      </c>
      <c r="J159" s="434"/>
      <c r="K159" s="1036" t="s">
        <v>494</v>
      </c>
      <c r="L159" s="1053" t="s">
        <v>495</v>
      </c>
      <c r="M159" s="1036" t="s">
        <v>496</v>
      </c>
      <c r="N159" s="1036"/>
      <c r="O159" s="1038"/>
      <c r="P159" s="434"/>
    </row>
    <row r="160" spans="5:16" x14ac:dyDescent="0.25">
      <c r="E160" s="1044" t="str" cm="1">
        <f t="array" ref="E160">INDEX(K160:O160, , F$2)</f>
        <v>Government profit oil share tier</v>
      </c>
      <c r="J160" s="434"/>
      <c r="K160" s="1036" t="s">
        <v>497</v>
      </c>
      <c r="L160" s="1053" t="s">
        <v>498</v>
      </c>
      <c r="M160" s="1036" t="s">
        <v>499</v>
      </c>
      <c r="N160" s="1036"/>
      <c r="O160" s="1038"/>
      <c r="P160" s="434"/>
    </row>
    <row r="161" spans="5:16" x14ac:dyDescent="0.25">
      <c r="E161" s="1044" t="str" cm="1">
        <f t="array" ref="E161">INDEX(K161:O161, , F$2)</f>
        <v>Corporate income tax</v>
      </c>
      <c r="J161" s="434"/>
      <c r="K161" s="1036" t="s">
        <v>500</v>
      </c>
      <c r="L161" s="1041" t="s">
        <v>501</v>
      </c>
      <c r="M161" s="1036" t="s">
        <v>502</v>
      </c>
      <c r="N161" s="1036"/>
      <c r="O161" s="1038"/>
      <c r="P161" s="434"/>
    </row>
    <row r="162" spans="5:16" x14ac:dyDescent="0.25">
      <c r="E162" s="1044" t="str" cm="1">
        <f t="array" ref="E162">INDEX(K162:O162, , F$2)</f>
        <v>CIT rate</v>
      </c>
      <c r="J162" s="434"/>
      <c r="K162" s="1036" t="s">
        <v>503</v>
      </c>
      <c r="L162" s="1041" t="s">
        <v>504</v>
      </c>
      <c r="M162" s="1036" t="s">
        <v>505</v>
      </c>
      <c r="N162" s="1036"/>
      <c r="O162" s="1038"/>
      <c r="P162" s="434"/>
    </row>
    <row r="163" spans="5:16" ht="29" x14ac:dyDescent="0.25">
      <c r="E163" s="1044" t="str" cm="1">
        <f t="array" ref="E163">INDEX(K163:O163, , F$2)</f>
        <v>Exploration costs depreciated or deducted immediately</v>
      </c>
      <c r="J163" s="434"/>
      <c r="K163" s="1036" t="s">
        <v>506</v>
      </c>
      <c r="L163" s="1041" t="s">
        <v>507</v>
      </c>
      <c r="M163" s="1036" t="s">
        <v>508</v>
      </c>
      <c r="N163" s="1036"/>
      <c r="O163" s="1038"/>
      <c r="P163" s="434"/>
    </row>
    <row r="164" spans="5:16" x14ac:dyDescent="0.25">
      <c r="E164" s="1044" t="str" cm="1">
        <f t="array" ref="E164">INDEX(K164:O164, , F$2)</f>
        <v>Depreciation starts from</v>
      </c>
      <c r="J164" s="434"/>
      <c r="K164" s="1036" t="s">
        <v>509</v>
      </c>
      <c r="L164" s="1053" t="s">
        <v>510</v>
      </c>
      <c r="M164" s="1036" t="s">
        <v>511</v>
      </c>
      <c r="N164" s="1036"/>
      <c r="O164" s="1038"/>
      <c r="P164" s="434"/>
    </row>
    <row r="165" spans="5:16" ht="29" x14ac:dyDescent="0.25">
      <c r="E165" s="1044" t="str" cm="1">
        <f t="array" ref="E165">INDEX(K165:O165, , F$2)</f>
        <v>Development costs and replacement capital depreciation</v>
      </c>
      <c r="J165" s="434"/>
      <c r="K165" s="1036" t="s">
        <v>512</v>
      </c>
      <c r="L165" s="1053" t="s">
        <v>513</v>
      </c>
      <c r="M165" s="1036" t="s">
        <v>514</v>
      </c>
      <c r="N165" s="1036"/>
      <c r="O165" s="1038"/>
      <c r="P165" s="434"/>
    </row>
    <row r="166" spans="5:16" x14ac:dyDescent="0.25">
      <c r="E166" s="1044" t="str" cm="1">
        <f t="array" ref="E166">INDEX(K166:O166, , F$2)</f>
        <v>Resource rent tax</v>
      </c>
      <c r="J166" s="434"/>
      <c r="K166" s="1036" t="s">
        <v>515</v>
      </c>
      <c r="L166" s="1053" t="s">
        <v>516</v>
      </c>
      <c r="M166" s="1036" t="s">
        <v>517</v>
      </c>
      <c r="N166" s="1036"/>
      <c r="O166" s="1038"/>
      <c r="P166" s="434"/>
    </row>
    <row r="167" spans="5:16" x14ac:dyDescent="0.25">
      <c r="E167" s="1044" t="str" cm="1">
        <f t="array" ref="E167">INDEX(K167:O167, , F$2)</f>
        <v>Uplift on negative cashflows</v>
      </c>
      <c r="J167" s="434"/>
      <c r="K167" s="1036" t="s">
        <v>518</v>
      </c>
      <c r="L167" s="1053" t="s">
        <v>519</v>
      </c>
      <c r="M167" s="1036" t="s">
        <v>520</v>
      </c>
      <c r="N167" s="1036"/>
      <c r="O167" s="1038"/>
      <c r="P167" s="434"/>
    </row>
    <row r="168" spans="5:16" x14ac:dyDescent="0.25">
      <c r="E168" s="1044" t="str" cm="1">
        <f t="array" ref="E168">INDEX(K168:O168, , F$2)</f>
        <v>CIT deductible for RRT</v>
      </c>
      <c r="J168" s="434"/>
      <c r="K168" s="1036" t="s">
        <v>521</v>
      </c>
      <c r="L168" s="1053" t="s">
        <v>522</v>
      </c>
      <c r="M168" s="1036" t="s">
        <v>523</v>
      </c>
      <c r="N168" s="1036"/>
      <c r="O168" s="1038"/>
      <c r="P168" s="434"/>
    </row>
    <row r="169" spans="5:16" x14ac:dyDescent="0.25">
      <c r="E169" s="1044" t="str" cm="1">
        <f t="array" ref="E169">INDEX(K169:O169, , F$2)</f>
        <v>RRT tax rate</v>
      </c>
      <c r="J169" s="434"/>
      <c r="K169" s="1036" t="s">
        <v>524</v>
      </c>
      <c r="L169" s="1053" t="s">
        <v>525</v>
      </c>
      <c r="M169" s="1036" t="s">
        <v>526</v>
      </c>
      <c r="N169" s="1036"/>
      <c r="O169" s="1038"/>
      <c r="P169" s="434"/>
    </row>
    <row r="170" spans="5:16" x14ac:dyDescent="0.25">
      <c r="E170" s="1044" t="str" cm="1">
        <f t="array" ref="E170">INDEX(K170:O170, , F$2)</f>
        <v>Withholding tax on dividends and interest</v>
      </c>
      <c r="J170" s="434"/>
      <c r="K170" s="1036" t="s">
        <v>527</v>
      </c>
      <c r="L170" s="1041" t="s">
        <v>528</v>
      </c>
      <c r="M170" s="1036" t="s">
        <v>529</v>
      </c>
      <c r="N170" s="1036"/>
      <c r="O170" s="1038"/>
      <c r="P170" s="434"/>
    </row>
    <row r="171" spans="5:16" x14ac:dyDescent="0.25">
      <c r="E171" s="1044" t="str" cm="1">
        <f t="array" ref="E171">INDEX(K171:O171, , F$2)</f>
        <v>Interest withholding tax</v>
      </c>
      <c r="J171" s="434"/>
      <c r="K171" s="1036" t="s">
        <v>530</v>
      </c>
      <c r="L171" s="1041" t="s">
        <v>531</v>
      </c>
      <c r="M171" s="1036" t="s">
        <v>532</v>
      </c>
      <c r="N171" s="1036"/>
      <c r="O171" s="1038"/>
      <c r="P171" s="434"/>
    </row>
    <row r="172" spans="5:16" x14ac:dyDescent="0.25">
      <c r="E172" s="1044" t="str" cm="1">
        <f t="array" ref="E172">INDEX(K172:O172, , F$2)</f>
        <v>SOC participation in JV</v>
      </c>
      <c r="J172" s="434"/>
      <c r="K172" s="1036" t="s">
        <v>533</v>
      </c>
      <c r="L172" s="1053" t="s">
        <v>534</v>
      </c>
      <c r="M172" s="1036" t="s">
        <v>535</v>
      </c>
      <c r="N172" s="1036"/>
      <c r="O172" s="1038"/>
      <c r="P172" s="434"/>
    </row>
    <row r="173" spans="5:16" x14ac:dyDescent="0.25">
      <c r="E173" s="1044" t="str" cm="1">
        <f t="array" ref="E173">INDEX(K173:O173, , F$2)</f>
        <v>State participation</v>
      </c>
      <c r="J173" s="434"/>
      <c r="K173" s="1036" t="s">
        <v>536</v>
      </c>
      <c r="L173" s="1041" t="s">
        <v>537</v>
      </c>
      <c r="M173" s="1036" t="s">
        <v>538</v>
      </c>
      <c r="N173" s="1036"/>
      <c r="O173" s="1038"/>
      <c r="P173" s="434"/>
    </row>
    <row r="174" spans="5:16" x14ac:dyDescent="0.25">
      <c r="E174" s="1044" t="str" cm="1">
        <f t="array" ref="E174">INDEX(K174:O174, , F$2)</f>
        <v>State-owned contractor</v>
      </c>
      <c r="J174" s="434"/>
      <c r="K174" s="1036" t="s">
        <v>539</v>
      </c>
      <c r="L174" s="1041" t="s">
        <v>540</v>
      </c>
      <c r="M174" s="1036" t="s">
        <v>541</v>
      </c>
      <c r="N174" s="1036"/>
      <c r="O174" s="1038"/>
      <c r="P174" s="434"/>
    </row>
    <row r="175" spans="5:16" x14ac:dyDescent="0.25">
      <c r="E175" s="1044" t="str" cm="1">
        <f t="array" ref="E175">INDEX(K175:O175, , F$2)</f>
        <v>SOC in PSC shares profit oil only</v>
      </c>
      <c r="J175" s="434"/>
      <c r="K175" s="1036" t="s">
        <v>542</v>
      </c>
      <c r="L175" s="1053" t="s">
        <v>543</v>
      </c>
      <c r="M175" s="1036" t="s">
        <v>544</v>
      </c>
      <c r="N175" s="1036"/>
      <c r="O175" s="1038"/>
      <c r="P175" s="434"/>
    </row>
    <row r="176" spans="5:16" x14ac:dyDescent="0.25">
      <c r="E176" s="1044" t="str" cm="1">
        <f t="array" ref="E176">INDEX(K176:O176, , F$2)</f>
        <v>SOC meets exploration costs</v>
      </c>
      <c r="J176" s="434"/>
      <c r="K176" s="1036" t="s">
        <v>545</v>
      </c>
      <c r="L176" s="1053" t="s">
        <v>546</v>
      </c>
      <c r="M176" s="1036" t="s">
        <v>547</v>
      </c>
      <c r="N176" s="1036"/>
      <c r="O176" s="1038"/>
      <c r="P176" s="434"/>
    </row>
    <row r="177" spans="5:16" x14ac:dyDescent="0.25">
      <c r="E177" s="1044" t="str" cm="1">
        <f t="array" ref="E177">INDEX(K177:O177, , F$2)</f>
        <v>SOC meets development costs</v>
      </c>
      <c r="J177" s="434"/>
      <c r="K177" s="1036" t="s">
        <v>548</v>
      </c>
      <c r="L177" s="1053" t="s">
        <v>549</v>
      </c>
      <c r="M177" s="1036" t="s">
        <v>550</v>
      </c>
      <c r="N177" s="1036"/>
      <c r="O177" s="1038"/>
      <c r="P177" s="434"/>
    </row>
    <row r="178" spans="5:16" ht="43.5" x14ac:dyDescent="0.25">
      <c r="E178" s="1044" t="str" cm="1">
        <f t="array" ref="E178">INDEX(K178:O178, , F$2)</f>
        <v>Carried interest: Proportion of SOC negative cashflows financed by IOC</v>
      </c>
      <c r="J178" s="434"/>
      <c r="K178" s="1036" t="s">
        <v>551</v>
      </c>
      <c r="L178" s="1053" t="s">
        <v>552</v>
      </c>
      <c r="M178" s="1036" t="s">
        <v>553</v>
      </c>
      <c r="N178" s="1036"/>
      <c r="O178" s="1038"/>
      <c r="P178" s="434"/>
    </row>
    <row r="179" spans="5:16" ht="29" x14ac:dyDescent="0.25">
      <c r="E179" s="1044" t="str" cm="1">
        <f t="array" ref="E179">INDEX(K179:O179, , F$2)</f>
        <v>Carried interest: financing by IOC till prod. year</v>
      </c>
      <c r="J179" s="434"/>
      <c r="K179" s="1036" t="s">
        <v>554</v>
      </c>
      <c r="L179" s="1053" t="s">
        <v>555</v>
      </c>
      <c r="M179" s="1036" t="s">
        <v>556</v>
      </c>
      <c r="N179" s="1036"/>
      <c r="O179" s="1038"/>
      <c r="P179" s="434"/>
    </row>
    <row r="180" spans="5:16" ht="29" x14ac:dyDescent="0.25">
      <c r="E180" s="1044" t="str" cm="1">
        <f t="array" ref="E180">INDEX(K180:O180, , F$2)</f>
        <v>Carried interest: Interest rate margin above LIBOR</v>
      </c>
      <c r="J180" s="434"/>
      <c r="K180" s="1036" t="s">
        <v>557</v>
      </c>
      <c r="L180" s="1053" t="s">
        <v>558</v>
      </c>
      <c r="M180" s="1036" t="s">
        <v>559</v>
      </c>
      <c r="N180" s="1036"/>
      <c r="O180" s="1038"/>
      <c r="P180" s="434"/>
    </row>
    <row r="181" spans="5:16" ht="29" x14ac:dyDescent="0.25">
      <c r="E181" s="1044" t="str" cm="1">
        <f t="array" ref="E181">INDEX(K181:O181, , F$2)</f>
        <v>Carried interest: Proportion SOC cashflows used to repay</v>
      </c>
      <c r="J181" s="434"/>
      <c r="K181" s="1036" t="s">
        <v>560</v>
      </c>
      <c r="L181" s="1053" t="s">
        <v>561</v>
      </c>
      <c r="M181" s="1036" t="s">
        <v>562</v>
      </c>
      <c r="N181" s="1036"/>
      <c r="O181" s="1038"/>
      <c r="P181" s="434"/>
    </row>
    <row r="182" spans="5:16" ht="43.5" x14ac:dyDescent="0.25">
      <c r="E182" s="1044" t="str" cm="1">
        <f t="array" ref="E182">INDEX(K182:O182, , F$2)</f>
        <v>Financing assumptions (assumes joint or equivalent financing by SOC and IOC)</v>
      </c>
      <c r="J182" s="434"/>
      <c r="K182" s="1036" t="s">
        <v>563</v>
      </c>
      <c r="L182" s="1053" t="s">
        <v>564</v>
      </c>
      <c r="M182" s="1036" t="s">
        <v>565</v>
      </c>
      <c r="N182" s="1036"/>
      <c r="O182" s="1038"/>
      <c r="P182" s="434"/>
    </row>
    <row r="183" spans="5:16" x14ac:dyDescent="0.25">
      <c r="E183" s="1044" t="str" cm="1">
        <f t="array" ref="E183">INDEX(K183:O183, , F$2)</f>
        <v>Proportion development costs borrowed</v>
      </c>
      <c r="J183" s="434"/>
      <c r="K183" s="1036" t="s">
        <v>566</v>
      </c>
      <c r="L183" s="1041" t="s">
        <v>567</v>
      </c>
      <c r="M183" s="1036" t="s">
        <v>568</v>
      </c>
      <c r="N183" s="1036"/>
      <c r="O183" s="1038"/>
      <c r="P183" s="434"/>
    </row>
    <row r="184" spans="5:16" ht="29" x14ac:dyDescent="0.25">
      <c r="E184" s="1044" t="str" cm="1">
        <f t="array" ref="E184">INDEX(K184:O184, , F$2)</f>
        <v>Repayment period (yrs after financing period)</v>
      </c>
      <c r="J184" s="434"/>
      <c r="K184" s="1036" t="s">
        <v>569</v>
      </c>
      <c r="L184" s="1041" t="s">
        <v>570</v>
      </c>
      <c r="M184" s="1036" t="s">
        <v>571</v>
      </c>
      <c r="N184" s="1036"/>
      <c r="O184" s="1038"/>
      <c r="P184" s="434"/>
    </row>
    <row r="185" spans="5:16" x14ac:dyDescent="0.25">
      <c r="E185" s="1044" t="str" cm="1">
        <f t="array" ref="E185">INDEX(K185:O185, , F$2)</f>
        <v>Loan real interest rate</v>
      </c>
      <c r="J185" s="434"/>
      <c r="K185" s="1036" t="s">
        <v>572</v>
      </c>
      <c r="L185" s="1053" t="s">
        <v>573</v>
      </c>
      <c r="M185" s="1036" t="s">
        <v>574</v>
      </c>
      <c r="N185" s="1036"/>
      <c r="O185" s="1038"/>
      <c r="P185" s="434"/>
    </row>
    <row r="186" spans="5:16" x14ac:dyDescent="0.25">
      <c r="E186" s="1044" t="str" cm="1">
        <f t="array" ref="E186">INDEX(K186:O186, , F$2)</f>
        <v>Value added tax</v>
      </c>
      <c r="J186" s="434"/>
      <c r="K186" s="1036" t="s">
        <v>575</v>
      </c>
      <c r="L186" s="1041" t="s">
        <v>576</v>
      </c>
      <c r="M186" s="1036" t="s">
        <v>577</v>
      </c>
      <c r="N186" s="1036"/>
      <c r="O186" s="1038"/>
      <c r="P186" s="434"/>
    </row>
    <row r="187" spans="5:16" x14ac:dyDescent="0.25">
      <c r="E187" s="1044" t="str" cm="1">
        <f t="array" ref="E187">INDEX(K187:O187, , F$2)</f>
        <v>VAT rate</v>
      </c>
      <c r="J187" s="434"/>
      <c r="K187" s="1036" t="s">
        <v>578</v>
      </c>
      <c r="L187" s="1041" t="s">
        <v>579</v>
      </c>
      <c r="M187" s="1036" t="s">
        <v>580</v>
      </c>
      <c r="N187" s="1036"/>
      <c r="O187" s="1038"/>
      <c r="P187" s="434"/>
    </row>
    <row r="188" spans="5:16" x14ac:dyDescent="0.25">
      <c r="E188" s="1044" t="str" cm="1">
        <f t="array" ref="E188">INDEX(K188:O188, , F$2)</f>
        <v>% Exploration &amp; capex subject to VAT</v>
      </c>
      <c r="J188" s="434"/>
      <c r="K188" s="1036" t="s">
        <v>581</v>
      </c>
      <c r="L188" s="1053" t="s">
        <v>582</v>
      </c>
      <c r="M188" s="1036" t="s">
        <v>583</v>
      </c>
      <c r="N188" s="1036"/>
      <c r="O188" s="1038"/>
      <c r="P188" s="434"/>
    </row>
    <row r="189" spans="5:16" x14ac:dyDescent="0.25">
      <c r="E189" s="1044" t="str" cm="1">
        <f t="array" ref="E189">INDEX(K189:O189, , F$2)</f>
        <v>% opex subject to VAT</v>
      </c>
      <c r="J189" s="434"/>
      <c r="K189" s="1036" t="s">
        <v>584</v>
      </c>
      <c r="L189" s="1041" t="s">
        <v>585</v>
      </c>
      <c r="M189" s="1036" t="s">
        <v>586</v>
      </c>
      <c r="N189" s="1036"/>
      <c r="O189" s="1038"/>
      <c r="P189" s="434"/>
    </row>
    <row r="190" spans="5:16" x14ac:dyDescent="0.25">
      <c r="E190" s="1044" t="str" cm="1">
        <f t="array" ref="E190">INDEX(K190:O190, , F$2)</f>
        <v>VAT refund delay</v>
      </c>
      <c r="J190" s="434"/>
      <c r="K190" s="1036" t="s">
        <v>587</v>
      </c>
      <c r="L190" s="1041" t="s">
        <v>588</v>
      </c>
      <c r="M190" s="1036" t="s">
        <v>589</v>
      </c>
      <c r="N190" s="1036"/>
      <c r="O190" s="1038"/>
      <c r="P190" s="434"/>
    </row>
    <row r="191" spans="5:16" x14ac:dyDescent="0.25">
      <c r="E191" s="1044" t="str" cm="1">
        <f t="array" ref="E191">INDEX(K191:O191, , F$2)</f>
        <v>VAT applicable from</v>
      </c>
      <c r="J191" s="434"/>
      <c r="K191" s="1036" t="s">
        <v>590</v>
      </c>
      <c r="L191" s="1041" t="s">
        <v>591</v>
      </c>
      <c r="M191" s="1036" t="s">
        <v>592</v>
      </c>
      <c r="N191" s="1036"/>
      <c r="O191" s="1038"/>
      <c r="P191" s="434"/>
    </row>
    <row r="192" spans="5:16" ht="29" x14ac:dyDescent="0.25">
      <c r="E192" s="1044" t="str" cm="1">
        <f t="array" ref="E192">INDEX(K192:O192, , F$2)</f>
        <v>incurred in period of first project activity</v>
      </c>
      <c r="J192" s="434"/>
      <c r="K192" s="1036" t="s">
        <v>593</v>
      </c>
      <c r="L192" s="1053" t="s">
        <v>594</v>
      </c>
      <c r="M192" s="1036" t="s">
        <v>595</v>
      </c>
      <c r="N192" s="1036"/>
      <c r="O192" s="1038"/>
      <c r="P192" s="434"/>
    </row>
    <row r="193" spans="5:16" x14ac:dyDescent="0.25">
      <c r="E193" s="1044" t="str" cm="1">
        <f t="array" ref="E193">INDEX(K193:O193, , F$2)</f>
        <v>start of production</v>
      </c>
      <c r="J193" s="434"/>
      <c r="K193" s="1036" t="s">
        <v>596</v>
      </c>
      <c r="L193" s="1041" t="s">
        <v>597</v>
      </c>
      <c r="M193" s="1036" t="s">
        <v>598</v>
      </c>
      <c r="N193" s="1036"/>
      <c r="O193" s="1038"/>
      <c r="P193" s="434"/>
    </row>
    <row r="194" spans="5:16" ht="43.5" x14ac:dyDescent="0.25">
      <c r="E194" s="1044" t="str" cm="1">
        <f t="array" ref="E194">INDEX(K194:O194, , F$2)</f>
        <v>expensed for cost if recoverable, depreciated for CIT if deductible, expensed for RRT if deductible</v>
      </c>
      <c r="J194" s="434"/>
      <c r="K194" s="1036" t="s">
        <v>599</v>
      </c>
      <c r="L194" s="1053" t="s">
        <v>600</v>
      </c>
      <c r="M194" s="1036" t="s">
        <v>601</v>
      </c>
      <c r="N194" s="1036"/>
      <c r="O194" s="1038"/>
      <c r="P194" s="434"/>
    </row>
    <row r="195" spans="5:16" x14ac:dyDescent="0.25">
      <c r="E195" s="1044" t="str" cm="1">
        <f t="array" ref="E195">INDEX(K195:O195, , F$2)</f>
        <v>Applies in addition to any flat royalty</v>
      </c>
      <c r="J195" s="434"/>
      <c r="K195" s="1036" t="s">
        <v>602</v>
      </c>
      <c r="L195" s="1053" t="s">
        <v>603</v>
      </c>
      <c r="M195" s="1036" t="s">
        <v>604</v>
      </c>
      <c r="N195" s="1036"/>
      <c r="O195" s="1038"/>
      <c r="P195" s="434"/>
    </row>
    <row r="196" spans="5:16" x14ac:dyDescent="0.25">
      <c r="E196" s="1044" t="str" cm="1">
        <f t="array" ref="E196">INDEX(K196:O196, , F$2)</f>
        <v>yes or no</v>
      </c>
      <c r="J196" s="434"/>
      <c r="K196" s="1036" t="s">
        <v>605</v>
      </c>
      <c r="L196" s="1041" t="s">
        <v>606</v>
      </c>
      <c r="M196" s="1036" t="s">
        <v>607</v>
      </c>
      <c r="N196" s="1036"/>
      <c r="O196" s="1038"/>
      <c r="P196" s="434"/>
    </row>
    <row r="197" spans="5:16" ht="29" x14ac:dyDescent="0.25">
      <c r="E197" s="1044" t="str" cm="1">
        <f t="array" ref="E197">INDEX(K197:O197, , F$2)</f>
        <v>net = revenues less downstream/post-fiscal costs</v>
      </c>
      <c r="J197" s="434"/>
      <c r="K197" s="1036" t="s">
        <v>608</v>
      </c>
      <c r="L197" s="1041" t="s">
        <v>609</v>
      </c>
      <c r="M197" s="1036" t="s">
        <v>610</v>
      </c>
      <c r="N197" s="1036"/>
      <c r="O197" s="1038"/>
      <c r="P197" s="434"/>
    </row>
    <row r="198" spans="5:16" x14ac:dyDescent="0.25">
      <c r="E198" s="1044" t="str" cm="1">
        <f t="array" ref="E198">INDEX(K198:O198, , F$2)</f>
        <v>only relevant for tax/royalty regimes</v>
      </c>
      <c r="J198" s="434"/>
      <c r="K198" s="1036" t="s">
        <v>611</v>
      </c>
      <c r="L198" s="1053" t="s">
        <v>612</v>
      </c>
      <c r="M198" s="1036" t="s">
        <v>613</v>
      </c>
      <c r="N198" s="1036"/>
      <c r="O198" s="1038"/>
      <c r="P198" s="434"/>
    </row>
    <row r="199" spans="5:16" x14ac:dyDescent="0.25">
      <c r="E199" s="1044" t="str" cm="1">
        <f t="array" ref="E199">INDEX(K199:O199, , F$2)</f>
        <v>Real, Nominal; assumed nominal if empty</v>
      </c>
      <c r="J199" s="434"/>
      <c r="K199" s="1036" t="s">
        <v>614</v>
      </c>
      <c r="L199" s="1041" t="s">
        <v>615</v>
      </c>
      <c r="M199" s="1036" t="s">
        <v>616</v>
      </c>
      <c r="N199" s="1036"/>
      <c r="O199" s="1038"/>
      <c r="P199" s="434"/>
    </row>
    <row r="200" spans="5:16" ht="29" x14ac:dyDescent="0.25">
      <c r="E200" s="1044" t="str" cm="1">
        <f t="array" ref="E200">INDEX(K200:O200, , F$2)</f>
        <v>Percentage, TargetYear; assumed percentage if empty</v>
      </c>
      <c r="J200" s="434"/>
      <c r="K200" s="1036" t="s">
        <v>617</v>
      </c>
      <c r="L200" s="1053" t="s">
        <v>618</v>
      </c>
      <c r="M200" s="1036" t="s">
        <v>619</v>
      </c>
      <c r="N200" s="1036"/>
      <c r="O200" s="1038"/>
      <c r="P200" s="434"/>
    </row>
    <row r="201" spans="5:16" ht="29" x14ac:dyDescent="0.25">
      <c r="E201" s="1044" t="str" cm="1">
        <f t="array" ref="E201">INDEX(K201:O201, , F$2)</f>
        <v>0 if a constant tax level; percentage relative to carbon price in the first year</v>
      </c>
      <c r="J201" s="434"/>
      <c r="K201" s="1036" t="s">
        <v>620</v>
      </c>
      <c r="L201" s="1041" t="s">
        <v>621</v>
      </c>
      <c r="M201" s="1036" t="s">
        <v>622</v>
      </c>
      <c r="N201" s="1036"/>
      <c r="O201" s="1038"/>
      <c r="P201" s="434"/>
    </row>
    <row r="202" spans="5:16" ht="29" x14ac:dyDescent="0.25">
      <c r="E202" s="1044" t="str" cm="1">
        <f t="array" ref="E202">INDEX(K202:O202, , F$2)</f>
        <v>no entry means not directly levied on investor</v>
      </c>
      <c r="J202" s="434"/>
      <c r="K202" s="1036" t="s">
        <v>623</v>
      </c>
      <c r="L202" s="1041" t="s">
        <v>624</v>
      </c>
      <c r="M202" s="1036" t="s">
        <v>625</v>
      </c>
      <c r="N202" s="1036"/>
      <c r="O202" s="1038"/>
      <c r="P202" s="434"/>
    </row>
    <row r="203" spans="5:16" ht="29" x14ac:dyDescent="0.25">
      <c r="E203" s="1044" t="str" cm="1">
        <f t="array" ref="E203">INDEX(K203:O203, , F$2)</f>
        <v>no entry means not cost recoverable or CIT and RRT deductible</v>
      </c>
      <c r="J203" s="434"/>
      <c r="K203" s="1036" t="s">
        <v>626</v>
      </c>
      <c r="L203" s="1053" t="s">
        <v>627</v>
      </c>
      <c r="M203" s="1036" t="s">
        <v>628</v>
      </c>
      <c r="N203" s="1036"/>
      <c r="O203" s="1038"/>
      <c r="P203" s="434"/>
    </row>
    <row r="204" spans="5:16" ht="29" x14ac:dyDescent="0.25">
      <c r="E204" s="1044" t="str" cm="1">
        <f t="array" ref="E204">INDEX(K204:O204, , F$2)</f>
        <v>no entry means no decommissioning fund</v>
      </c>
      <c r="J204" s="434"/>
      <c r="K204" s="1036" t="s">
        <v>629</v>
      </c>
      <c r="L204" s="1053" t="s">
        <v>630</v>
      </c>
      <c r="M204" s="1036" t="s">
        <v>631</v>
      </c>
      <c r="N204" s="1036"/>
      <c r="O204" s="1038"/>
      <c r="P204" s="434"/>
    </row>
    <row r="205" spans="5:16" x14ac:dyDescent="0.25">
      <c r="E205" s="1044" t="str" cm="1">
        <f t="array" ref="E205">INDEX(K205:O205, , F$2)</f>
        <v>0 = from start of production</v>
      </c>
      <c r="J205" s="434"/>
      <c r="K205" s="1036" t="s">
        <v>632</v>
      </c>
      <c r="L205" s="1041" t="s">
        <v>633</v>
      </c>
      <c r="M205" s="1036" t="s">
        <v>634</v>
      </c>
      <c r="N205" s="1036"/>
      <c r="O205" s="1038"/>
      <c r="P205" s="434"/>
    </row>
    <row r="206" spans="5:16" x14ac:dyDescent="0.25">
      <c r="E206" s="1044" t="str" cm="1">
        <f t="array" ref="E206">INDEX(K206:O206, , F$2)</f>
        <v>Overall regime configuration</v>
      </c>
      <c r="J206" s="434"/>
      <c r="K206" s="1036" t="s">
        <v>635</v>
      </c>
      <c r="L206" s="1041" t="s">
        <v>636</v>
      </c>
      <c r="M206" s="1036" t="s">
        <v>637</v>
      </c>
      <c r="N206" s="1036"/>
      <c r="O206" s="1038"/>
      <c r="P206" s="434"/>
    </row>
    <row r="207" spans="5:16" x14ac:dyDescent="0.25">
      <c r="E207" s="1044" t="str" cm="1">
        <f t="array" ref="E207">INDEX(K207:O207, , F$2)</f>
        <v>% of revenues after royalty</v>
      </c>
      <c r="J207" s="434"/>
      <c r="K207" s="1036" t="s">
        <v>638</v>
      </c>
      <c r="L207" s="1041" t="s">
        <v>639</v>
      </c>
      <c r="M207" s="1036" t="s">
        <v>640</v>
      </c>
      <c r="N207" s="1036"/>
      <c r="O207" s="1038"/>
      <c r="P207" s="434"/>
    </row>
    <row r="208" spans="5:16" x14ac:dyDescent="0.25">
      <c r="E208" s="1044" t="str" cm="1">
        <f t="array" ref="E208">INDEX(K208:O208, , F$2)</f>
        <v>no entry means not recoverable</v>
      </c>
      <c r="J208" s="434"/>
      <c r="K208" s="1036" t="s">
        <v>641</v>
      </c>
      <c r="L208" s="1053" t="s">
        <v>642</v>
      </c>
      <c r="M208" s="1036" t="s">
        <v>643</v>
      </c>
      <c r="N208" s="1036"/>
      <c r="O208" s="1038"/>
      <c r="P208" s="434"/>
    </row>
    <row r="209" spans="5:16" x14ac:dyDescent="0.25">
      <c r="E209" s="1044" t="str" cm="1">
        <f t="array" ref="E209">INDEX(K209:O209, , F$2)</f>
        <v>% added to unrecovered cost balance</v>
      </c>
      <c r="J209" s="434"/>
      <c r="K209" s="1036" t="s">
        <v>644</v>
      </c>
      <c r="L209" s="1053" t="s">
        <v>645</v>
      </c>
      <c r="M209" s="1036" t="s">
        <v>646</v>
      </c>
      <c r="N209" s="1036"/>
      <c r="O209" s="1038"/>
      <c r="P209" s="434"/>
    </row>
    <row r="210" spans="5:16" x14ac:dyDescent="0.25">
      <c r="E210" s="1044" t="str" cm="1">
        <f t="array" ref="E210">INDEX(K210:O210, , F$2)</f>
        <v>time limit on uplift</v>
      </c>
      <c r="J210" s="434"/>
      <c r="K210" s="1036" t="s">
        <v>647</v>
      </c>
      <c r="L210" s="1041" t="s">
        <v>648</v>
      </c>
      <c r="M210" s="1036" t="s">
        <v>649</v>
      </c>
      <c r="N210" s="1036"/>
      <c r="O210" s="1038"/>
      <c r="P210" s="434"/>
    </row>
    <row r="211" spans="5:16" x14ac:dyDescent="0.25">
      <c r="E211" s="1044" t="str" cm="1">
        <f t="array" ref="E211">INDEX(K211:O211, , F$2)</f>
        <v>must enter value if PSC</v>
      </c>
      <c r="J211" s="434"/>
      <c r="K211" s="1036" t="s">
        <v>650</v>
      </c>
      <c r="L211" s="1041" t="s">
        <v>651</v>
      </c>
      <c r="M211" s="1036" t="s">
        <v>652</v>
      </c>
      <c r="N211" s="1036"/>
      <c r="O211" s="1038"/>
      <c r="P211" s="434"/>
    </row>
    <row r="212" spans="5:16" x14ac:dyDescent="0.25">
      <c r="E212" s="1044" t="str" cm="1">
        <f t="array" ref="E212">INDEX(K212:O212, , F$2)</f>
        <v>Daily rate of production</v>
      </c>
      <c r="J212" s="434"/>
      <c r="K212" s="1036" t="s">
        <v>653</v>
      </c>
      <c r="L212" s="1041" t="s">
        <v>654</v>
      </c>
      <c r="M212" s="1036" t="s">
        <v>655</v>
      </c>
      <c r="N212" s="1036"/>
      <c r="O212" s="1038"/>
      <c r="P212" s="434"/>
    </row>
    <row r="213" spans="5:16" ht="29" x14ac:dyDescent="0.25">
      <c r="E213" s="1044" t="str" cm="1">
        <f t="array" ref="E213">INDEX(K213:O213, , F$2)</f>
        <v>Ratio of cumulative revenues to cumulative costs</v>
      </c>
      <c r="J213" s="434"/>
      <c r="K213" s="1036" t="s">
        <v>656</v>
      </c>
      <c r="L213" s="1053" t="s">
        <v>657</v>
      </c>
      <c r="M213" s="1036" t="s">
        <v>658</v>
      </c>
      <c r="N213" s="1036"/>
      <c r="O213" s="1038"/>
      <c r="P213" s="434"/>
    </row>
    <row r="214" spans="5:16" x14ac:dyDescent="0.25">
      <c r="E214" s="1044" t="str" cm="1">
        <f t="array" ref="E214">INDEX(K214:O214, , F$2)</f>
        <v>must enter value</v>
      </c>
      <c r="J214" s="434"/>
      <c r="K214" s="1036" t="s">
        <v>659</v>
      </c>
      <c r="L214" s="1041" t="s">
        <v>660</v>
      </c>
      <c r="M214" s="1036" t="s">
        <v>661</v>
      </c>
      <c r="N214" s="1036"/>
      <c r="O214" s="1038"/>
      <c r="P214" s="434"/>
    </row>
    <row r="215" spans="5:16" x14ac:dyDescent="0.25">
      <c r="E215" s="1044" t="str" cm="1">
        <f t="array" ref="E215">INDEX(K215:O215, , F$2)</f>
        <v>Cashflow RRT</v>
      </c>
      <c r="J215" s="434"/>
      <c r="K215" s="1036" t="s">
        <v>662</v>
      </c>
      <c r="L215" s="1053" t="s">
        <v>663</v>
      </c>
      <c r="M215" s="1036" t="s">
        <v>664</v>
      </c>
      <c r="N215" s="1036"/>
      <c r="O215" s="1038"/>
      <c r="P215" s="434"/>
    </row>
    <row r="216" spans="5:16" ht="29" x14ac:dyDescent="0.25">
      <c r="E216" s="1044" t="str" cm="1">
        <f t="array" ref="E216">INDEX(K216:O216, , F$2)</f>
        <v>no entry means before CIT; CIT non-deductible means RRT deducted for CIT</v>
      </c>
      <c r="J216" s="434"/>
      <c r="K216" s="1036" t="s">
        <v>665</v>
      </c>
      <c r="L216" s="1053" t="s">
        <v>666</v>
      </c>
      <c r="M216" s="1036" t="s">
        <v>667</v>
      </c>
      <c r="N216" s="1036"/>
      <c r="O216" s="1038"/>
      <c r="P216" s="434"/>
    </row>
    <row r="217" spans="5:16" ht="29" x14ac:dyDescent="0.25">
      <c r="E217" s="1044" t="str" cm="1">
        <f t="array" ref="E217">INDEX(K217:O217, , F$2)</f>
        <v>paid when cumulative equity cashflow positive</v>
      </c>
      <c r="J217" s="434"/>
      <c r="K217" s="1036" t="s">
        <v>668</v>
      </c>
      <c r="L217" s="1041" t="s">
        <v>669</v>
      </c>
      <c r="M217" s="1036" t="s">
        <v>670</v>
      </c>
      <c r="N217" s="1036"/>
      <c r="O217" s="1038"/>
      <c r="P217" s="434"/>
    </row>
    <row r="218" spans="5:16" x14ac:dyDescent="0.25">
      <c r="E218" s="1044" t="str" cm="1">
        <f t="array" ref="E218">INDEX(K218:O218, , F$2)</f>
        <v>% share in JV</v>
      </c>
      <c r="J218" s="434"/>
      <c r="K218" s="1036" t="s">
        <v>671</v>
      </c>
      <c r="L218" s="1053" t="s">
        <v>672</v>
      </c>
      <c r="M218" s="1036" t="s">
        <v>673</v>
      </c>
      <c r="N218" s="1036"/>
      <c r="O218" s="1038"/>
      <c r="P218" s="434"/>
    </row>
    <row r="219" spans="5:16" x14ac:dyDescent="0.25">
      <c r="E219" s="1044" t="str" cm="1">
        <f t="array" ref="E219">INDEX(K219:O219, , F$2)</f>
        <v>State takes no share of costs; PSC only</v>
      </c>
      <c r="J219" s="434"/>
      <c r="K219" s="1036" t="s">
        <v>674</v>
      </c>
      <c r="L219" s="1053" t="s">
        <v>675</v>
      </c>
      <c r="M219" s="1036" t="s">
        <v>676</v>
      </c>
      <c r="N219" s="1036"/>
      <c r="O219" s="1038"/>
      <c r="P219" s="434"/>
    </row>
    <row r="220" spans="5:16" ht="29" x14ac:dyDescent="0.25">
      <c r="E220" s="1044" t="str" cm="1">
        <f t="array" ref="E220">INDEX(K220:O220, , F$2)</f>
        <v>no entry means state does not pay for exploration</v>
      </c>
      <c r="J220" s="434"/>
      <c r="K220" s="1036" t="s">
        <v>677</v>
      </c>
      <c r="L220" s="1053" t="s">
        <v>678</v>
      </c>
      <c r="M220" s="1036" t="s">
        <v>679</v>
      </c>
      <c r="N220" s="1036"/>
      <c r="O220" s="1038"/>
      <c r="P220" s="434"/>
    </row>
    <row r="221" spans="5:16" ht="29" x14ac:dyDescent="0.25">
      <c r="E221" s="1044" t="str" cm="1">
        <f t="array" ref="E221">INDEX(K221:O221, , F$2)</f>
        <v>no entry means state does not pay for development</v>
      </c>
      <c r="J221" s="434"/>
      <c r="K221" s="1036" t="s">
        <v>680</v>
      </c>
      <c r="L221" s="1053" t="s">
        <v>681</v>
      </c>
      <c r="M221" s="1036" t="s">
        <v>682</v>
      </c>
      <c r="N221" s="1036"/>
      <c r="O221" s="1038"/>
      <c r="P221" s="434"/>
    </row>
    <row r="222" spans="5:16" x14ac:dyDescent="0.25">
      <c r="E222" s="1044" t="str" cm="1">
        <f t="array" ref="E222">INDEX(K222:O222, , F$2)</f>
        <v>Proportion reserves produced</v>
      </c>
      <c r="J222" s="434"/>
      <c r="K222" s="1036" t="s">
        <v>683</v>
      </c>
      <c r="L222" s="1041" t="s">
        <v>684</v>
      </c>
      <c r="M222" s="1036" t="s">
        <v>685</v>
      </c>
      <c r="N222" s="1036"/>
      <c r="O222" s="1038"/>
      <c r="P222" s="434"/>
    </row>
    <row r="223" spans="5:16" x14ac:dyDescent="0.25">
      <c r="E223" s="1044" t="str" cm="1">
        <f t="array" ref="E223">INDEX(K223:O223, , F$2)</f>
        <v>Decommissioning period</v>
      </c>
      <c r="J223" s="434"/>
      <c r="K223" s="1036" t="s">
        <v>686</v>
      </c>
      <c r="L223" s="1053" t="s">
        <v>687</v>
      </c>
      <c r="M223" s="1036" t="s">
        <v>688</v>
      </c>
      <c r="N223" s="1036"/>
      <c r="O223" s="1038"/>
      <c r="P223" s="434"/>
    </row>
    <row r="224" spans="5:16" x14ac:dyDescent="0.25">
      <c r="E224" s="1044" t="str" cm="1">
        <f t="array" ref="E224">INDEX(K224:O224, , F$2)</f>
        <v>Number of decommissioning periods</v>
      </c>
      <c r="J224" s="434"/>
      <c r="K224" s="1036" t="s">
        <v>689</v>
      </c>
      <c r="L224" s="1053" t="s">
        <v>690</v>
      </c>
      <c r="M224" s="1036" t="s">
        <v>691</v>
      </c>
      <c r="N224" s="1036"/>
      <c r="O224" s="1038"/>
      <c r="P224" s="434"/>
    </row>
    <row r="225" spans="5:16" ht="29" x14ac:dyDescent="0.25">
      <c r="E225" s="1044" t="str" cm="1">
        <f t="array" ref="E225">INDEX(K225:O225, , F$2)</f>
        <v>Decommissioning provision required (annuity basis)</v>
      </c>
      <c r="J225" s="434"/>
      <c r="K225" s="1036" t="s">
        <v>692</v>
      </c>
      <c r="L225" s="1053" t="s">
        <v>693</v>
      </c>
      <c r="M225" s="1036" t="s">
        <v>694</v>
      </c>
      <c r="N225" s="1036"/>
      <c r="O225" s="1038"/>
      <c r="P225" s="434"/>
    </row>
    <row r="226" spans="5:16" ht="29" x14ac:dyDescent="0.25">
      <c r="E226" s="1044" t="str" cm="1">
        <f t="array" ref="E226">INDEX(K226:O226, , F$2)</f>
        <v>Decommissioning provision for future costs (end of period)</v>
      </c>
      <c r="J226" s="434"/>
      <c r="K226" s="1036" t="s">
        <v>695</v>
      </c>
      <c r="L226" s="1053" t="s">
        <v>696</v>
      </c>
      <c r="M226" s="1036" t="s">
        <v>697</v>
      </c>
      <c r="N226" s="1036"/>
      <c r="O226" s="1038"/>
      <c r="P226" s="434"/>
    </row>
    <row r="227" spans="5:16" ht="29" x14ac:dyDescent="0.25">
      <c r="E227" s="1044" t="str" cm="1">
        <f t="array" ref="E227">INDEX(K227:O227, , F$2)</f>
        <v>Withdrawals to meet decommissioning costs (end of period)</v>
      </c>
      <c r="J227" s="434"/>
      <c r="K227" s="1036" t="s">
        <v>698</v>
      </c>
      <c r="L227" s="1053" t="s">
        <v>699</v>
      </c>
      <c r="M227" s="1036" t="s">
        <v>700</v>
      </c>
      <c r="N227" s="1036"/>
      <c r="O227" s="1038"/>
      <c r="P227" s="434"/>
    </row>
    <row r="228" spans="5:16" x14ac:dyDescent="0.25">
      <c r="E228" s="1044" t="str" cm="1">
        <f t="array" ref="E228">INDEX(K228:O228, , F$2)</f>
        <v>Interest</v>
      </c>
      <c r="J228" s="434"/>
      <c r="K228" s="1036" t="s">
        <v>701</v>
      </c>
      <c r="L228" s="1041" t="s">
        <v>702</v>
      </c>
      <c r="M228" s="1036" t="s">
        <v>703</v>
      </c>
      <c r="N228" s="1036"/>
      <c r="O228" s="1038"/>
      <c r="P228" s="434"/>
    </row>
    <row r="229" spans="5:16" ht="29" x14ac:dyDescent="0.25">
      <c r="E229" s="1044" t="str" cm="1">
        <f t="array" ref="E229">INDEX(K229:O229, , F$2)</f>
        <v>Decommissioning fund opening balance: BEG</v>
      </c>
      <c r="J229" s="434"/>
      <c r="K229" s="1036" t="s">
        <v>704</v>
      </c>
      <c r="L229" s="1053" t="s">
        <v>705</v>
      </c>
      <c r="M229" s="1036" t="s">
        <v>706</v>
      </c>
      <c r="N229" s="1036"/>
      <c r="O229" s="1038"/>
      <c r="P229" s="434"/>
    </row>
    <row r="230" spans="5:16" ht="29" x14ac:dyDescent="0.25">
      <c r="E230" s="1044" t="str" cm="1">
        <f t="array" ref="E230">INDEX(K230:O230, , F$2)</f>
        <v>Decommissioning fund closing balance: END</v>
      </c>
      <c r="J230" s="434"/>
      <c r="K230" s="1036" t="s">
        <v>707</v>
      </c>
      <c r="L230" s="1053" t="s">
        <v>708</v>
      </c>
      <c r="M230" s="1036" t="s">
        <v>709</v>
      </c>
      <c r="N230" s="1036"/>
      <c r="O230" s="1038"/>
      <c r="P230" s="434"/>
    </row>
    <row r="231" spans="5:16" x14ac:dyDescent="0.25">
      <c r="E231" s="1044" t="str" cm="1">
        <f t="array" ref="E231">INDEX(K231:O231, , F$2)</f>
        <v>Decommissioning cashflows</v>
      </c>
      <c r="J231" s="434"/>
      <c r="K231" s="1036" t="s">
        <v>710</v>
      </c>
      <c r="L231" s="1053" t="s">
        <v>711</v>
      </c>
      <c r="M231" s="1036" t="s">
        <v>712</v>
      </c>
      <c r="N231" s="1036"/>
      <c r="O231" s="1038"/>
      <c r="P231" s="434"/>
    </row>
    <row r="232" spans="5:16" ht="29" x14ac:dyDescent="0.25">
      <c r="E232" s="1044" t="str" cm="1">
        <f t="array" ref="E232">INDEX(K232:O232, , F$2)</f>
        <v>Net decommissioning cashflows including fund</v>
      </c>
      <c r="J232" s="434"/>
      <c r="K232" s="1036" t="s">
        <v>713</v>
      </c>
      <c r="L232" s="1053" t="s">
        <v>714</v>
      </c>
      <c r="M232" s="1036" t="s">
        <v>715</v>
      </c>
      <c r="N232" s="1036"/>
      <c r="O232" s="1038"/>
      <c r="P232" s="434"/>
    </row>
    <row r="233" spans="5:16" x14ac:dyDescent="0.25">
      <c r="E233" s="1044" t="str" cm="1">
        <f t="array" ref="E233">INDEX(K233:O233, , F$2)</f>
        <v>Net decommissioning cashflows</v>
      </c>
      <c r="J233" s="434"/>
      <c r="K233" s="1036" t="s">
        <v>716</v>
      </c>
      <c r="L233" s="1053" t="s">
        <v>717</v>
      </c>
      <c r="M233" s="1036" t="s">
        <v>718</v>
      </c>
      <c r="N233" s="1036"/>
      <c r="O233" s="1038"/>
      <c r="P233" s="434"/>
    </row>
    <row r="234" spans="5:16" ht="29" x14ac:dyDescent="0.25">
      <c r="E234" s="1044" t="str" cm="1">
        <f t="array" ref="E234">INDEX(K234:O234, , F$2)</f>
        <v>Cashflows before fiscal regime after decommissioning</v>
      </c>
      <c r="J234" s="434"/>
      <c r="K234" s="1036" t="s">
        <v>719</v>
      </c>
      <c r="L234" s="1053" t="s">
        <v>720</v>
      </c>
      <c r="M234" s="1036" t="s">
        <v>721</v>
      </c>
      <c r="N234" s="1036"/>
      <c r="O234" s="1038"/>
      <c r="P234" s="434"/>
    </row>
    <row r="235" spans="5:16" x14ac:dyDescent="0.25">
      <c r="E235" s="1044" t="str" cm="1">
        <f t="array" ref="E235">INDEX(K235:O235, , F$2)</f>
        <v>Signature bonus</v>
      </c>
      <c r="J235" s="434"/>
      <c r="K235" s="1036" t="s">
        <v>722</v>
      </c>
      <c r="L235" s="1053" t="s">
        <v>723</v>
      </c>
      <c r="M235" s="1036" t="s">
        <v>724</v>
      </c>
      <c r="N235" s="1036"/>
      <c r="O235" s="1038"/>
      <c r="P235" s="434"/>
    </row>
    <row r="236" spans="5:16" x14ac:dyDescent="0.25">
      <c r="E236" s="1044" t="str" cm="1">
        <f t="array" ref="E236">INDEX(K236:O236, , F$2)</f>
        <v>Production bonus</v>
      </c>
      <c r="J236" s="434"/>
      <c r="K236" s="1036" t="s">
        <v>725</v>
      </c>
      <c r="L236" s="1053" t="s">
        <v>726</v>
      </c>
      <c r="M236" s="1036" t="s">
        <v>727</v>
      </c>
      <c r="N236" s="1036"/>
      <c r="O236" s="1038"/>
      <c r="P236" s="434"/>
    </row>
    <row r="237" spans="5:16" x14ac:dyDescent="0.25">
      <c r="E237" s="1044" t="str" cm="1">
        <f t="array" ref="E237">INDEX(K237:O237, , F$2)</f>
        <v>Bonuses</v>
      </c>
      <c r="J237" s="434"/>
      <c r="K237" s="1036" t="s">
        <v>728</v>
      </c>
      <c r="L237" s="1053" t="s">
        <v>388</v>
      </c>
      <c r="M237" s="1036" t="s">
        <v>729</v>
      </c>
      <c r="N237" s="1036"/>
      <c r="O237" s="1038"/>
      <c r="P237" s="434"/>
    </row>
    <row r="238" spans="5:16" x14ac:dyDescent="0.25">
      <c r="E238" s="1044" t="str" cm="1">
        <f t="array" ref="E238">INDEX(K238:O238, , F$2)</f>
        <v>Flat royalty rate</v>
      </c>
      <c r="J238" s="434"/>
      <c r="K238" s="1036" t="s">
        <v>730</v>
      </c>
      <c r="L238" s="1053" t="s">
        <v>731</v>
      </c>
      <c r="M238" s="1036" t="s">
        <v>732</v>
      </c>
      <c r="N238" s="1036"/>
      <c r="O238" s="1038"/>
      <c r="P238" s="434"/>
    </row>
    <row r="239" spans="5:16" x14ac:dyDescent="0.25">
      <c r="E239" s="1044" t="str" cm="1">
        <f t="array" ref="E239">INDEX(K239:O239, , F$2)</f>
        <v>Proportion of price above threshold</v>
      </c>
      <c r="J239" s="434"/>
      <c r="K239" s="1036" t="s">
        <v>733</v>
      </c>
      <c r="L239" s="1041" t="s">
        <v>734</v>
      </c>
      <c r="M239" s="1036" t="s">
        <v>735</v>
      </c>
      <c r="N239" s="1036"/>
      <c r="O239" s="1038"/>
      <c r="P239" s="434"/>
    </row>
    <row r="240" spans="5:16" x14ac:dyDescent="0.25">
      <c r="E240" s="1044" t="str" cm="1">
        <f t="array" ref="E240">INDEX(K240:O240, , F$2)</f>
        <v>Price-based royalty rate</v>
      </c>
      <c r="J240" s="434"/>
      <c r="K240" s="1036" t="s">
        <v>736</v>
      </c>
      <c r="L240" s="1053" t="s">
        <v>737</v>
      </c>
      <c r="M240" s="1036" t="s">
        <v>738</v>
      </c>
      <c r="N240" s="1036"/>
      <c r="O240" s="1038"/>
      <c r="P240" s="434"/>
    </row>
    <row r="241" spans="5:16" x14ac:dyDescent="0.25">
      <c r="E241" s="1044" t="str" cm="1">
        <f t="array" ref="E241">INDEX(K241:O241, , F$2)</f>
        <v>Oil revenues after royalty</v>
      </c>
      <c r="J241" s="434"/>
      <c r="K241" s="1036" t="s">
        <v>739</v>
      </c>
      <c r="L241" s="1041" t="s">
        <v>740</v>
      </c>
      <c r="M241" s="1036" t="s">
        <v>741</v>
      </c>
      <c r="N241" s="1036"/>
      <c r="O241" s="1038"/>
      <c r="P241" s="434"/>
    </row>
    <row r="242" spans="5:16" ht="29" x14ac:dyDescent="0.25">
      <c r="E242" s="1044" t="str" cm="1">
        <f t="array" ref="E242">INDEX(K242:O242, , F$2)</f>
        <v>Total GHG emissions applicable for carbon tax</v>
      </c>
      <c r="J242" s="434"/>
      <c r="K242" s="1036" t="s">
        <v>742</v>
      </c>
      <c r="L242" s="1053" t="s">
        <v>743</v>
      </c>
      <c r="M242" s="1036" t="s">
        <v>744</v>
      </c>
      <c r="N242" s="1036"/>
      <c r="O242" s="1038"/>
      <c r="P242" s="434"/>
    </row>
    <row r="243" spans="5:16" x14ac:dyDescent="0.25">
      <c r="E243" s="1044" t="str" cm="1">
        <f t="array" ref="E243">INDEX(K243:O243, , F$2)</f>
        <v>Carbon tax rate applicable</v>
      </c>
      <c r="J243" s="434"/>
      <c r="K243" s="1036" t="s">
        <v>745</v>
      </c>
      <c r="L243" s="1041" t="s">
        <v>746</v>
      </c>
      <c r="M243" s="1036" t="s">
        <v>747</v>
      </c>
      <c r="N243" s="1036"/>
      <c r="O243" s="1038"/>
      <c r="P243" s="434"/>
    </row>
    <row r="244" spans="5:16" x14ac:dyDescent="0.25">
      <c r="E244" s="1044" t="str" cm="1">
        <f t="array" ref="E244">INDEX(K244:O244, , F$2)</f>
        <v>Year of carbon tax</v>
      </c>
      <c r="J244" s="434"/>
      <c r="K244" s="1036" t="s">
        <v>748</v>
      </c>
      <c r="L244" s="1041" t="s">
        <v>749</v>
      </c>
      <c r="M244" s="1036" t="s">
        <v>750</v>
      </c>
      <c r="N244" s="1036"/>
      <c r="O244" s="1038"/>
      <c r="P244" s="434"/>
    </row>
    <row r="245" spans="5:16" x14ac:dyDescent="0.25">
      <c r="E245" s="1044" t="str" cm="1">
        <f t="array" ref="E245">INDEX(K245:O245, , F$2)</f>
        <v>Carbon tax - inflation option 1</v>
      </c>
      <c r="J245" s="434"/>
      <c r="K245" s="1036" t="s">
        <v>751</v>
      </c>
      <c r="L245" s="1053" t="s">
        <v>752</v>
      </c>
      <c r="M245" s="1036" t="s">
        <v>753</v>
      </c>
      <c r="N245" s="1036"/>
      <c r="O245" s="1038"/>
      <c r="P245" s="434"/>
    </row>
    <row r="246" spans="5:16" x14ac:dyDescent="0.25">
      <c r="E246" s="1044" t="str" cm="1">
        <f t="array" ref="E246">INDEX(K246:O246, , F$2)</f>
        <v>Carbon tax - inflation option 2</v>
      </c>
      <c r="J246" s="434"/>
      <c r="K246" s="1036" t="s">
        <v>754</v>
      </c>
      <c r="L246" s="1053" t="s">
        <v>755</v>
      </c>
      <c r="M246" s="1036" t="s">
        <v>756</v>
      </c>
      <c r="N246" s="1036"/>
      <c r="O246" s="1038"/>
      <c r="P246" s="434"/>
    </row>
    <row r="247" spans="5:16" ht="29" x14ac:dyDescent="0.25">
      <c r="E247" s="1044" t="str" cm="1">
        <f t="array" ref="E247">INDEX(K247:O247, , F$2)</f>
        <v>Inflation since carbon tax start year</v>
      </c>
      <c r="J247" s="434"/>
      <c r="K247" s="1036" t="s">
        <v>757</v>
      </c>
      <c r="L247" s="1041" t="s">
        <v>758</v>
      </c>
      <c r="M247" s="1036" t="s">
        <v>759</v>
      </c>
      <c r="N247" s="1036"/>
      <c r="O247" s="1038"/>
      <c r="P247" s="434"/>
    </row>
    <row r="248" spans="5:16" x14ac:dyDescent="0.25">
      <c r="E248" s="1044" t="str" cm="1">
        <f t="array" ref="E248">INDEX(K248:O248, , F$2)</f>
        <v>Carbon tax inflation index</v>
      </c>
      <c r="J248" s="434"/>
      <c r="K248" s="1036" t="s">
        <v>760</v>
      </c>
      <c r="L248" s="1041" t="s">
        <v>761</v>
      </c>
      <c r="M248" s="1036" t="s">
        <v>762</v>
      </c>
      <c r="N248" s="1036"/>
      <c r="O248" s="1038"/>
      <c r="P248" s="434"/>
    </row>
    <row r="249" spans="5:16" ht="29" x14ac:dyDescent="0.25">
      <c r="E249" s="1044" t="str" cm="1">
        <f t="array" ref="E249">INDEX(K249:O249, , F$2)</f>
        <v>Carbon tax - Percentage method; before inflation adjustment</v>
      </c>
      <c r="J249" s="434"/>
      <c r="K249" s="1036" t="s">
        <v>763</v>
      </c>
      <c r="L249" s="1041" t="s">
        <v>764</v>
      </c>
      <c r="M249" s="1036" t="s">
        <v>765</v>
      </c>
      <c r="N249" s="1036"/>
      <c r="O249" s="1038"/>
      <c r="P249" s="434"/>
    </row>
    <row r="250" spans="5:16" ht="29" x14ac:dyDescent="0.25">
      <c r="E250" s="1044" t="str" cm="1">
        <f t="array" ref="E250">INDEX(K250:O250, , F$2)</f>
        <v>Years of carbon tax until it reaches target level</v>
      </c>
      <c r="J250" s="434"/>
      <c r="K250" s="1036" t="s">
        <v>766</v>
      </c>
      <c r="L250" s="1041" t="s">
        <v>767</v>
      </c>
      <c r="M250" s="1036" t="s">
        <v>768</v>
      </c>
      <c r="N250" s="1036"/>
      <c r="O250" s="1038"/>
      <c r="P250" s="434"/>
    </row>
    <row r="251" spans="5:16" ht="29" x14ac:dyDescent="0.25">
      <c r="E251" s="1044" t="str" cm="1">
        <f t="array" ref="E251">INDEX(K251:O251, , F$2)</f>
        <v>Change in carbon tax between start and future year</v>
      </c>
      <c r="J251" s="434"/>
      <c r="K251" s="1036" t="s">
        <v>769</v>
      </c>
      <c r="L251" s="1041" t="s">
        <v>770</v>
      </c>
      <c r="M251" s="1036" t="s">
        <v>771</v>
      </c>
      <c r="N251" s="1036"/>
      <c r="O251" s="1038"/>
      <c r="P251" s="434"/>
    </row>
    <row r="252" spans="5:16" x14ac:dyDescent="0.25">
      <c r="E252" s="1044" t="str" cm="1">
        <f t="array" ref="E252">INDEX(K252:O252, , F$2)</f>
        <v>Annual increase in carbon tax</v>
      </c>
      <c r="J252" s="434"/>
      <c r="K252" s="1036" t="s">
        <v>772</v>
      </c>
      <c r="L252" s="1041" t="s">
        <v>773</v>
      </c>
      <c r="M252" s="1036" t="s">
        <v>774</v>
      </c>
      <c r="N252" s="1036"/>
      <c r="O252" s="1038"/>
      <c r="P252" s="434"/>
    </row>
    <row r="253" spans="5:16" ht="29" x14ac:dyDescent="0.25">
      <c r="E253" s="1044" t="str" cm="1">
        <f t="array" ref="E253">INDEX(K253:O253, , F$2)</f>
        <v>Carbon tax - Target level/year; before inflation adjustment</v>
      </c>
      <c r="J253" s="434"/>
      <c r="K253" s="1036" t="s">
        <v>775</v>
      </c>
      <c r="L253" s="1041" t="s">
        <v>776</v>
      </c>
      <c r="M253" s="1036" t="s">
        <v>777</v>
      </c>
      <c r="N253" s="1036"/>
      <c r="O253" s="1038"/>
      <c r="P253" s="434"/>
    </row>
    <row r="254" spans="5:16" x14ac:dyDescent="0.25">
      <c r="E254" s="1044" t="str" cm="1">
        <f t="array" ref="E254">INDEX(K254:O254, , F$2)</f>
        <v>Carbon tax - option 1</v>
      </c>
      <c r="J254" s="434"/>
      <c r="K254" s="1036" t="s">
        <v>778</v>
      </c>
      <c r="L254" s="1041" t="s">
        <v>779</v>
      </c>
      <c r="M254" s="1036" t="s">
        <v>780</v>
      </c>
      <c r="N254" s="1036"/>
      <c r="O254" s="1038"/>
      <c r="P254" s="434"/>
    </row>
    <row r="255" spans="5:16" x14ac:dyDescent="0.25">
      <c r="E255" s="1044" t="str" cm="1">
        <f t="array" ref="E255">INDEX(K255:O255, , F$2)</f>
        <v>Carbon tax - option 2</v>
      </c>
      <c r="J255" s="434"/>
      <c r="K255" s="1036" t="s">
        <v>781</v>
      </c>
      <c r="L255" s="1041" t="s">
        <v>782</v>
      </c>
      <c r="M255" s="1036" t="s">
        <v>783</v>
      </c>
      <c r="N255" s="1036"/>
      <c r="O255" s="1038"/>
      <c r="P255" s="434"/>
    </row>
    <row r="256" spans="5:16" ht="29" x14ac:dyDescent="0.25">
      <c r="E256" s="1044" t="str" cm="1">
        <f t="array" ref="E256">INDEX(K256:O256, , F$2)</f>
        <v>Carbon tax as share of net revenue</v>
      </c>
      <c r="J256" s="434"/>
      <c r="K256" s="1036" t="s">
        <v>784</v>
      </c>
      <c r="L256" s="1053" t="s">
        <v>785</v>
      </c>
      <c r="M256" s="1036" t="s">
        <v>786</v>
      </c>
      <c r="N256" s="1036"/>
      <c r="O256" s="1038"/>
      <c r="P256" s="434"/>
    </row>
    <row r="257" spans="5:16" ht="43.5" x14ac:dyDescent="0.25">
      <c r="E257" s="1044" t="str" cm="1">
        <f t="array" ref="E257">INDEX(K257:O257, , F$2)</f>
        <v>Cashflows after decommissioning, royalty, carbon tax and bonus</v>
      </c>
      <c r="J257" s="434"/>
      <c r="K257" s="1036" t="s">
        <v>787</v>
      </c>
      <c r="L257" s="1053" t="s">
        <v>788</v>
      </c>
      <c r="M257" s="1036" t="s">
        <v>789</v>
      </c>
      <c r="N257" s="1036"/>
      <c r="O257" s="1038"/>
      <c r="P257" s="434"/>
    </row>
    <row r="258" spans="5:16" x14ac:dyDescent="0.25">
      <c r="E258" s="1044" t="str" cm="1">
        <f t="array" ref="E258">INDEX(K258:O258, , F$2)</f>
        <v>Project cashflows turn positive</v>
      </c>
      <c r="J258" s="434"/>
      <c r="K258" s="1036" t="s">
        <v>790</v>
      </c>
      <c r="L258" s="1041" t="s">
        <v>791</v>
      </c>
      <c r="M258" s="1036" t="s">
        <v>792</v>
      </c>
      <c r="N258" s="1036"/>
      <c r="O258" s="1038"/>
      <c r="P258" s="434"/>
    </row>
    <row r="259" spans="5:16" x14ac:dyDescent="0.25">
      <c r="E259" s="1044" t="str" cm="1">
        <f t="array" ref="E259">INDEX(K259:O259, , F$2)</f>
        <v>Financing period</v>
      </c>
      <c r="J259" s="434"/>
      <c r="K259" s="1036" t="s">
        <v>793</v>
      </c>
      <c r="L259" s="1041" t="s">
        <v>794</v>
      </c>
      <c r="M259" s="1036" t="s">
        <v>795</v>
      </c>
      <c r="N259" s="1036"/>
      <c r="O259" s="1038"/>
      <c r="P259" s="434"/>
    </row>
    <row r="260" spans="5:16" x14ac:dyDescent="0.25">
      <c r="E260" s="1044" t="str" cm="1">
        <f t="array" ref="E260">INDEX(K260:O260, , F$2)</f>
        <v>Loan drawdowns (mid-period)</v>
      </c>
      <c r="J260" s="434"/>
      <c r="K260" s="1036" t="s">
        <v>796</v>
      </c>
      <c r="L260" s="1053" t="s">
        <v>797</v>
      </c>
      <c r="M260" s="1036" t="s">
        <v>798</v>
      </c>
      <c r="N260" s="1036"/>
      <c r="O260" s="1038"/>
      <c r="P260" s="434"/>
    </row>
    <row r="261" spans="5:16" x14ac:dyDescent="0.25">
      <c r="E261" s="1044" t="str" cm="1">
        <f t="array" ref="E261">INDEX(K261:O261, , F$2)</f>
        <v>Loan repayment flag</v>
      </c>
      <c r="J261" s="434"/>
      <c r="K261" s="1036" t="s">
        <v>799</v>
      </c>
      <c r="L261" s="1053" t="s">
        <v>800</v>
      </c>
      <c r="M261" s="1036" t="s">
        <v>801</v>
      </c>
      <c r="N261" s="1036"/>
      <c r="O261" s="1038"/>
      <c r="P261" s="434"/>
    </row>
    <row r="262" spans="5:16" x14ac:dyDescent="0.25">
      <c r="E262" s="1044" t="str" cm="1">
        <f t="array" ref="E262">INDEX(K262:O262, , F$2)</f>
        <v>Proportion of remaining loan balance to be paid</v>
      </c>
      <c r="J262" s="434"/>
      <c r="K262" s="1036" t="s">
        <v>802</v>
      </c>
      <c r="L262" s="1053" t="s">
        <v>803</v>
      </c>
      <c r="M262" s="1036" t="s">
        <v>804</v>
      </c>
      <c r="N262" s="1036"/>
      <c r="O262" s="1038"/>
      <c r="P262" s="434"/>
    </row>
    <row r="263" spans="5:16" x14ac:dyDescent="0.25">
      <c r="E263" s="1044" t="str" cm="1">
        <f t="array" ref="E263">INDEX(K263:O263, , F$2)</f>
        <v>Loan nominal interest rate</v>
      </c>
      <c r="J263" s="434"/>
      <c r="K263" s="1036" t="s">
        <v>805</v>
      </c>
      <c r="L263" s="1053" t="s">
        <v>806</v>
      </c>
      <c r="M263" s="1036" t="s">
        <v>807</v>
      </c>
      <c r="N263" s="1036"/>
      <c r="O263" s="1038"/>
      <c r="P263" s="434"/>
    </row>
    <row r="264" spans="5:16" ht="29" x14ac:dyDescent="0.25">
      <c r="E264" s="1044" t="str" cm="1">
        <f t="array" ref="E264">INDEX(K264:O264, , F$2)</f>
        <v>Loan account opening balance: BEG</v>
      </c>
      <c r="J264" s="434"/>
      <c r="K264" s="1036" t="s">
        <v>808</v>
      </c>
      <c r="L264" s="1053" t="s">
        <v>809</v>
      </c>
      <c r="M264" s="1036" t="s">
        <v>810</v>
      </c>
      <c r="N264" s="1036"/>
      <c r="O264" s="1038"/>
      <c r="P264" s="434"/>
    </row>
    <row r="265" spans="5:16" x14ac:dyDescent="0.25">
      <c r="E265" s="1044" t="str" cm="1">
        <f t="array" ref="E265">INDEX(K265:O265, , F$2)</f>
        <v>Interest charged</v>
      </c>
      <c r="J265" s="434"/>
      <c r="K265" s="1036" t="s">
        <v>811</v>
      </c>
      <c r="L265" s="1041" t="s">
        <v>812</v>
      </c>
      <c r="M265" s="1036" t="s">
        <v>813</v>
      </c>
      <c r="N265" s="1036"/>
      <c r="O265" s="1038"/>
      <c r="P265" s="434"/>
    </row>
    <row r="266" spans="5:16" x14ac:dyDescent="0.25">
      <c r="E266" s="1044" t="str" cm="1">
        <f t="array" ref="E266">INDEX(K266:O266, , F$2)</f>
        <v>Interest payments (end of period)</v>
      </c>
      <c r="J266" s="434"/>
      <c r="K266" s="1036" t="s">
        <v>814</v>
      </c>
      <c r="L266" s="1041" t="s">
        <v>815</v>
      </c>
      <c r="M266" s="1036" t="s">
        <v>816</v>
      </c>
      <c r="N266" s="1036"/>
      <c r="O266" s="1038"/>
      <c r="P266" s="434"/>
    </row>
    <row r="267" spans="5:16" x14ac:dyDescent="0.25">
      <c r="E267" s="1044" t="str" cm="1">
        <f t="array" ref="E267">INDEX(K267:O267, , F$2)</f>
        <v>Loan balance to be paid</v>
      </c>
      <c r="J267" s="434"/>
      <c r="K267" s="1036" t="s">
        <v>817</v>
      </c>
      <c r="L267" s="1053" t="s">
        <v>818</v>
      </c>
      <c r="M267" s="1036" t="s">
        <v>819</v>
      </c>
      <c r="N267" s="1036"/>
      <c r="O267" s="1038"/>
      <c r="P267" s="434"/>
    </row>
    <row r="268" spans="5:16" x14ac:dyDescent="0.25">
      <c r="E268" s="1044" t="str" cm="1">
        <f t="array" ref="E268">INDEX(K268:O268, , F$2)</f>
        <v>Principal repayments (end of period)</v>
      </c>
      <c r="J268" s="434"/>
      <c r="K268" s="1036" t="s">
        <v>820</v>
      </c>
      <c r="L268" s="1041" t="s">
        <v>821</v>
      </c>
      <c r="M268" s="1036" t="s">
        <v>822</v>
      </c>
      <c r="N268" s="1036"/>
      <c r="O268" s="1038"/>
      <c r="P268" s="434"/>
    </row>
    <row r="269" spans="5:16" x14ac:dyDescent="0.25">
      <c r="E269" s="1044" t="str" cm="1">
        <f t="array" ref="E269">INDEX(K269:O269, , F$2)</f>
        <v>Loan closing balance: END</v>
      </c>
      <c r="J269" s="434"/>
      <c r="K269" s="1036" t="s">
        <v>823</v>
      </c>
      <c r="L269" s="1053" t="s">
        <v>824</v>
      </c>
      <c r="M269" s="1036" t="s">
        <v>825</v>
      </c>
      <c r="N269" s="1036"/>
      <c r="O269" s="1038"/>
      <c r="P269" s="434"/>
    </row>
    <row r="270" spans="5:16" ht="29" x14ac:dyDescent="0.25">
      <c r="E270" s="1044" t="str" cm="1">
        <f t="array" ref="E270">INDEX(K270:O270, , F$2)</f>
        <v>Loan cashflows before interest withholding tax</v>
      </c>
      <c r="J270" s="434"/>
      <c r="K270" s="1036" t="s">
        <v>826</v>
      </c>
      <c r="L270" s="1053" t="s">
        <v>827</v>
      </c>
      <c r="M270" s="1036" t="s">
        <v>828</v>
      </c>
      <c r="N270" s="1036"/>
      <c r="O270" s="1038"/>
      <c r="P270" s="434"/>
    </row>
    <row r="271" spans="5:16" ht="29" x14ac:dyDescent="0.25">
      <c r="E271" s="1044" t="str" cm="1">
        <f t="array" ref="E271">INDEX(K271:O271, , F$2)</f>
        <v>Lender cashflows after interest withholding tax</v>
      </c>
      <c r="J271" s="434"/>
      <c r="K271" s="1036" t="s">
        <v>829</v>
      </c>
      <c r="L271" s="1041" t="s">
        <v>830</v>
      </c>
      <c r="M271" s="1036" t="s">
        <v>831</v>
      </c>
      <c r="N271" s="1036"/>
      <c r="O271" s="1038"/>
      <c r="P271" s="434"/>
    </row>
    <row r="272" spans="5:16" x14ac:dyDescent="0.25">
      <c r="E272" s="1044" t="str" cm="1">
        <f t="array" ref="E272">INDEX(K272:O272, , F$2)</f>
        <v>Loan IRR: Lender</v>
      </c>
      <c r="J272" s="434"/>
      <c r="K272" s="1036" t="s">
        <v>832</v>
      </c>
      <c r="L272" s="1041" t="s">
        <v>833</v>
      </c>
      <c r="M272" s="1036" t="s">
        <v>834</v>
      </c>
      <c r="N272" s="1036"/>
      <c r="O272" s="1038"/>
      <c r="P272" s="434"/>
    </row>
    <row r="273" spans="5:16" x14ac:dyDescent="0.25">
      <c r="E273" s="1044" t="str" cm="1">
        <f t="array" ref="E273">INDEX(K273:O273, , F$2)</f>
        <v>Interest capitalized into development costs</v>
      </c>
      <c r="J273" s="434"/>
      <c r="K273" s="1036" t="s">
        <v>835</v>
      </c>
      <c r="L273" s="1053" t="s">
        <v>836</v>
      </c>
      <c r="M273" s="1036" t="s">
        <v>837</v>
      </c>
      <c r="N273" s="1036"/>
      <c r="O273" s="1038"/>
      <c r="P273" s="434"/>
    </row>
    <row r="274" spans="5:16" x14ac:dyDescent="0.25">
      <c r="E274" s="1044" t="str" cm="1">
        <f t="array" ref="E274">INDEX(K274:O274, , F$2)</f>
        <v>Interest expensed</v>
      </c>
      <c r="J274" s="434"/>
      <c r="K274" s="1036" t="s">
        <v>838</v>
      </c>
      <c r="L274" s="1053" t="s">
        <v>839</v>
      </c>
      <c r="M274" s="1036" t="s">
        <v>840</v>
      </c>
      <c r="N274" s="1036"/>
      <c r="O274" s="1038"/>
      <c r="P274" s="434"/>
    </row>
    <row r="275" spans="5:16" x14ac:dyDescent="0.25">
      <c r="E275" s="1044" t="str" cm="1">
        <f t="array" ref="E275">INDEX(K275:O275, , F$2)</f>
        <v>Interest allocation</v>
      </c>
      <c r="J275" s="434"/>
      <c r="K275" s="1036" t="s">
        <v>841</v>
      </c>
      <c r="L275" s="1041" t="s">
        <v>842</v>
      </c>
      <c r="M275" s="1036" t="s">
        <v>843</v>
      </c>
      <c r="N275" s="1036"/>
      <c r="O275" s="1038"/>
      <c r="P275" s="434"/>
    </row>
    <row r="276" spans="5:16" x14ac:dyDescent="0.25">
      <c r="E276" s="1044" t="str" cm="1">
        <f t="array" ref="E276">INDEX(K276:O276, , F$2)</f>
        <v>Proportion of loan attributed to SOC</v>
      </c>
      <c r="J276" s="434"/>
      <c r="K276" s="1036" t="s">
        <v>844</v>
      </c>
      <c r="L276" s="1053" t="s">
        <v>845</v>
      </c>
      <c r="M276" s="1036" t="s">
        <v>846</v>
      </c>
      <c r="N276" s="1036"/>
      <c r="O276" s="1038"/>
      <c r="P276" s="434"/>
    </row>
    <row r="277" spans="5:16" x14ac:dyDescent="0.25">
      <c r="E277" s="1044" t="str" cm="1">
        <f t="array" ref="E277">INDEX(K277:O277, , F$2)</f>
        <v>SOC loan cash flows</v>
      </c>
      <c r="J277" s="434"/>
      <c r="K277" s="1036" t="s">
        <v>847</v>
      </c>
      <c r="L277" s="1053" t="s">
        <v>848</v>
      </c>
      <c r="M277" s="1036" t="s">
        <v>849</v>
      </c>
      <c r="N277" s="1036"/>
      <c r="O277" s="1038"/>
      <c r="P277" s="434"/>
    </row>
    <row r="278" spans="5:16" x14ac:dyDescent="0.25">
      <c r="E278" s="1044" t="str" cm="1">
        <f t="array" ref="E278">INDEX(K278:O278, , F$2)</f>
        <v>IOC loan cash flows</v>
      </c>
      <c r="J278" s="434"/>
      <c r="K278" s="1036" t="s">
        <v>850</v>
      </c>
      <c r="L278" s="1053" t="s">
        <v>851</v>
      </c>
      <c r="M278" s="1036" t="s">
        <v>852</v>
      </c>
      <c r="N278" s="1036"/>
      <c r="O278" s="1038"/>
      <c r="P278" s="434"/>
    </row>
    <row r="279" spans="5:16" x14ac:dyDescent="0.25">
      <c r="E279" s="1044" t="str" cm="1">
        <f t="array" ref="E279">INDEX(K279:O279, , F$2)</f>
        <v>Loan cashflows allocation</v>
      </c>
      <c r="J279" s="434"/>
      <c r="K279" s="1036" t="s">
        <v>853</v>
      </c>
      <c r="L279" s="1053" t="s">
        <v>854</v>
      </c>
      <c r="M279" s="1036" t="s">
        <v>855</v>
      </c>
      <c r="N279" s="1036"/>
      <c r="O279" s="1038"/>
      <c r="P279" s="434"/>
    </row>
    <row r="280" spans="5:16" x14ac:dyDescent="0.25">
      <c r="E280" s="1044" t="str" cm="1">
        <f t="array" ref="E280">INDEX(K280:O280, , F$2)</f>
        <v>Tax &amp; royalty regime</v>
      </c>
      <c r="J280" s="434"/>
      <c r="K280" s="1036" t="s">
        <v>856</v>
      </c>
      <c r="L280" s="1041" t="s">
        <v>857</v>
      </c>
      <c r="M280" s="1036" t="s">
        <v>858</v>
      </c>
      <c r="N280" s="1036"/>
      <c r="O280" s="1038"/>
      <c r="P280" s="434"/>
    </row>
    <row r="281" spans="5:16" x14ac:dyDescent="0.25">
      <c r="E281" s="1044" t="str" cm="1">
        <f t="array" ref="E281">INDEX(K281:O281, , F$2)</f>
        <v>Production Sharing Contract regime</v>
      </c>
      <c r="J281" s="434"/>
      <c r="K281" s="1036" t="s">
        <v>859</v>
      </c>
      <c r="L281" s="1041" t="s">
        <v>860</v>
      </c>
      <c r="M281" s="1036" t="s">
        <v>861</v>
      </c>
      <c r="N281" s="1036"/>
      <c r="O281" s="1038"/>
      <c r="P281" s="434"/>
    </row>
    <row r="282" spans="5:16" x14ac:dyDescent="0.25">
      <c r="E282" s="1044" t="str" cm="1">
        <f t="array" ref="E282">INDEX(K282:O282, , F$2)</f>
        <v>Tax &amp; Royalty regime active = 1</v>
      </c>
      <c r="J282" s="434"/>
      <c r="K282" s="1036" t="s">
        <v>862</v>
      </c>
      <c r="L282" s="1041" t="s">
        <v>863</v>
      </c>
      <c r="M282" s="1036" t="s">
        <v>864</v>
      </c>
      <c r="N282" s="1036"/>
      <c r="O282" s="1038"/>
      <c r="P282" s="434"/>
    </row>
    <row r="283" spans="5:16" x14ac:dyDescent="0.25">
      <c r="E283" s="1044" t="str" cm="1">
        <f t="array" ref="E283">INDEX(K283:O283, , F$2)</f>
        <v>PSC regime active = 1</v>
      </c>
      <c r="J283" s="434"/>
      <c r="K283" s="1036" t="s">
        <v>865</v>
      </c>
      <c r="L283" s="1041" t="s">
        <v>866</v>
      </c>
      <c r="M283" s="1036" t="s">
        <v>867</v>
      </c>
      <c r="N283" s="1036"/>
      <c r="O283" s="1038"/>
      <c r="P283" s="434"/>
    </row>
    <row r="284" spans="5:16" ht="29" x14ac:dyDescent="0.25">
      <c r="E284" s="1044" t="str" cm="1">
        <f t="array" ref="E284">INDEX(K284:O284, , F$2)</f>
        <v>T&amp;R: Share of gross revenue to SOC</v>
      </c>
      <c r="J284" s="434"/>
      <c r="K284" s="1036" t="s">
        <v>868</v>
      </c>
      <c r="L284" s="1053" t="s">
        <v>869</v>
      </c>
      <c r="M284" s="1036" t="s">
        <v>870</v>
      </c>
      <c r="N284" s="1036"/>
      <c r="O284" s="1038"/>
      <c r="P284" s="434"/>
    </row>
    <row r="285" spans="5:16" ht="29" x14ac:dyDescent="0.25">
      <c r="E285" s="1044" t="str" cm="1">
        <f t="array" ref="E285">INDEX(K285:O285, , F$2)</f>
        <v>T&amp;R: Share of gross revenue to IOC</v>
      </c>
      <c r="J285" s="434"/>
      <c r="K285" s="1036" t="s">
        <v>871</v>
      </c>
      <c r="L285" s="1053" t="s">
        <v>872</v>
      </c>
      <c r="M285" s="1036" t="s">
        <v>873</v>
      </c>
      <c r="N285" s="1036"/>
      <c r="O285" s="1038"/>
      <c r="P285" s="434"/>
    </row>
    <row r="286" spans="5:16" ht="29" x14ac:dyDescent="0.25">
      <c r="E286" s="1044" t="str" cm="1">
        <f t="array" ref="E286">INDEX(K286:O286, , F$2)</f>
        <v>T&amp;R: Share of net revenue after royalty to SOC</v>
      </c>
      <c r="J286" s="434"/>
      <c r="K286" s="1036" t="s">
        <v>874</v>
      </c>
      <c r="L286" s="1053" t="s">
        <v>875</v>
      </c>
      <c r="M286" s="1036" t="s">
        <v>876</v>
      </c>
      <c r="N286" s="1036"/>
      <c r="O286" s="1038"/>
      <c r="P286" s="434"/>
    </row>
    <row r="287" spans="5:16" ht="29" x14ac:dyDescent="0.25">
      <c r="E287" s="1044" t="str" cm="1">
        <f t="array" ref="E287">INDEX(K287:O287, , F$2)</f>
        <v>T&amp;R: Share of net revenue after royalty to IOC</v>
      </c>
      <c r="J287" s="434"/>
      <c r="K287" s="1036" t="s">
        <v>877</v>
      </c>
      <c r="L287" s="1053" t="s">
        <v>878</v>
      </c>
      <c r="M287" s="1036" t="s">
        <v>879</v>
      </c>
      <c r="N287" s="1036"/>
      <c r="O287" s="1038"/>
      <c r="P287" s="434"/>
    </row>
    <row r="288" spans="5:16" ht="29" x14ac:dyDescent="0.25">
      <c r="E288" s="1044" t="str" cm="1">
        <f t="array" ref="E288">INDEX(K288:O288, , F$2)</f>
        <v>Revenue allocation under T&amp;R regime</v>
      </c>
      <c r="J288" s="434"/>
      <c r="K288" s="1036" t="s">
        <v>880</v>
      </c>
      <c r="L288" s="1053" t="s">
        <v>881</v>
      </c>
      <c r="M288" s="1036" t="s">
        <v>882</v>
      </c>
      <c r="N288" s="1036"/>
      <c r="O288" s="1038"/>
      <c r="P288" s="434"/>
    </row>
    <row r="289" spans="5:16" ht="29" x14ac:dyDescent="0.25">
      <c r="E289" s="1044" t="str" cm="1">
        <f t="array" ref="E289">INDEX(K289:O289, , F$2)</f>
        <v>Development and replacement capital costs into cost recovery</v>
      </c>
      <c r="J289" s="434"/>
      <c r="K289" s="1036" t="s">
        <v>883</v>
      </c>
      <c r="L289" s="1053" t="s">
        <v>884</v>
      </c>
      <c r="M289" s="1036" t="s">
        <v>885</v>
      </c>
      <c r="N289" s="1036"/>
      <c r="O289" s="1038"/>
      <c r="P289" s="434"/>
    </row>
    <row r="290" spans="5:16" ht="29" x14ac:dyDescent="0.25">
      <c r="E290" s="1044" t="str" cm="1">
        <f t="array" ref="E290">INDEX(K290:O290, , F$2)</f>
        <v>Other costs directly into cost recovery</v>
      </c>
      <c r="J290" s="434"/>
      <c r="K290" s="1036" t="s">
        <v>886</v>
      </c>
      <c r="L290" s="1053" t="s">
        <v>887</v>
      </c>
      <c r="M290" s="1036" t="s">
        <v>888</v>
      </c>
      <c r="N290" s="1036"/>
      <c r="O290" s="1038"/>
      <c r="P290" s="434"/>
    </row>
    <row r="291" spans="5:16" x14ac:dyDescent="0.25">
      <c r="E291" s="1044" t="str" cm="1">
        <f t="array" ref="E291">INDEX(K291:O291, , F$2)</f>
        <v>Costs into cost recovery</v>
      </c>
      <c r="J291" s="434"/>
      <c r="K291" s="1036" t="s">
        <v>889</v>
      </c>
      <c r="L291" s="1053" t="s">
        <v>890</v>
      </c>
      <c r="M291" s="1036" t="s">
        <v>891</v>
      </c>
      <c r="N291" s="1036"/>
      <c r="O291" s="1038"/>
      <c r="P291" s="434"/>
    </row>
    <row r="292" spans="5:16" x14ac:dyDescent="0.25">
      <c r="E292" s="1044" t="str" cm="1">
        <f t="array" ref="E292">INDEX(K292:O292, , F$2)</f>
        <v>Revenues available for cost recovery</v>
      </c>
      <c r="J292" s="434"/>
      <c r="K292" s="1036" t="s">
        <v>892</v>
      </c>
      <c r="L292" s="1053" t="s">
        <v>893</v>
      </c>
      <c r="M292" s="1036" t="s">
        <v>894</v>
      </c>
      <c r="N292" s="1036"/>
      <c r="O292" s="1038"/>
      <c r="P292" s="434"/>
    </row>
    <row r="293" spans="5:16" x14ac:dyDescent="0.25">
      <c r="E293" s="1044" t="str" cm="1">
        <f t="array" ref="E293">INDEX(K293:O293, , F$2)</f>
        <v>Uplift applicable</v>
      </c>
      <c r="J293" s="434"/>
      <c r="K293" s="1036" t="s">
        <v>895</v>
      </c>
      <c r="L293" s="1053" t="s">
        <v>896</v>
      </c>
      <c r="M293" s="1036" t="s">
        <v>897</v>
      </c>
      <c r="N293" s="1036"/>
      <c r="O293" s="1038"/>
      <c r="P293" s="434"/>
    </row>
    <row r="294" spans="5:16" ht="29" x14ac:dyDescent="0.25">
      <c r="E294" s="1044" t="str" cm="1">
        <f t="array" ref="E294">INDEX(K294:O294, , F$2)</f>
        <v>Recoverable costs opening balance: BEG</v>
      </c>
      <c r="J294" s="434"/>
      <c r="K294" s="1036" t="s">
        <v>898</v>
      </c>
      <c r="L294" s="1053" t="s">
        <v>899</v>
      </c>
      <c r="M294" s="1036" t="s">
        <v>900</v>
      </c>
      <c r="N294" s="1036"/>
      <c r="O294" s="1038"/>
      <c r="P294" s="434"/>
    </row>
    <row r="295" spans="5:16" x14ac:dyDescent="0.25">
      <c r="E295" s="1044" t="str" cm="1">
        <f t="array" ref="E295">INDEX(K295:O295, , F$2)</f>
        <v>Uplift on unrecovered costs</v>
      </c>
      <c r="J295" s="434"/>
      <c r="K295" s="1036" t="s">
        <v>901</v>
      </c>
      <c r="L295" s="1053" t="s">
        <v>902</v>
      </c>
      <c r="M295" s="1036" t="s">
        <v>903</v>
      </c>
      <c r="N295" s="1036"/>
      <c r="O295" s="1038"/>
      <c r="P295" s="434"/>
    </row>
    <row r="296" spans="5:16" x14ac:dyDescent="0.25">
      <c r="E296" s="1044" t="str" cm="1">
        <f t="array" ref="E296">INDEX(K296:O296, , F$2)</f>
        <v>Balance of costs to be recovered</v>
      </c>
      <c r="J296" s="434"/>
      <c r="K296" s="1036" t="s">
        <v>904</v>
      </c>
      <c r="L296" s="1053" t="s">
        <v>905</v>
      </c>
      <c r="M296" s="1036" t="s">
        <v>906</v>
      </c>
      <c r="N296" s="1036"/>
      <c r="O296" s="1038"/>
      <c r="P296" s="434"/>
    </row>
    <row r="297" spans="5:16" x14ac:dyDescent="0.25">
      <c r="E297" s="1044" t="str" cm="1">
        <f t="array" ref="E297">INDEX(K297:O297, , F$2)</f>
        <v>PSC: Costs recovered (cost oil)</v>
      </c>
      <c r="J297" s="434"/>
      <c r="K297" s="1036" t="s">
        <v>907</v>
      </c>
      <c r="L297" s="1053" t="s">
        <v>908</v>
      </c>
      <c r="M297" s="1036" t="s">
        <v>909</v>
      </c>
      <c r="N297" s="1036"/>
      <c r="O297" s="1038"/>
      <c r="P297" s="434"/>
    </row>
    <row r="298" spans="5:16" x14ac:dyDescent="0.25">
      <c r="E298" s="1044" t="str" cm="1">
        <f t="array" ref="E298">INDEX(K298:O298, , F$2)</f>
        <v>Recoverable costs closing balance: END</v>
      </c>
      <c r="J298" s="434"/>
      <c r="K298" s="1036" t="s">
        <v>910</v>
      </c>
      <c r="L298" s="1053" t="s">
        <v>911</v>
      </c>
      <c r="M298" s="1036" t="s">
        <v>912</v>
      </c>
      <c r="N298" s="1036"/>
      <c r="O298" s="1038"/>
      <c r="P298" s="434"/>
    </row>
    <row r="299" spans="5:16" x14ac:dyDescent="0.25">
      <c r="E299" s="1044" t="str" cm="1">
        <f t="array" ref="E299">INDEX(K299:O299, , F$2)</f>
        <v>Unrecovered costs at end of project</v>
      </c>
      <c r="J299" s="434"/>
      <c r="K299" s="1036" t="s">
        <v>913</v>
      </c>
      <c r="L299" s="1053" t="s">
        <v>914</v>
      </c>
      <c r="M299" s="1036" t="s">
        <v>915</v>
      </c>
      <c r="N299" s="1036"/>
      <c r="O299" s="1038"/>
      <c r="P299" s="434"/>
    </row>
    <row r="300" spans="5:16" x14ac:dyDescent="0.25">
      <c r="E300" s="1044" t="str" cm="1">
        <f t="array" ref="E300">INDEX(K300:O300, , F$2)</f>
        <v>Cost recovery</v>
      </c>
      <c r="J300" s="434"/>
      <c r="K300" s="1036" t="s">
        <v>916</v>
      </c>
      <c r="L300" s="1053" t="s">
        <v>917</v>
      </c>
      <c r="M300" s="1036" t="s">
        <v>918</v>
      </c>
      <c r="N300" s="1036"/>
      <c r="O300" s="1038"/>
      <c r="P300" s="434"/>
    </row>
    <row r="301" spans="5:16" x14ac:dyDescent="0.25">
      <c r="E301" s="1044" t="str" cm="1">
        <f t="array" ref="E301">INDEX(K301:O301, , F$2)</f>
        <v>PSC: Profit oil</v>
      </c>
      <c r="J301" s="434"/>
      <c r="K301" s="1036" t="s">
        <v>919</v>
      </c>
      <c r="L301" s="1053" t="s">
        <v>920</v>
      </c>
      <c r="M301" s="1036" t="s">
        <v>921</v>
      </c>
      <c r="N301" s="1036"/>
      <c r="O301" s="1038"/>
      <c r="P301" s="434"/>
    </row>
    <row r="302" spans="5:16" x14ac:dyDescent="0.25">
      <c r="E302" s="1044" t="str" cm="1">
        <f t="array" ref="E302">INDEX(K302:O302, , F$2)</f>
        <v>PSC: Cost oil to SOC</v>
      </c>
      <c r="J302" s="434"/>
      <c r="K302" s="1036" t="s">
        <v>922</v>
      </c>
      <c r="L302" s="1053" t="s">
        <v>923</v>
      </c>
      <c r="M302" s="1036" t="s">
        <v>924</v>
      </c>
      <c r="N302" s="1036"/>
      <c r="O302" s="1038"/>
      <c r="P302" s="434"/>
    </row>
    <row r="303" spans="5:16" x14ac:dyDescent="0.25">
      <c r="E303" s="1044" t="str" cm="1">
        <f t="array" ref="E303">INDEX(K303:O303, , F$2)</f>
        <v>PSC: Cost oil to IOC</v>
      </c>
      <c r="J303" s="434"/>
      <c r="K303" s="1036" t="s">
        <v>925</v>
      </c>
      <c r="L303" s="1053" t="s">
        <v>926</v>
      </c>
      <c r="M303" s="1036" t="s">
        <v>927</v>
      </c>
      <c r="N303" s="1036"/>
      <c r="O303" s="1038"/>
      <c r="P303" s="434"/>
    </row>
    <row r="304" spans="5:16" x14ac:dyDescent="0.25">
      <c r="E304" s="1044" t="str" cm="1">
        <f t="array" ref="E304">INDEX(K304:O304, , F$2)</f>
        <v>DROP tier 5</v>
      </c>
      <c r="J304" s="434"/>
      <c r="K304" s="1036" t="s">
        <v>928</v>
      </c>
      <c r="L304" s="1041" t="s">
        <v>929</v>
      </c>
      <c r="M304" s="1036" t="s">
        <v>930</v>
      </c>
      <c r="N304" s="1036"/>
      <c r="O304" s="1038"/>
      <c r="P304" s="434"/>
    </row>
    <row r="305" spans="5:16" x14ac:dyDescent="0.25">
      <c r="E305" s="1044" t="str" cm="1">
        <f t="array" ref="E305">INDEX(K305:O305, , F$2)</f>
        <v>DROP tier allocation</v>
      </c>
      <c r="J305" s="434"/>
      <c r="K305" s="1036" t="s">
        <v>931</v>
      </c>
      <c r="L305" s="1041" t="s">
        <v>932</v>
      </c>
      <c r="M305" s="1036" t="s">
        <v>933</v>
      </c>
      <c r="N305" s="1036"/>
      <c r="O305" s="1038"/>
      <c r="P305" s="434"/>
    </row>
    <row r="306" spans="5:16" x14ac:dyDescent="0.25">
      <c r="E306" s="1044" t="str" cm="1">
        <f t="array" ref="E306">INDEX(K306:O306, , F$2)</f>
        <v>Contractor net revenue</v>
      </c>
      <c r="J306" s="434"/>
      <c r="K306" s="1036" t="s">
        <v>934</v>
      </c>
      <c r="L306" s="1041" t="s">
        <v>935</v>
      </c>
      <c r="M306" s="1036" t="s">
        <v>936</v>
      </c>
      <c r="N306" s="1036"/>
      <c r="O306" s="1038"/>
      <c r="P306" s="434"/>
    </row>
    <row r="307" spans="5:16" x14ac:dyDescent="0.25">
      <c r="E307" s="1044" t="str" cm="1">
        <f t="array" ref="E307">INDEX(K307:O307, , F$2)</f>
        <v>Investment</v>
      </c>
      <c r="J307" s="434"/>
      <c r="K307" s="1036" t="s">
        <v>937</v>
      </c>
      <c r="L307" s="1041" t="s">
        <v>938</v>
      </c>
      <c r="M307" s="1036" t="s">
        <v>939</v>
      </c>
      <c r="N307" s="1036"/>
      <c r="O307" s="1038"/>
      <c r="P307" s="434"/>
    </row>
    <row r="308" spans="5:16" x14ac:dyDescent="0.25">
      <c r="E308" s="1044" t="str" cm="1">
        <f t="array" ref="E308">INDEX(K308:O308, , F$2)</f>
        <v>R-Factor</v>
      </c>
      <c r="J308" s="434"/>
      <c r="K308" s="1036" t="s">
        <v>47</v>
      </c>
      <c r="L308" s="1053" t="s">
        <v>940</v>
      </c>
      <c r="M308" s="1036" t="s">
        <v>941</v>
      </c>
      <c r="N308" s="1036"/>
      <c r="O308" s="1038"/>
      <c r="P308" s="434"/>
    </row>
    <row r="309" spans="5:16" x14ac:dyDescent="0.25">
      <c r="E309" s="1044" t="str" cm="1">
        <f t="array" ref="E309">INDEX(K309:O309, , F$2)</f>
        <v>R-Factor (previous period)</v>
      </c>
      <c r="J309" s="434"/>
      <c r="K309" s="1036" t="s">
        <v>942</v>
      </c>
      <c r="L309" s="1053" t="s">
        <v>943</v>
      </c>
      <c r="M309" s="1036" t="s">
        <v>944</v>
      </c>
      <c r="N309" s="1036"/>
      <c r="O309" s="1038"/>
      <c r="P309" s="434"/>
    </row>
    <row r="310" spans="5:16" x14ac:dyDescent="0.25">
      <c r="E310" s="1044" t="str" cm="1">
        <f t="array" ref="E310">INDEX(K310:O310, , F$2)</f>
        <v>Sum of R-Factor tiers</v>
      </c>
      <c r="J310" s="434"/>
      <c r="K310" s="1036" t="s">
        <v>945</v>
      </c>
      <c r="L310" s="1041" t="s">
        <v>946</v>
      </c>
      <c r="M310" s="1036" t="s">
        <v>947</v>
      </c>
      <c r="N310" s="1036"/>
      <c r="O310" s="1038"/>
      <c r="P310" s="434"/>
    </row>
    <row r="311" spans="5:16" x14ac:dyDescent="0.25">
      <c r="E311" s="1044" t="str" cm="1">
        <f t="array" ref="E311">INDEX(K311:O311, , F$2)</f>
        <v>R-Factor tier allocation</v>
      </c>
      <c r="J311" s="434"/>
      <c r="K311" s="1036" t="s">
        <v>948</v>
      </c>
      <c r="L311" s="1041" t="s">
        <v>949</v>
      </c>
      <c r="M311" s="1036" t="s">
        <v>950</v>
      </c>
      <c r="N311" s="1036"/>
      <c r="O311" s="1038"/>
      <c r="P311" s="434"/>
    </row>
    <row r="312" spans="5:16" x14ac:dyDescent="0.25">
      <c r="E312" s="1044" t="str" cm="1">
        <f t="array" ref="E312">INDEX(K312:O312, , F$2)</f>
        <v>Other1</v>
      </c>
      <c r="J312" s="434"/>
      <c r="K312" s="1036" t="s">
        <v>38</v>
      </c>
      <c r="L312" s="1041" t="s">
        <v>951</v>
      </c>
      <c r="M312" s="1036" t="s">
        <v>952</v>
      </c>
      <c r="N312" s="1036"/>
      <c r="O312" s="1038"/>
      <c r="P312" s="434"/>
    </row>
    <row r="313" spans="5:16" x14ac:dyDescent="0.25">
      <c r="E313" s="1044" t="str" cm="1">
        <f t="array" ref="E313">INDEX(K313:O313, , F$2)</f>
        <v>Other2</v>
      </c>
      <c r="J313" s="434"/>
      <c r="K313" s="1036" t="s">
        <v>39</v>
      </c>
      <c r="L313" s="1041" t="s">
        <v>953</v>
      </c>
      <c r="M313" s="1036" t="s">
        <v>954</v>
      </c>
      <c r="N313" s="1036"/>
      <c r="O313" s="1038"/>
      <c r="P313" s="434"/>
    </row>
    <row r="314" spans="5:16" x14ac:dyDescent="0.25">
      <c r="E314" s="1044" t="str" cm="1">
        <f t="array" ref="E314">INDEX(K314:O314, , F$2)</f>
        <v>Joint venture share</v>
      </c>
      <c r="J314" s="434"/>
      <c r="K314" s="1036" t="s">
        <v>955</v>
      </c>
      <c r="L314" s="1053" t="s">
        <v>956</v>
      </c>
      <c r="M314" s="1036" t="s">
        <v>957</v>
      </c>
      <c r="N314" s="1036"/>
      <c r="O314" s="1038"/>
      <c r="P314" s="434"/>
    </row>
    <row r="315" spans="5:16" x14ac:dyDescent="0.25">
      <c r="E315" s="1044" t="str" cm="1">
        <f t="array" ref="E315">INDEX(K315:O315, , F$2)</f>
        <v>PSC: Government profit oil</v>
      </c>
      <c r="J315" s="434"/>
      <c r="K315" s="1036" t="s">
        <v>958</v>
      </c>
      <c r="L315" s="1053" t="s">
        <v>959</v>
      </c>
      <c r="M315" s="1036" t="s">
        <v>960</v>
      </c>
      <c r="N315" s="1036"/>
      <c r="O315" s="1038"/>
      <c r="P315" s="434"/>
    </row>
    <row r="316" spans="5:16" x14ac:dyDescent="0.25">
      <c r="E316" s="1044" t="str" cm="1">
        <f t="array" ref="E316">INDEX(K316:O316, , F$2)</f>
        <v>Joint venture profit oil</v>
      </c>
      <c r="J316" s="434"/>
      <c r="K316" s="1036" t="s">
        <v>961</v>
      </c>
      <c r="L316" s="1053" t="s">
        <v>962</v>
      </c>
      <c r="M316" s="1036" t="s">
        <v>963</v>
      </c>
      <c r="N316" s="1036"/>
      <c r="O316" s="1038"/>
      <c r="P316" s="434"/>
    </row>
    <row r="317" spans="5:16" ht="29" x14ac:dyDescent="0.25">
      <c r="E317" s="1044" t="str" cm="1">
        <f t="array" ref="E317">INDEX(K317:O317, , F$2)</f>
        <v>Weighted average government share profit oil</v>
      </c>
      <c r="J317" s="434"/>
      <c r="K317" s="1036" t="s">
        <v>964</v>
      </c>
      <c r="L317" s="1053" t="s">
        <v>965</v>
      </c>
      <c r="M317" s="1036" t="s">
        <v>966</v>
      </c>
      <c r="N317" s="1036"/>
      <c r="O317" s="1038"/>
      <c r="P317" s="434"/>
    </row>
    <row r="318" spans="5:16" x14ac:dyDescent="0.25">
      <c r="E318" s="1044" t="str" cm="1">
        <f t="array" ref="E318">INDEX(K318:O318, , F$2)</f>
        <v>PSC: Profit oil to IOC</v>
      </c>
      <c r="J318" s="434"/>
      <c r="K318" s="1036" t="s">
        <v>967</v>
      </c>
      <c r="L318" s="1053" t="s">
        <v>968</v>
      </c>
      <c r="M318" s="1036" t="s">
        <v>969</v>
      </c>
      <c r="N318" s="1036"/>
      <c r="O318" s="1038"/>
      <c r="P318" s="434"/>
    </row>
    <row r="319" spans="5:16" x14ac:dyDescent="0.25">
      <c r="E319" s="1044" t="str" cm="1">
        <f t="array" ref="E319">INDEX(K319:O319, , F$2)</f>
        <v>PSC: Profit oil to SOC</v>
      </c>
      <c r="J319" s="434"/>
      <c r="K319" s="1036" t="s">
        <v>970</v>
      </c>
      <c r="L319" s="1053" t="s">
        <v>971</v>
      </c>
      <c r="M319" s="1036" t="s">
        <v>972</v>
      </c>
      <c r="N319" s="1036"/>
      <c r="O319" s="1038"/>
      <c r="P319" s="434"/>
    </row>
    <row r="320" spans="5:16" x14ac:dyDescent="0.25">
      <c r="E320" s="1044" t="str" cm="1">
        <f t="array" ref="E320">INDEX(K320:O320, , F$2)</f>
        <v>SOC share of revenues</v>
      </c>
      <c r="J320" s="434"/>
      <c r="K320" s="1036" t="s">
        <v>973</v>
      </c>
      <c r="L320" s="1053" t="s">
        <v>974</v>
      </c>
      <c r="M320" s="1036" t="s">
        <v>975</v>
      </c>
      <c r="N320" s="1036"/>
      <c r="O320" s="1038"/>
      <c r="P320" s="434"/>
    </row>
    <row r="321" spans="5:16" x14ac:dyDescent="0.25">
      <c r="E321" s="1044" t="str" cm="1">
        <f t="array" ref="E321">INDEX(K321:O321, , F$2)</f>
        <v>IOC share of revenues</v>
      </c>
      <c r="J321" s="434"/>
      <c r="K321" s="1036" t="s">
        <v>976</v>
      </c>
      <c r="L321" s="1053" t="s">
        <v>977</v>
      </c>
      <c r="M321" s="1036" t="s">
        <v>978</v>
      </c>
      <c r="N321" s="1036"/>
      <c r="O321" s="1038"/>
      <c r="P321" s="434"/>
    </row>
    <row r="322" spans="5:16" x14ac:dyDescent="0.25">
      <c r="E322" s="1044" t="str" cm="1">
        <f t="array" ref="E322">INDEX(K322:O322, , F$2)</f>
        <v>Project costs for sharing between SOC and IOC</v>
      </c>
      <c r="J322" s="434"/>
      <c r="K322" s="1036" t="s">
        <v>979</v>
      </c>
      <c r="L322" s="1053" t="s">
        <v>980</v>
      </c>
      <c r="M322" s="1036" t="s">
        <v>981</v>
      </c>
      <c r="N322" s="1036"/>
      <c r="O322" s="1038"/>
      <c r="P322" s="434"/>
    </row>
    <row r="323" spans="5:16" x14ac:dyDescent="0.25">
      <c r="E323" s="1044" t="str" cm="1">
        <f t="array" ref="E323">INDEX(K323:O323, , F$2)</f>
        <v>Joint Venture</v>
      </c>
      <c r="J323" s="434"/>
      <c r="K323" s="1036" t="s">
        <v>982</v>
      </c>
      <c r="L323" s="1053" t="s">
        <v>983</v>
      </c>
      <c r="M323" s="1036" t="s">
        <v>984</v>
      </c>
      <c r="N323" s="1036"/>
      <c r="O323" s="1038"/>
      <c r="P323" s="434"/>
    </row>
    <row r="324" spans="5:16" x14ac:dyDescent="0.25">
      <c r="E324" s="1044" t="str" cm="1">
        <f t="array" ref="E324">INDEX(K324:O324, , F$2)</f>
        <v>JV</v>
      </c>
      <c r="J324" s="434"/>
      <c r="K324" s="1036" t="s">
        <v>985</v>
      </c>
      <c r="L324" s="1053" t="s">
        <v>985</v>
      </c>
      <c r="M324" s="1036" t="s">
        <v>986</v>
      </c>
      <c r="N324" s="1036"/>
      <c r="O324" s="1038"/>
      <c r="P324" s="434"/>
    </row>
    <row r="325" spans="5:16" x14ac:dyDescent="0.25">
      <c r="E325" s="1044" t="str" cm="1">
        <f t="array" ref="E325">INDEX(K325:O325, , F$2)</f>
        <v>Costs allocated to SOC (JV cashcalls)</v>
      </c>
      <c r="J325" s="434"/>
      <c r="K325" s="1036" t="s">
        <v>987</v>
      </c>
      <c r="L325" s="1053" t="s">
        <v>988</v>
      </c>
      <c r="M325" s="1036" t="s">
        <v>989</v>
      </c>
      <c r="N325" s="1036"/>
      <c r="O325" s="1038"/>
      <c r="P325" s="434"/>
    </row>
    <row r="326" spans="5:16" x14ac:dyDescent="0.25">
      <c r="E326" s="1044" t="str" cm="1">
        <f t="array" ref="E326">INDEX(K326:O326, , F$2)</f>
        <v>Costs allocated to IOC (JV cashcalls)</v>
      </c>
      <c r="J326" s="434"/>
      <c r="K326" s="1036" t="s">
        <v>990</v>
      </c>
      <c r="L326" s="1053" t="s">
        <v>991</v>
      </c>
      <c r="M326" s="1036" t="s">
        <v>992</v>
      </c>
      <c r="N326" s="1036"/>
      <c r="O326" s="1038"/>
      <c r="P326" s="434"/>
    </row>
    <row r="327" spans="5:16" x14ac:dyDescent="0.25">
      <c r="E327" s="1044" t="str" cm="1">
        <f t="array" ref="E327">INDEX(K327:O327, , F$2)</f>
        <v>JV cost allocation</v>
      </c>
      <c r="J327" s="434"/>
      <c r="K327" s="1036" t="s">
        <v>993</v>
      </c>
      <c r="L327" s="1053" t="s">
        <v>994</v>
      </c>
      <c r="M327" s="1036" t="s">
        <v>995</v>
      </c>
      <c r="N327" s="1036"/>
      <c r="O327" s="1038"/>
      <c r="P327" s="434"/>
    </row>
    <row r="328" spans="5:16" x14ac:dyDescent="0.25">
      <c r="E328" s="1044" t="str" cm="1">
        <f t="array" ref="E328">INDEX(K328:O328, , F$2)</f>
        <v>Capitalized costs: IOC</v>
      </c>
      <c r="J328" s="434"/>
      <c r="K328" s="1036" t="s">
        <v>996</v>
      </c>
      <c r="L328" s="1041" t="s">
        <v>997</v>
      </c>
      <c r="M328" s="1036" t="s">
        <v>998</v>
      </c>
      <c r="N328" s="1036"/>
      <c r="O328" s="1038"/>
      <c r="P328" s="434"/>
    </row>
    <row r="329" spans="5:16" x14ac:dyDescent="0.25">
      <c r="E329" s="1044" t="str" cm="1">
        <f t="array" ref="E329">INDEX(K329:O329, , F$2)</f>
        <v>Capitalized costs excluding interest</v>
      </c>
      <c r="J329" s="434"/>
      <c r="K329" s="1036" t="s">
        <v>999</v>
      </c>
      <c r="L329" s="1041" t="s">
        <v>1000</v>
      </c>
      <c r="M329" s="1036" t="s">
        <v>1001</v>
      </c>
      <c r="N329" s="1036"/>
      <c r="O329" s="1038"/>
      <c r="P329" s="434"/>
    </row>
    <row r="330" spans="5:16" ht="29" x14ac:dyDescent="0.25">
      <c r="E330" s="1044" t="str" cm="1">
        <f t="array" ref="E330">INDEX(K330:O330, , F$2)</f>
        <v>Capitalized costs accumulated till production starts</v>
      </c>
      <c r="J330" s="434"/>
      <c r="K330" s="1036" t="s">
        <v>1002</v>
      </c>
      <c r="L330" s="1053" t="s">
        <v>1003</v>
      </c>
      <c r="M330" s="1036" t="s">
        <v>1004</v>
      </c>
      <c r="N330" s="1036"/>
      <c r="O330" s="1038"/>
      <c r="P330" s="434"/>
    </row>
    <row r="331" spans="5:16" x14ac:dyDescent="0.25">
      <c r="E331" s="1044" t="str" cm="1">
        <f t="array" ref="E331">INDEX(K331:O331, , F$2)</f>
        <v>Cumulative depreciation years</v>
      </c>
      <c r="J331" s="434"/>
      <c r="K331" s="1036" t="s">
        <v>1005</v>
      </c>
      <c r="L331" s="1041" t="s">
        <v>1006</v>
      </c>
      <c r="M331" s="1036" t="s">
        <v>1007</v>
      </c>
      <c r="N331" s="1036"/>
      <c r="O331" s="1038"/>
      <c r="P331" s="434"/>
    </row>
    <row r="332" spans="5:16" x14ac:dyDescent="0.25">
      <c r="E332" s="1044" t="str" cm="1">
        <f t="array" ref="E332">INDEX(K332:O332, , F$2)</f>
        <v>Remaining depreciation years</v>
      </c>
      <c r="J332" s="434"/>
      <c r="K332" s="1036" t="s">
        <v>1008</v>
      </c>
      <c r="L332" s="1041" t="s">
        <v>1009</v>
      </c>
      <c r="M332" s="1036" t="s">
        <v>1010</v>
      </c>
      <c r="N332" s="1036"/>
      <c r="O332" s="1038"/>
      <c r="P332" s="434"/>
    </row>
    <row r="333" spans="5:16" x14ac:dyDescent="0.25">
      <c r="E333" s="1044" t="str" cm="1">
        <f t="array" ref="E333">INDEX(K333:O333, , F$2)</f>
        <v>Costs into depreciation</v>
      </c>
      <c r="J333" s="434"/>
      <c r="K333" s="1036" t="s">
        <v>1011</v>
      </c>
      <c r="L333" s="1053" t="s">
        <v>1012</v>
      </c>
      <c r="M333" s="1036" t="s">
        <v>1013</v>
      </c>
      <c r="N333" s="1036"/>
      <c r="O333" s="1038"/>
      <c r="P333" s="434"/>
    </row>
    <row r="334" spans="5:16" x14ac:dyDescent="0.25">
      <c r="E334" s="1044" t="str" cm="1">
        <f t="array" ref="E334">INDEX(K334:O334, , F$2)</f>
        <v>BEG</v>
      </c>
      <c r="J334" s="434"/>
      <c r="K334" s="1036" t="s">
        <v>1014</v>
      </c>
      <c r="L334" s="1041" t="s">
        <v>1015</v>
      </c>
      <c r="M334" s="1036" t="s">
        <v>1016</v>
      </c>
      <c r="N334" s="1036"/>
      <c r="O334" s="1038"/>
      <c r="P334" s="434"/>
    </row>
    <row r="335" spans="5:16" x14ac:dyDescent="0.25">
      <c r="E335" s="1044" t="str" cm="1">
        <f t="array" ref="E335">INDEX(K335:O335, , F$2)</f>
        <v>Beginning</v>
      </c>
      <c r="J335" s="434"/>
      <c r="K335" s="1036" t="s">
        <v>1017</v>
      </c>
      <c r="L335" s="1041" t="s">
        <v>1018</v>
      </c>
      <c r="M335" s="1036" t="s">
        <v>1019</v>
      </c>
      <c r="N335" s="1036"/>
      <c r="O335" s="1038"/>
      <c r="P335" s="434"/>
    </row>
    <row r="336" spans="5:16" x14ac:dyDescent="0.25">
      <c r="E336" s="1044" t="str" cm="1">
        <f t="array" ref="E336">INDEX(K336:O336, , F$2)</f>
        <v>Undepreciated costs: Opening balance BEG</v>
      </c>
      <c r="J336" s="434"/>
      <c r="K336" s="1036" t="s">
        <v>1020</v>
      </c>
      <c r="L336" s="1041" t="s">
        <v>1021</v>
      </c>
      <c r="M336" s="1036" t="s">
        <v>1022</v>
      </c>
      <c r="N336" s="1036"/>
      <c r="O336" s="1038"/>
      <c r="P336" s="434"/>
    </row>
    <row r="337" spans="5:16" ht="29" x14ac:dyDescent="0.25">
      <c r="E337" s="1044" t="str" cm="1">
        <f t="array" ref="E337">INDEX(K337:O337, , F$2)</f>
        <v>Cost base written off in final year of production</v>
      </c>
      <c r="J337" s="434"/>
      <c r="K337" s="1036" t="s">
        <v>1023</v>
      </c>
      <c r="L337" s="1053" t="s">
        <v>1024</v>
      </c>
      <c r="M337" s="1036" t="s">
        <v>1025</v>
      </c>
      <c r="N337" s="1036"/>
      <c r="O337" s="1038"/>
      <c r="P337" s="434"/>
    </row>
    <row r="338" spans="5:16" x14ac:dyDescent="0.25">
      <c r="E338" s="1044" t="str" cm="1">
        <f t="array" ref="E338">INDEX(K338:O338, , F$2)</f>
        <v>Cost base for depreciation</v>
      </c>
      <c r="J338" s="434"/>
      <c r="K338" s="1036" t="s">
        <v>1026</v>
      </c>
      <c r="L338" s="1053" t="s">
        <v>1027</v>
      </c>
      <c r="M338" s="1036" t="s">
        <v>1028</v>
      </c>
      <c r="N338" s="1036"/>
      <c r="O338" s="1038"/>
      <c r="P338" s="434"/>
    </row>
    <row r="339" spans="5:16" x14ac:dyDescent="0.25">
      <c r="E339" s="1044" t="str" cm="1">
        <f t="array" ref="E339">INDEX(K339:O339, , F$2)</f>
        <v>Straight-line depreciation charge</v>
      </c>
      <c r="J339" s="434"/>
      <c r="K339" s="1036" t="s">
        <v>1029</v>
      </c>
      <c r="L339" s="1041" t="s">
        <v>1030</v>
      </c>
      <c r="M339" s="1036" t="s">
        <v>1031</v>
      </c>
      <c r="N339" s="1036"/>
      <c r="O339" s="1038"/>
      <c r="P339" s="434"/>
    </row>
    <row r="340" spans="5:16" x14ac:dyDescent="0.25">
      <c r="E340" s="1044" t="str" cm="1">
        <f t="array" ref="E340">INDEX(K340:O340, , F$2)</f>
        <v>Capitalized costs fully depreciated</v>
      </c>
      <c r="J340" s="434"/>
      <c r="K340" s="1036" t="s">
        <v>1032</v>
      </c>
      <c r="L340" s="1041" t="s">
        <v>1033</v>
      </c>
      <c r="M340" s="1036" t="s">
        <v>1034</v>
      </c>
      <c r="N340" s="1036"/>
      <c r="O340" s="1038"/>
      <c r="P340" s="434"/>
    </row>
    <row r="341" spans="5:16" x14ac:dyDescent="0.25">
      <c r="E341" s="1044" t="str" cm="1">
        <f t="array" ref="E341">INDEX(K341:O341, , F$2)</f>
        <v>Balance of capitalized costs</v>
      </c>
      <c r="J341" s="434"/>
      <c r="K341" s="1036" t="s">
        <v>1035</v>
      </c>
      <c r="L341" s="1041" t="s">
        <v>1036</v>
      </c>
      <c r="M341" s="1036" t="s">
        <v>1037</v>
      </c>
      <c r="N341" s="1036"/>
      <c r="O341" s="1038"/>
      <c r="P341" s="434"/>
    </row>
    <row r="342" spans="5:16" x14ac:dyDescent="0.25">
      <c r="E342" s="1044" t="str" cm="1">
        <f t="array" ref="E342">INDEX(K342:O342, , F$2)</f>
        <v>Final year write-off</v>
      </c>
      <c r="J342" s="434"/>
      <c r="K342" s="1036" t="s">
        <v>1038</v>
      </c>
      <c r="L342" s="1041" t="s">
        <v>1039</v>
      </c>
      <c r="M342" s="1036" t="s">
        <v>1040</v>
      </c>
      <c r="N342" s="1036"/>
      <c r="O342" s="1038"/>
      <c r="P342" s="434"/>
    </row>
    <row r="343" spans="5:16" x14ac:dyDescent="0.25">
      <c r="E343" s="1044" t="str" cm="1">
        <f t="array" ref="E343">INDEX(K343:O343, , F$2)</f>
        <v>END</v>
      </c>
      <c r="J343" s="434"/>
      <c r="K343" s="1036" t="s">
        <v>1041</v>
      </c>
      <c r="L343" s="1041" t="s">
        <v>1042</v>
      </c>
      <c r="M343" s="1036" t="s">
        <v>1043</v>
      </c>
      <c r="N343" s="1036"/>
      <c r="O343" s="1038"/>
      <c r="P343" s="434"/>
    </row>
    <row r="344" spans="5:16" x14ac:dyDescent="0.25">
      <c r="E344" s="1044" t="str" cm="1">
        <f t="array" ref="E344">INDEX(K344:O344, , F$2)</f>
        <v xml:space="preserve">Tax depreciation charge IOC </v>
      </c>
      <c r="J344" s="434"/>
      <c r="K344" s="1036" t="s">
        <v>1044</v>
      </c>
      <c r="L344" s="1041" t="s">
        <v>1045</v>
      </c>
      <c r="M344" s="1036" t="s">
        <v>1046</v>
      </c>
      <c r="N344" s="1036"/>
      <c r="O344" s="1038"/>
      <c r="P344" s="434"/>
    </row>
    <row r="345" spans="5:16" x14ac:dyDescent="0.25">
      <c r="E345" s="1044" t="str" cm="1">
        <f t="array" ref="E345">INDEX(K345:O345, , F$2)</f>
        <v>Depreciation</v>
      </c>
      <c r="J345" s="434"/>
      <c r="K345" s="1036" t="s">
        <v>1047</v>
      </c>
      <c r="L345" s="1041" t="s">
        <v>1048</v>
      </c>
      <c r="M345" s="1036" t="s">
        <v>1049</v>
      </c>
      <c r="N345" s="1036"/>
      <c r="O345" s="1038"/>
      <c r="P345" s="434"/>
    </row>
    <row r="346" spans="5:16" x14ac:dyDescent="0.25">
      <c r="E346" s="1044" t="str" cm="1">
        <f t="array" ref="E346">INDEX(K346:O346, , F$2)</f>
        <v>IOC deductions</v>
      </c>
      <c r="J346" s="434"/>
      <c r="K346" s="1036" t="s">
        <v>1050</v>
      </c>
      <c r="L346" s="1041" t="s">
        <v>1051</v>
      </c>
      <c r="M346" s="1036" t="s">
        <v>1052</v>
      </c>
      <c r="N346" s="1036"/>
      <c r="O346" s="1038"/>
      <c r="P346" s="434"/>
    </row>
    <row r="347" spans="5:16" ht="29" x14ac:dyDescent="0.25">
      <c r="E347" s="1044" t="str" cm="1">
        <f t="array" ref="E347">INDEX(K347:O347, , F$2)</f>
        <v>Taxable income before prior period losses</v>
      </c>
      <c r="J347" s="434"/>
      <c r="K347" s="1036" t="s">
        <v>1053</v>
      </c>
      <c r="L347" s="1053" t="s">
        <v>1054</v>
      </c>
      <c r="M347" s="1036" t="s">
        <v>1055</v>
      </c>
      <c r="N347" s="1036"/>
      <c r="O347" s="1038"/>
      <c r="P347" s="434"/>
    </row>
    <row r="348" spans="5:16" x14ac:dyDescent="0.25">
      <c r="E348" s="1044" t="str" cm="1">
        <f t="array" ref="E348">INDEX(K348:O348, , F$2)</f>
        <v>Prior period losses carried forward</v>
      </c>
      <c r="J348" s="434"/>
      <c r="K348" s="1036" t="s">
        <v>1056</v>
      </c>
      <c r="L348" s="1041" t="s">
        <v>1057</v>
      </c>
      <c r="M348" s="1036" t="s">
        <v>1058</v>
      </c>
      <c r="N348" s="1036"/>
      <c r="O348" s="1038"/>
      <c r="P348" s="434"/>
    </row>
    <row r="349" spans="5:16" x14ac:dyDescent="0.25">
      <c r="E349" s="1044" t="str" cm="1">
        <f t="array" ref="E349">INDEX(K349:O349, , F$2)</f>
        <v>Taxable income after losses</v>
      </c>
      <c r="J349" s="434"/>
      <c r="K349" s="1036" t="s">
        <v>1059</v>
      </c>
      <c r="L349" s="1053" t="s">
        <v>1060</v>
      </c>
      <c r="M349" s="1036" t="s">
        <v>1061</v>
      </c>
      <c r="N349" s="1036"/>
      <c r="O349" s="1038"/>
      <c r="P349" s="434"/>
    </row>
    <row r="350" spans="5:16" x14ac:dyDescent="0.25">
      <c r="E350" s="1044" t="str" cm="1">
        <f t="array" ref="E350">INDEX(K350:O350, , F$2)</f>
        <v>CIT rate applicable</v>
      </c>
      <c r="J350" s="434"/>
      <c r="K350" s="1036" t="s">
        <v>1062</v>
      </c>
      <c r="L350" s="1041" t="s">
        <v>1063</v>
      </c>
      <c r="M350" s="1036" t="s">
        <v>1064</v>
      </c>
      <c r="N350" s="1036"/>
      <c r="O350" s="1038"/>
      <c r="P350" s="434"/>
    </row>
    <row r="351" spans="5:16" x14ac:dyDescent="0.25">
      <c r="E351" s="1044" t="str" cm="1">
        <f t="array" ref="E351">INDEX(K351:O351, , F$2)</f>
        <v>CIT paid: IOC</v>
      </c>
      <c r="J351" s="434"/>
      <c r="K351" s="1036" t="s">
        <v>1065</v>
      </c>
      <c r="L351" s="1041" t="s">
        <v>1066</v>
      </c>
      <c r="M351" s="1036" t="s">
        <v>1067</v>
      </c>
      <c r="N351" s="1036"/>
      <c r="O351" s="1038"/>
      <c r="P351" s="434"/>
    </row>
    <row r="352" spans="5:16" x14ac:dyDescent="0.25">
      <c r="E352" s="1044" t="str" cm="1">
        <f t="array" ref="E352">INDEX(K352:O352, , F$2)</f>
        <v>Cost deductions for RRT</v>
      </c>
      <c r="J352" s="434"/>
      <c r="K352" s="1036" t="s">
        <v>1068</v>
      </c>
      <c r="L352" s="1053" t="s">
        <v>1069</v>
      </c>
      <c r="M352" s="1036" t="s">
        <v>1070</v>
      </c>
      <c r="N352" s="1036"/>
      <c r="O352" s="1038"/>
      <c r="P352" s="434"/>
    </row>
    <row r="353" spans="5:16" ht="29" x14ac:dyDescent="0.25">
      <c r="E353" s="1044" t="str" cm="1">
        <f t="array" ref="E353">INDEX(K353:O353, , F$2)</f>
        <v>IOC net cashflow before tax for RRT (via cashflows)</v>
      </c>
      <c r="J353" s="434"/>
      <c r="K353" s="1036" t="s">
        <v>1071</v>
      </c>
      <c r="L353" s="1053" t="s">
        <v>1072</v>
      </c>
      <c r="M353" s="1036" t="s">
        <v>1073</v>
      </c>
      <c r="N353" s="1036"/>
      <c r="O353" s="1038"/>
      <c r="P353" s="434"/>
    </row>
    <row r="354" spans="5:16" ht="29" x14ac:dyDescent="0.25">
      <c r="E354" s="1044" t="str" cm="1">
        <f t="array" ref="E354">INDEX(K354:O354, , F$2)</f>
        <v>IOC net cashflow before tax for RRT (via tax return)</v>
      </c>
      <c r="J354" s="434"/>
      <c r="K354" s="1036" t="s">
        <v>1074</v>
      </c>
      <c r="L354" s="1053" t="s">
        <v>1075</v>
      </c>
      <c r="M354" s="1036" t="s">
        <v>1076</v>
      </c>
      <c r="N354" s="1036"/>
      <c r="O354" s="1038"/>
      <c r="P354" s="434"/>
    </row>
    <row r="355" spans="5:16" ht="29" x14ac:dyDescent="0.25">
      <c r="E355" s="1044" t="str" cm="1">
        <f t="array" ref="E355">INDEX(K355:O355, , F$2)</f>
        <v>IOC cashflows for RRT: cashflow versus tax return</v>
      </c>
      <c r="J355" s="434"/>
      <c r="K355" s="1036" t="s">
        <v>1077</v>
      </c>
      <c r="L355" s="1053" t="s">
        <v>1078</v>
      </c>
      <c r="M355" s="1036" t="s">
        <v>1079</v>
      </c>
      <c r="N355" s="1036"/>
      <c r="O355" s="1038"/>
      <c r="P355" s="434"/>
    </row>
    <row r="356" spans="5:16" x14ac:dyDescent="0.25">
      <c r="E356" s="1044" t="str" cm="1">
        <f t="array" ref="E356">INDEX(K356:O356, , F$2)</f>
        <v>IOC RRT cumulative cashflow</v>
      </c>
      <c r="J356" s="434"/>
      <c r="K356" s="1036" t="s">
        <v>1080</v>
      </c>
      <c r="L356" s="1041" t="s">
        <v>1081</v>
      </c>
      <c r="M356" s="1036" t="s">
        <v>1082</v>
      </c>
      <c r="N356" s="1036"/>
      <c r="O356" s="1038"/>
      <c r="P356" s="434"/>
    </row>
    <row r="357" spans="5:16" ht="29" x14ac:dyDescent="0.25">
      <c r="E357" s="1044" t="str" cm="1">
        <f t="array" ref="E357">INDEX(K357:O357, , F$2)</f>
        <v>Uplift on negative cumulative cashflows</v>
      </c>
      <c r="J357" s="434"/>
      <c r="K357" s="1036" t="s">
        <v>1083</v>
      </c>
      <c r="L357" s="1053" t="s">
        <v>1084</v>
      </c>
      <c r="M357" s="1036" t="s">
        <v>1085</v>
      </c>
      <c r="N357" s="1036"/>
      <c r="O357" s="1038"/>
      <c r="P357" s="434"/>
    </row>
    <row r="358" spans="5:16" x14ac:dyDescent="0.25">
      <c r="E358" s="1044" t="str" cm="1">
        <f t="array" ref="E358">INDEX(K358:O358, , F$2)</f>
        <v>Resource rent tax: IOC</v>
      </c>
      <c r="J358" s="434"/>
      <c r="K358" s="1036" t="s">
        <v>1086</v>
      </c>
      <c r="L358" s="1053" t="s">
        <v>1087</v>
      </c>
      <c r="M358" s="1036" t="s">
        <v>1088</v>
      </c>
      <c r="N358" s="1036"/>
      <c r="O358" s="1038"/>
      <c r="P358" s="434"/>
    </row>
    <row r="359" spans="5:16" x14ac:dyDescent="0.25">
      <c r="E359" s="1044" t="str" cm="1">
        <f t="array" ref="E359">INDEX(K359:O359, , F$2)</f>
        <v>Selected VAT start period</v>
      </c>
      <c r="J359" s="434"/>
      <c r="K359" s="1036" t="s">
        <v>1089</v>
      </c>
      <c r="L359" s="1041" t="s">
        <v>1090</v>
      </c>
      <c r="M359" s="1036" t="s">
        <v>1091</v>
      </c>
      <c r="N359" s="1036"/>
      <c r="O359" s="1038"/>
      <c r="P359" s="434"/>
    </row>
    <row r="360" spans="5:16" x14ac:dyDescent="0.25">
      <c r="E360" s="1044" t="str" cm="1">
        <f t="array" ref="E360">INDEX(K360:O360, , F$2)</f>
        <v>Exploration start year</v>
      </c>
      <c r="J360" s="434"/>
      <c r="K360" s="1036" t="s">
        <v>1092</v>
      </c>
      <c r="L360" s="1041" t="s">
        <v>1093</v>
      </c>
      <c r="M360" s="1036" t="s">
        <v>1094</v>
      </c>
      <c r="N360" s="1036"/>
      <c r="O360" s="1038"/>
      <c r="P360" s="434"/>
    </row>
    <row r="361" spans="5:16" x14ac:dyDescent="0.25">
      <c r="E361" s="1044" t="str" cm="1">
        <f t="array" ref="E361">INDEX(K361:O361, , F$2)</f>
        <v>FID year</v>
      </c>
      <c r="J361" s="434"/>
      <c r="K361" s="1036" t="s">
        <v>1095</v>
      </c>
      <c r="L361" s="1041" t="s">
        <v>1096</v>
      </c>
      <c r="M361" s="1036" t="s">
        <v>1097</v>
      </c>
      <c r="N361" s="1036"/>
      <c r="O361" s="1038"/>
      <c r="P361" s="434"/>
    </row>
    <row r="362" spans="5:16" x14ac:dyDescent="0.25">
      <c r="E362" s="1044" t="str" cm="1">
        <f t="array" ref="E362">INDEX(K362:O362, , F$2)</f>
        <v>Production start year</v>
      </c>
      <c r="J362" s="434"/>
      <c r="K362" s="1036" t="s">
        <v>1098</v>
      </c>
      <c r="L362" s="1041" t="s">
        <v>1099</v>
      </c>
      <c r="M362" s="1036" t="s">
        <v>1100</v>
      </c>
      <c r="N362" s="1036"/>
      <c r="O362" s="1038"/>
      <c r="P362" s="434"/>
    </row>
    <row r="363" spans="5:16" x14ac:dyDescent="0.25">
      <c r="E363" s="1044" t="str" cm="1">
        <f t="array" ref="E363">INDEX(K363:O363, , F$2)</f>
        <v>Input VAT charged</v>
      </c>
      <c r="J363" s="434"/>
      <c r="K363" s="1036" t="s">
        <v>1101</v>
      </c>
      <c r="L363" s="1041" t="s">
        <v>1102</v>
      </c>
      <c r="M363" s="1036" t="s">
        <v>1103</v>
      </c>
      <c r="N363" s="1036"/>
      <c r="O363" s="1038"/>
      <c r="P363" s="434"/>
    </row>
    <row r="364" spans="5:16" x14ac:dyDescent="0.25">
      <c r="E364" s="1044" t="str" cm="1">
        <f t="array" ref="E364">INDEX(K364:O364, , F$2)</f>
        <v>Input VAT refund due</v>
      </c>
      <c r="J364" s="434"/>
      <c r="K364" s="1036" t="s">
        <v>1104</v>
      </c>
      <c r="L364" s="1053" t="s">
        <v>1105</v>
      </c>
      <c r="M364" s="1036" t="s">
        <v>1106</v>
      </c>
      <c r="N364" s="1036"/>
      <c r="O364" s="1038"/>
      <c r="P364" s="434"/>
    </row>
    <row r="365" spans="5:16" x14ac:dyDescent="0.25">
      <c r="E365" s="1044" t="str" cm="1">
        <f t="array" ref="E365">INDEX(K365:O365, , F$2)</f>
        <v>VAT refund months</v>
      </c>
      <c r="J365" s="434"/>
      <c r="K365" s="1036" t="s">
        <v>1107</v>
      </c>
      <c r="L365" s="1041" t="s">
        <v>1108</v>
      </c>
      <c r="M365" s="1036" t="s">
        <v>1109</v>
      </c>
      <c r="N365" s="1036"/>
      <c r="O365" s="1038"/>
      <c r="P365" s="434"/>
    </row>
    <row r="366" spans="5:16" x14ac:dyDescent="0.25">
      <c r="E366" s="1044" t="str" cm="1">
        <f t="array" ref="E366">INDEX(K366:O366, , F$2)</f>
        <v>VAT refunds years</v>
      </c>
      <c r="J366" s="434"/>
      <c r="K366" s="1036" t="s">
        <v>1110</v>
      </c>
      <c r="L366" s="1041" t="s">
        <v>1111</v>
      </c>
      <c r="M366" s="1036" t="s">
        <v>1112</v>
      </c>
      <c r="N366" s="1036"/>
      <c r="O366" s="1038"/>
      <c r="P366" s="434"/>
    </row>
    <row r="367" spans="5:16" ht="29" x14ac:dyDescent="0.25">
      <c r="E367" s="1044" t="str" cm="1">
        <f t="array" ref="E367">INDEX(K367:O367, , F$2)</f>
        <v>VAT refunds paid: interim calc. applying month delay</v>
      </c>
      <c r="J367" s="434"/>
      <c r="K367" s="1036" t="s">
        <v>1113</v>
      </c>
      <c r="L367" s="1041" t="s">
        <v>1114</v>
      </c>
      <c r="M367" s="1036" t="s">
        <v>1115</v>
      </c>
      <c r="N367" s="1036"/>
      <c r="O367" s="1038"/>
      <c r="P367" s="434"/>
    </row>
    <row r="368" spans="5:16" x14ac:dyDescent="0.25">
      <c r="E368" s="1044" t="str" cm="1">
        <f t="array" ref="E368">INDEX(K368:O368, , F$2)</f>
        <v>VAT refunds paid</v>
      </c>
      <c r="J368" s="434"/>
      <c r="K368" s="1036" t="s">
        <v>1116</v>
      </c>
      <c r="L368" s="1041" t="s">
        <v>1117</v>
      </c>
      <c r="M368" s="1036" t="s">
        <v>1118</v>
      </c>
      <c r="N368" s="1036"/>
      <c r="O368" s="1038"/>
      <c r="P368" s="434"/>
    </row>
    <row r="369" spans="5:16" x14ac:dyDescent="0.25">
      <c r="E369" s="1044" t="str" cm="1">
        <f t="array" ref="E369">INDEX(K369:O369, , F$2)</f>
        <v>VAT cashflow: investor</v>
      </c>
      <c r="J369" s="434"/>
      <c r="K369" s="1036" t="s">
        <v>1119</v>
      </c>
      <c r="L369" s="1041" t="s">
        <v>1120</v>
      </c>
      <c r="M369" s="1036" t="s">
        <v>1121</v>
      </c>
      <c r="N369" s="1036"/>
      <c r="O369" s="1038"/>
      <c r="P369" s="434"/>
    </row>
    <row r="370" spans="5:16" x14ac:dyDescent="0.25">
      <c r="E370" s="1044" t="str" cm="1">
        <f t="array" ref="E370">INDEX(K370:O370, , F$2)</f>
        <v>VAT cashflow: government</v>
      </c>
      <c r="J370" s="434"/>
      <c r="K370" s="1036" t="s">
        <v>1122</v>
      </c>
      <c r="L370" s="1053" t="s">
        <v>1123</v>
      </c>
      <c r="M370" s="1036" t="s">
        <v>1124</v>
      </c>
      <c r="N370" s="1036"/>
      <c r="O370" s="1038"/>
      <c r="P370" s="434"/>
    </row>
    <row r="371" spans="5:16" x14ac:dyDescent="0.25">
      <c r="E371" s="1044" t="str" cm="1">
        <f t="array" ref="E371">INDEX(K371:O371, , F$2)</f>
        <v>IOC cash flow before distributions</v>
      </c>
      <c r="J371" s="434"/>
      <c r="K371" s="1036" t="s">
        <v>1125</v>
      </c>
      <c r="L371" s="1053" t="s">
        <v>1126</v>
      </c>
      <c r="M371" s="1036" t="s">
        <v>1127</v>
      </c>
      <c r="N371" s="1036"/>
      <c r="O371" s="1038"/>
      <c r="P371" s="434"/>
    </row>
    <row r="372" spans="5:16" x14ac:dyDescent="0.25">
      <c r="E372" s="1044" t="str" cm="1">
        <f t="array" ref="E372">INDEX(K372:O372, , F$2)</f>
        <v>Dividend distributions</v>
      </c>
      <c r="J372" s="434"/>
      <c r="K372" s="1036" t="s">
        <v>1128</v>
      </c>
      <c r="L372" s="1053" t="s">
        <v>1129</v>
      </c>
      <c r="M372" s="1036" t="s">
        <v>1130</v>
      </c>
      <c r="N372" s="1036"/>
      <c r="O372" s="1038"/>
      <c r="P372" s="434"/>
    </row>
    <row r="373" spans="5:16" ht="29" x14ac:dyDescent="0.25">
      <c r="E373" s="1044" t="str" cm="1">
        <f t="array" ref="E373">INDEX(K373:O373, , F$2)</f>
        <v>Distributions to parent deemed to be dividends</v>
      </c>
      <c r="J373" s="434"/>
      <c r="K373" s="1036" t="s">
        <v>1131</v>
      </c>
      <c r="L373" s="1041" t="s">
        <v>1132</v>
      </c>
      <c r="M373" s="1036" t="s">
        <v>1133</v>
      </c>
      <c r="N373" s="1036"/>
      <c r="O373" s="1038"/>
      <c r="P373" s="434"/>
    </row>
    <row r="374" spans="5:16" ht="29" x14ac:dyDescent="0.25">
      <c r="E374" s="1044" t="str" cm="1">
        <f t="array" ref="E374">INDEX(K374:O374, , F$2)</f>
        <v>Distributions to parent deemed to be return of capital</v>
      </c>
      <c r="J374" s="434"/>
      <c r="K374" s="1036" t="s">
        <v>1134</v>
      </c>
      <c r="L374" s="1053" t="s">
        <v>1135</v>
      </c>
      <c r="M374" s="1036" t="s">
        <v>1136</v>
      </c>
      <c r="N374" s="1036"/>
      <c r="O374" s="1038"/>
      <c r="P374" s="434"/>
    </row>
    <row r="375" spans="5:16" x14ac:dyDescent="0.25">
      <c r="E375" s="1044" t="str" cm="1">
        <f t="array" ref="E375">INDEX(K375:O375, , F$2)</f>
        <v>Dividend withholding tax</v>
      </c>
      <c r="J375" s="434"/>
      <c r="K375" s="1036" t="s">
        <v>1137</v>
      </c>
      <c r="L375" s="1041" t="s">
        <v>1138</v>
      </c>
      <c r="M375" s="1036" t="s">
        <v>1139</v>
      </c>
      <c r="N375" s="1036"/>
      <c r="O375" s="1038"/>
      <c r="P375" s="434"/>
    </row>
    <row r="376" spans="5:16" ht="29" x14ac:dyDescent="0.25">
      <c r="E376" s="1044" t="str" cm="1">
        <f t="array" ref="E376">INDEX(K376:O376, , F$2)</f>
        <v>Net cashflow after fiscal regime: IOC</v>
      </c>
      <c r="J376" s="434"/>
      <c r="K376" s="1036" t="s">
        <v>1140</v>
      </c>
      <c r="L376" s="1041" t="s">
        <v>1141</v>
      </c>
      <c r="M376" s="1036" t="s">
        <v>1142</v>
      </c>
      <c r="N376" s="1036"/>
      <c r="O376" s="1038"/>
      <c r="P376" s="434"/>
    </row>
    <row r="377" spans="5:16" x14ac:dyDescent="0.25">
      <c r="E377" s="1044" t="str" cm="1">
        <f t="array" ref="E377">INDEX(K377:O377, , F$2)</f>
        <v>Maximum cumulative cashflow</v>
      </c>
      <c r="J377" s="434"/>
      <c r="K377" s="1036" t="s">
        <v>1143</v>
      </c>
      <c r="L377" s="1053" t="s">
        <v>1144</v>
      </c>
      <c r="M377" s="1036" t="s">
        <v>1145</v>
      </c>
      <c r="N377" s="1036"/>
      <c r="O377" s="1038"/>
      <c r="P377" s="434"/>
    </row>
    <row r="378" spans="5:16" x14ac:dyDescent="0.25">
      <c r="E378" s="1044" t="str" cm="1">
        <f t="array" ref="E378">INDEX(K378:O378, , F$2)</f>
        <v>IOC economic limit</v>
      </c>
      <c r="J378" s="434"/>
      <c r="K378" s="1036" t="s">
        <v>1146</v>
      </c>
      <c r="L378" s="1041" t="s">
        <v>1147</v>
      </c>
      <c r="M378" s="1036" t="s">
        <v>1148</v>
      </c>
      <c r="N378" s="1036"/>
      <c r="O378" s="1038"/>
      <c r="P378" s="434"/>
    </row>
    <row r="379" spans="5:16" ht="29" x14ac:dyDescent="0.25">
      <c r="E379" s="1044" t="str" cm="1">
        <f t="array" ref="E379">INDEX(K379:O379, , F$2)</f>
        <v>IOC EL after tax reached before project EL</v>
      </c>
      <c r="J379" s="434"/>
      <c r="K379" s="1036" t="s">
        <v>1149</v>
      </c>
      <c r="L379" s="1053" t="s">
        <v>1150</v>
      </c>
      <c r="M379" s="1036" t="s">
        <v>1151</v>
      </c>
      <c r="N379" s="1036"/>
      <c r="O379" s="1038"/>
      <c r="P379" s="434"/>
    </row>
    <row r="380" spans="5:16" x14ac:dyDescent="0.25">
      <c r="E380" s="1044" t="str" cm="1">
        <f t="array" ref="E380">INDEX(K380:O380, , F$2)</f>
        <v>SOC net cash flow before tax</v>
      </c>
      <c r="J380" s="434"/>
      <c r="K380" s="1036" t="s">
        <v>1152</v>
      </c>
      <c r="L380" s="1053" t="s">
        <v>1153</v>
      </c>
      <c r="M380" s="1036" t="s">
        <v>1154</v>
      </c>
      <c r="N380" s="1036"/>
      <c r="O380" s="1038"/>
      <c r="P380" s="434"/>
    </row>
    <row r="381" spans="5:16" x14ac:dyDescent="0.25">
      <c r="E381" s="1044" t="str" cm="1">
        <f t="array" ref="E381">INDEX(K381:O381, , F$2)</f>
        <v>Carried interest financing available</v>
      </c>
      <c r="J381" s="434"/>
      <c r="K381" s="1036" t="s">
        <v>1155</v>
      </c>
      <c r="L381" s="1053" t="s">
        <v>1156</v>
      </c>
      <c r="M381" s="1036" t="s">
        <v>1157</v>
      </c>
      <c r="N381" s="1036"/>
      <c r="O381" s="1038"/>
      <c r="P381" s="434"/>
    </row>
    <row r="382" spans="5:16" ht="29" x14ac:dyDescent="0.25">
      <c r="E382" s="1044" t="str" cm="1">
        <f t="array" ref="E382">INDEX(K382:O382, , F$2)</f>
        <v>Negative SOC cashflows during financing period</v>
      </c>
      <c r="J382" s="434"/>
      <c r="K382" s="1036" t="s">
        <v>1158</v>
      </c>
      <c r="L382" s="1053" t="s">
        <v>1159</v>
      </c>
      <c r="M382" s="1036" t="s">
        <v>1160</v>
      </c>
      <c r="N382" s="1036"/>
      <c r="O382" s="1038"/>
      <c r="P382" s="434"/>
    </row>
    <row r="383" spans="5:16" ht="29" x14ac:dyDescent="0.25">
      <c r="E383" s="1044" t="str" cm="1">
        <f t="array" ref="E383">INDEX(K383:O383, , F$2)</f>
        <v>Carried interest loan: drawdowns (mid period)</v>
      </c>
      <c r="J383" s="434"/>
      <c r="K383" s="1036" t="s">
        <v>1161</v>
      </c>
      <c r="L383" s="1053" t="s">
        <v>1162</v>
      </c>
      <c r="M383" s="1036" t="s">
        <v>1163</v>
      </c>
      <c r="N383" s="1036"/>
      <c r="O383" s="1038"/>
      <c r="P383" s="434"/>
    </row>
    <row r="384" spans="5:16" x14ac:dyDescent="0.25">
      <c r="E384" s="1044" t="str" cm="1">
        <f t="array" ref="E384">INDEX(K384:O384, , F$2)</f>
        <v>Carried interest loan: interest rate</v>
      </c>
      <c r="J384" s="434"/>
      <c r="K384" s="1036" t="s">
        <v>1164</v>
      </c>
      <c r="L384" s="1053" t="s">
        <v>1165</v>
      </c>
      <c r="M384" s="1036" t="s">
        <v>1166</v>
      </c>
      <c r="N384" s="1036"/>
      <c r="O384" s="1038"/>
      <c r="P384" s="434"/>
    </row>
    <row r="385" spans="5:16" ht="29" x14ac:dyDescent="0.25">
      <c r="E385" s="1044" t="str" cm="1">
        <f t="array" ref="E385">INDEX(K385:O385, , F$2)</f>
        <v>Carried intererst loan potential repayment</v>
      </c>
      <c r="J385" s="434"/>
      <c r="K385" s="1036" t="s">
        <v>1167</v>
      </c>
      <c r="L385" s="1053" t="s">
        <v>1168</v>
      </c>
      <c r="M385" s="1036" t="s">
        <v>1169</v>
      </c>
      <c r="N385" s="1036"/>
      <c r="O385" s="1038"/>
      <c r="P385" s="434"/>
    </row>
    <row r="386" spans="5:16" ht="29" x14ac:dyDescent="0.25">
      <c r="E386" s="1044" t="str" cm="1">
        <f t="array" ref="E386">INDEX(K386:O386, , F$2)</f>
        <v>Carried interest loan opening balance: BEG</v>
      </c>
      <c r="J386" s="434"/>
      <c r="K386" s="1036" t="s">
        <v>1170</v>
      </c>
      <c r="L386" s="1053" t="s">
        <v>1171</v>
      </c>
      <c r="M386" s="1036" t="s">
        <v>1172</v>
      </c>
      <c r="N386" s="1036"/>
      <c r="O386" s="1038"/>
      <c r="P386" s="434"/>
    </row>
    <row r="387" spans="5:16" ht="29" x14ac:dyDescent="0.25">
      <c r="E387" s="1044" t="str" cm="1">
        <f t="array" ref="E387">INDEX(K387:O387, , F$2)</f>
        <v>Carried interest loan: interest charge</v>
      </c>
      <c r="J387" s="434"/>
      <c r="K387" s="1036" t="s">
        <v>1173</v>
      </c>
      <c r="L387" s="1053" t="s">
        <v>1174</v>
      </c>
      <c r="M387" s="1036" t="s">
        <v>1175</v>
      </c>
      <c r="N387" s="1036"/>
      <c r="O387" s="1038"/>
      <c r="P387" s="434"/>
    </row>
    <row r="388" spans="5:16" ht="29" x14ac:dyDescent="0.25">
      <c r="E388" s="1044" t="str" cm="1">
        <f t="array" ref="E388">INDEX(K388:O388, , F$2)</f>
        <v>Carried interest loan balance to be repaid</v>
      </c>
      <c r="J388" s="434"/>
      <c r="K388" s="1036" t="s">
        <v>1176</v>
      </c>
      <c r="L388" s="1053" t="s">
        <v>1177</v>
      </c>
      <c r="M388" s="1036" t="s">
        <v>1178</v>
      </c>
      <c r="N388" s="1036"/>
      <c r="O388" s="1038"/>
      <c r="P388" s="434"/>
    </row>
    <row r="389" spans="5:16" ht="29" x14ac:dyDescent="0.25">
      <c r="E389" s="1044" t="str" cm="1">
        <f t="array" ref="E389">INDEX(K389:O389, , F$2)</f>
        <v>Carried interest loan: repayment (end of period)</v>
      </c>
      <c r="J389" s="434"/>
      <c r="K389" s="1036" t="s">
        <v>1179</v>
      </c>
      <c r="L389" s="1053" t="s">
        <v>1180</v>
      </c>
      <c r="M389" s="1036" t="s">
        <v>1181</v>
      </c>
      <c r="N389" s="1036"/>
      <c r="O389" s="1038"/>
      <c r="P389" s="434"/>
    </row>
    <row r="390" spans="5:16" ht="29" x14ac:dyDescent="0.25">
      <c r="E390" s="1044" t="str" cm="1">
        <f t="array" ref="E390">INDEX(K390:O390, , F$2)</f>
        <v>Carried interest loan: closing balance: END</v>
      </c>
      <c r="J390" s="434"/>
      <c r="K390" s="1036" t="s">
        <v>1182</v>
      </c>
      <c r="L390" s="1053" t="s">
        <v>1183</v>
      </c>
      <c r="M390" s="1036" t="s">
        <v>1184</v>
      </c>
      <c r="N390" s="1036"/>
      <c r="O390" s="1038"/>
      <c r="P390" s="434"/>
    </row>
    <row r="391" spans="5:16" ht="29" x14ac:dyDescent="0.25">
      <c r="E391" s="1044" t="str" cm="1">
        <f t="array" ref="E391">INDEX(K391:O391, , F$2)</f>
        <v>Carried interest loan cashflows: SOC</v>
      </c>
      <c r="J391" s="434"/>
      <c r="K391" s="1036" t="s">
        <v>1185</v>
      </c>
      <c r="L391" s="1053" t="s">
        <v>1186</v>
      </c>
      <c r="M391" s="1036" t="s">
        <v>1187</v>
      </c>
      <c r="N391" s="1036"/>
      <c r="O391" s="1038"/>
      <c r="P391" s="434"/>
    </row>
    <row r="392" spans="5:16" ht="29" x14ac:dyDescent="0.25">
      <c r="E392" s="1044" t="str" cm="1">
        <f t="array" ref="E392">INDEX(K392:O392, , F$2)</f>
        <v>Carried interest loan cashflows: IOC</v>
      </c>
      <c r="I392" s="55"/>
      <c r="J392" s="434"/>
      <c r="K392" s="1036" t="s">
        <v>1188</v>
      </c>
      <c r="L392" s="1053" t="s">
        <v>1189</v>
      </c>
      <c r="M392" s="1036" t="s">
        <v>1190</v>
      </c>
      <c r="N392" s="1036"/>
      <c r="O392" s="1038"/>
      <c r="P392" s="434"/>
    </row>
    <row r="393" spans="5:16" ht="29" x14ac:dyDescent="0.25">
      <c r="E393" s="1044" t="str" cm="1">
        <f t="array" ref="E393">INDEX(K393:O393, , F$2)</f>
        <v>Carried interest loan closing balance</v>
      </c>
      <c r="J393" s="434"/>
      <c r="K393" s="1036" t="s">
        <v>1191</v>
      </c>
      <c r="L393" s="1053" t="s">
        <v>1192</v>
      </c>
      <c r="M393" s="1036" t="s">
        <v>1193</v>
      </c>
      <c r="N393" s="1036"/>
      <c r="O393" s="1038"/>
      <c r="P393" s="434"/>
    </row>
    <row r="394" spans="5:16" x14ac:dyDescent="0.25">
      <c r="E394" s="1044" t="str" cm="1">
        <f t="array" ref="E394">INDEX(K394:O394, , F$2)</f>
        <v>Carried interest loan cashflows</v>
      </c>
      <c r="J394" s="434"/>
      <c r="K394" s="1036" t="s">
        <v>1194</v>
      </c>
      <c r="L394" s="1053" t="s">
        <v>1195</v>
      </c>
      <c r="M394" s="1036" t="s">
        <v>1196</v>
      </c>
      <c r="N394" s="1036"/>
      <c r="O394" s="1038"/>
      <c r="P394" s="434"/>
    </row>
    <row r="395" spans="5:16" ht="29" x14ac:dyDescent="0.25">
      <c r="E395" s="1044" t="str" cm="1">
        <f t="array" ref="E395">INDEX(K395:O395, , F$2)</f>
        <v>SOC net cash flow before tax, after carried interest</v>
      </c>
      <c r="J395" s="434"/>
      <c r="K395" s="1036" t="s">
        <v>1197</v>
      </c>
      <c r="L395" s="1053" t="s">
        <v>1198</v>
      </c>
      <c r="M395" s="1036" t="s">
        <v>1199</v>
      </c>
      <c r="N395" s="1036"/>
      <c r="O395" s="1038"/>
      <c r="P395" s="434"/>
    </row>
    <row r="396" spans="5:16" ht="29" x14ac:dyDescent="0.25">
      <c r="E396" s="1044" t="str" cm="1">
        <f t="array" ref="E396">INDEX(K396:O396, , F$2)</f>
        <v>including share of lender cashflows</v>
      </c>
      <c r="J396" s="434"/>
      <c r="K396" s="1036" t="s">
        <v>1200</v>
      </c>
      <c r="L396" s="1053" t="s">
        <v>1201</v>
      </c>
      <c r="M396" s="1036" t="s">
        <v>1202</v>
      </c>
      <c r="N396" s="1036"/>
      <c r="O396" s="1038"/>
      <c r="P396" s="434"/>
    </row>
    <row r="397" spans="5:16" x14ac:dyDescent="0.25">
      <c r="E397" s="1044" t="str" cm="1">
        <f t="array" ref="E397">INDEX(K397:O397, , F$2)</f>
        <v>Government revenues excluding participation</v>
      </c>
      <c r="J397" s="434"/>
      <c r="K397" s="1036" t="s">
        <v>1203</v>
      </c>
      <c r="L397" s="1053" t="s">
        <v>1204</v>
      </c>
      <c r="M397" s="1036" t="s">
        <v>1205</v>
      </c>
      <c r="N397" s="1036"/>
      <c r="O397" s="1038"/>
      <c r="P397" s="434"/>
    </row>
    <row r="398" spans="5:16" x14ac:dyDescent="0.25">
      <c r="E398" s="1044" t="str" cm="1">
        <f t="array" ref="E398">INDEX(K398:O398, , F$2)</f>
        <v>Government revenues including participation</v>
      </c>
      <c r="J398" s="434"/>
      <c r="K398" s="1041" t="s">
        <v>1206</v>
      </c>
      <c r="L398" s="1053" t="s">
        <v>1207</v>
      </c>
      <c r="M398" s="1036" t="s">
        <v>1208</v>
      </c>
      <c r="N398" s="1036"/>
      <c r="O398" s="1038"/>
      <c r="P398" s="434"/>
    </row>
    <row r="399" spans="5:16" x14ac:dyDescent="0.25">
      <c r="E399" s="1044" t="str" cm="1">
        <f t="array" ref="E399">INDEX(K399:O399, , F$2)</f>
        <v>Sum of participant cashflows</v>
      </c>
      <c r="J399" s="434"/>
      <c r="K399" s="1036" t="s">
        <v>1209</v>
      </c>
      <c r="L399" s="1041" t="s">
        <v>1210</v>
      </c>
      <c r="M399" s="1036" t="s">
        <v>1211</v>
      </c>
      <c r="N399" s="1036"/>
      <c r="O399" s="1038"/>
      <c r="P399" s="434"/>
    </row>
    <row r="400" spans="5:16" x14ac:dyDescent="0.25">
      <c r="E400" s="1044" t="str" cm="1">
        <f t="array" ref="E400">INDEX(K400:O400, , F$2)</f>
        <v>Difference</v>
      </c>
      <c r="J400" s="434"/>
      <c r="K400" s="1036" t="s">
        <v>1212</v>
      </c>
      <c r="L400" s="1041" t="s">
        <v>1213</v>
      </c>
      <c r="M400" s="1036" t="s">
        <v>1214</v>
      </c>
      <c r="N400" s="1036"/>
      <c r="O400" s="1038"/>
      <c r="P400" s="434"/>
    </row>
    <row r="401" spans="5:16" x14ac:dyDescent="0.25">
      <c r="E401" s="1044" t="str" cm="1">
        <f t="array" ref="E401">INDEX(K401:O401, , F$2)</f>
        <v>% depletion</v>
      </c>
      <c r="J401" s="434"/>
      <c r="K401" s="1036" t="s">
        <v>1215</v>
      </c>
      <c r="L401" s="1053" t="s">
        <v>1216</v>
      </c>
      <c r="M401" s="1036" t="s">
        <v>1217</v>
      </c>
      <c r="N401" s="1036"/>
      <c r="O401" s="1038"/>
      <c r="P401" s="434"/>
    </row>
    <row r="402" spans="5:16" x14ac:dyDescent="0.25">
      <c r="E402" s="1044" t="str" cm="1">
        <f t="array" ref="E402">INDEX(K402:O402, , F$2)</f>
        <v>R-Factor ratio</v>
      </c>
      <c r="J402" s="434"/>
      <c r="K402" s="1036" t="s">
        <v>1218</v>
      </c>
      <c r="L402" s="1053" t="s">
        <v>940</v>
      </c>
      <c r="M402" s="1036" t="s">
        <v>1219</v>
      </c>
      <c r="N402" s="1036"/>
      <c r="O402" s="1038"/>
      <c r="P402" s="434"/>
    </row>
    <row r="403" spans="5:16" x14ac:dyDescent="0.25">
      <c r="E403" s="1044" t="str" cm="1">
        <f t="array" ref="E403">INDEX(K403:O403, , F$2)</f>
        <v>Production year</v>
      </c>
      <c r="J403" s="434"/>
      <c r="K403" s="1039" t="s">
        <v>1220</v>
      </c>
      <c r="L403" s="1041" t="s">
        <v>1221</v>
      </c>
      <c r="M403" s="1039" t="s">
        <v>1222</v>
      </c>
      <c r="N403" s="1039"/>
      <c r="O403" s="1038"/>
      <c r="P403" s="434"/>
    </row>
    <row r="404" spans="5:16" x14ac:dyDescent="0.25">
      <c r="E404" s="1044" t="str" cm="1">
        <f t="array" ref="E404">INDEX(K404:O404, , F$2)</f>
        <v>Months</v>
      </c>
      <c r="J404" s="434"/>
      <c r="K404" s="1036" t="s">
        <v>1223</v>
      </c>
      <c r="L404" s="1041" t="s">
        <v>1224</v>
      </c>
      <c r="M404" s="1036" t="s">
        <v>1225</v>
      </c>
      <c r="N404" s="1036"/>
      <c r="O404" s="1038"/>
      <c r="P404" s="434"/>
    </row>
    <row r="405" spans="5:16" x14ac:dyDescent="0.25">
      <c r="E405" s="1044" t="str" cm="1">
        <f t="array" ref="E405">INDEX(K405:O405, , F$2)</f>
        <v>Flag</v>
      </c>
      <c r="J405" s="434"/>
      <c r="K405" s="1039" t="s">
        <v>1226</v>
      </c>
      <c r="L405" s="1041" t="s">
        <v>1227</v>
      </c>
      <c r="M405" s="1039" t="s">
        <v>1228</v>
      </c>
      <c r="N405" s="1039"/>
      <c r="O405" s="1038"/>
      <c r="P405" s="434"/>
    </row>
    <row r="406" spans="5:16" x14ac:dyDescent="0.25">
      <c r="E406" s="1044" t="str" cm="1">
        <f t="array" ref="E406">INDEX(K406:O406, , F$2)</f>
        <v>MM t CO2 eq</v>
      </c>
      <c r="J406" s="434"/>
      <c r="K406" s="1036" t="s">
        <v>1229</v>
      </c>
      <c r="L406" s="1041" t="s">
        <v>1230</v>
      </c>
      <c r="M406" s="1036" t="s">
        <v>1231</v>
      </c>
      <c r="N406" s="1036"/>
      <c r="O406" s="1038"/>
      <c r="P406" s="434"/>
    </row>
    <row r="407" spans="5:16" x14ac:dyDescent="0.25">
      <c r="E407" s="1044" t="str" cm="1">
        <f t="array" ref="E407">INDEX(K407:O407, , F$2)</f>
        <v>Index</v>
      </c>
      <c r="J407" s="434"/>
      <c r="K407" s="1036" t="s">
        <v>1232</v>
      </c>
      <c r="L407" s="1041" t="s">
        <v>1233</v>
      </c>
      <c r="M407" s="1036" t="s">
        <v>1233</v>
      </c>
      <c r="N407" s="1036"/>
      <c r="O407" s="1038"/>
      <c r="P407" s="434"/>
    </row>
    <row r="408" spans="5:16" x14ac:dyDescent="0.25">
      <c r="E408" s="1044" t="str" cm="1">
        <f t="array" ref="E408">INDEX(K408:O408, , F$2)</f>
        <v>% p.a.</v>
      </c>
      <c r="J408" s="434"/>
      <c r="K408" s="1036" t="s">
        <v>1234</v>
      </c>
      <c r="L408" s="1041" t="s">
        <v>1234</v>
      </c>
      <c r="M408" s="1036" t="s">
        <v>1235</v>
      </c>
      <c r="N408" s="1036"/>
      <c r="O408" s="1038"/>
      <c r="P408" s="434"/>
    </row>
    <row r="409" spans="5:16" x14ac:dyDescent="0.25">
      <c r="E409" s="1044" t="str" cm="1">
        <f t="array" ref="E409">INDEX(K409:O409, , F$2)</f>
        <v>selected</v>
      </c>
      <c r="J409" s="434"/>
      <c r="K409" s="1036" t="s">
        <v>1236</v>
      </c>
      <c r="L409" s="1041" t="s">
        <v>1237</v>
      </c>
      <c r="M409" s="1036" t="s">
        <v>1238</v>
      </c>
      <c r="N409" s="1036"/>
      <c r="O409" s="1038"/>
      <c r="P409" s="434"/>
    </row>
    <row r="410" spans="5:16" x14ac:dyDescent="0.25">
      <c r="E410" s="1044" t="str" cm="1">
        <f t="array" ref="E410">INDEX(K410:O410, , F$2)</f>
        <v>Determine start of contributions</v>
      </c>
      <c r="J410" s="434"/>
      <c r="K410" s="1036" t="s">
        <v>1239</v>
      </c>
      <c r="L410" s="1053" t="s">
        <v>1240</v>
      </c>
      <c r="M410" s="1036" t="s">
        <v>1241</v>
      </c>
      <c r="N410" s="1036"/>
      <c r="O410" s="1038"/>
      <c r="P410" s="434"/>
    </row>
    <row r="411" spans="5:16" x14ac:dyDescent="0.25">
      <c r="E411" s="1044" t="str" cm="1">
        <f t="array" ref="E411">INDEX(K411:O411, , F$2)</f>
        <v>Decommissioning provision required</v>
      </c>
      <c r="J411" s="434"/>
      <c r="K411" s="1036" t="s">
        <v>1242</v>
      </c>
      <c r="L411" s="1053" t="s">
        <v>1243</v>
      </c>
      <c r="M411" s="1036" t="s">
        <v>1244</v>
      </c>
      <c r="N411" s="1036"/>
      <c r="O411" s="1038"/>
      <c r="P411" s="434"/>
    </row>
    <row r="412" spans="5:16" x14ac:dyDescent="0.25">
      <c r="E412" s="1044" t="str" cm="1">
        <f t="array" ref="E412">INDEX(K412:O412, , F$2)</f>
        <v>Decommissioning fund transactions</v>
      </c>
      <c r="J412" s="434"/>
      <c r="K412" s="1036" t="s">
        <v>1245</v>
      </c>
      <c r="L412" s="1053" t="s">
        <v>1246</v>
      </c>
      <c r="M412" s="1036" t="s">
        <v>1247</v>
      </c>
      <c r="N412" s="1036"/>
      <c r="O412" s="1038"/>
      <c r="P412" s="434"/>
    </row>
    <row r="413" spans="5:16" x14ac:dyDescent="0.25">
      <c r="E413" s="1044" t="str" cm="1">
        <f t="array" ref="E413">INDEX(K413:O413, , F$2)</f>
        <v>Sum of bonuses</v>
      </c>
      <c r="J413" s="434"/>
      <c r="K413" s="1036" t="s">
        <v>1248</v>
      </c>
      <c r="L413" s="1053" t="s">
        <v>1249</v>
      </c>
      <c r="M413" s="1036" t="s">
        <v>1250</v>
      </c>
      <c r="N413" s="1036"/>
      <c r="O413" s="1038"/>
      <c r="P413" s="434"/>
    </row>
    <row r="414" spans="5:16" x14ac:dyDescent="0.25">
      <c r="E414" s="1044" t="str" cm="1">
        <f t="array" ref="E414">INDEX(K414:O414, , F$2)</f>
        <v>Royalty base</v>
      </c>
      <c r="J414" s="434"/>
      <c r="K414" s="1036" t="s">
        <v>1251</v>
      </c>
      <c r="L414" s="1053" t="s">
        <v>1252</v>
      </c>
      <c r="M414" s="1036" t="s">
        <v>1253</v>
      </c>
      <c r="N414" s="1036"/>
      <c r="O414" s="1038"/>
      <c r="P414" s="434"/>
    </row>
    <row r="415" spans="5:16" x14ac:dyDescent="0.25">
      <c r="E415" s="1044" t="str" cm="1">
        <f t="array" ref="E415">INDEX(K415:O415, , F$2)</f>
        <v>Flat royalty</v>
      </c>
      <c r="J415" s="434"/>
      <c r="K415" s="1036" t="s">
        <v>1254</v>
      </c>
      <c r="L415" s="1053" t="s">
        <v>1255</v>
      </c>
      <c r="M415" s="1036" t="s">
        <v>1256</v>
      </c>
      <c r="N415" s="1036"/>
      <c r="O415" s="1038"/>
      <c r="P415" s="434"/>
    </row>
    <row r="416" spans="5:16" x14ac:dyDescent="0.25">
      <c r="E416" s="1044" t="str" cm="1">
        <f t="array" ref="E416">INDEX(K416:O416, , F$2)</f>
        <v>Price-based royalty</v>
      </c>
      <c r="J416" s="434"/>
      <c r="K416" s="1036" t="s">
        <v>1257</v>
      </c>
      <c r="L416" s="1053" t="s">
        <v>1258</v>
      </c>
      <c r="M416" s="1036" t="s">
        <v>1259</v>
      </c>
      <c r="N416" s="1036"/>
      <c r="O416" s="1038"/>
      <c r="P416" s="434"/>
    </row>
    <row r="417" spans="5:16" x14ac:dyDescent="0.25">
      <c r="E417" s="1044" t="str" cm="1">
        <f t="array" ref="E417">INDEX(K417:O417, , F$2)</f>
        <v>Aggregate royalty rate</v>
      </c>
      <c r="J417" s="434"/>
      <c r="K417" s="1036" t="s">
        <v>1260</v>
      </c>
      <c r="L417" s="1041" t="s">
        <v>1261</v>
      </c>
      <c r="M417" s="1036" t="s">
        <v>1262</v>
      </c>
      <c r="N417" s="1036"/>
      <c r="O417" s="1038"/>
      <c r="P417" s="434"/>
    </row>
    <row r="418" spans="5:16" x14ac:dyDescent="0.25">
      <c r="E418" s="1044" t="str" cm="1">
        <f t="array" ref="E418">INDEX(K418:O418, , F$2)</f>
        <v>Net revenues after royalty</v>
      </c>
      <c r="J418" s="434"/>
      <c r="K418" s="1036" t="s">
        <v>1263</v>
      </c>
      <c r="L418" s="1041" t="s">
        <v>1264</v>
      </c>
      <c r="M418" s="1036" t="s">
        <v>1265</v>
      </c>
      <c r="N418" s="1036"/>
      <c r="O418" s="1038"/>
      <c r="P418" s="434"/>
    </row>
    <row r="419" spans="5:16" x14ac:dyDescent="0.25">
      <c r="E419" s="1044" t="str" cm="1">
        <f t="array" ref="E419">INDEX(K419:O419, , F$2)</f>
        <v>Determination of tax base</v>
      </c>
      <c r="J419" s="434"/>
      <c r="K419" s="1036" t="s">
        <v>1266</v>
      </c>
      <c r="L419" s="1053" t="s">
        <v>1267</v>
      </c>
      <c r="M419" s="1036" t="s">
        <v>1268</v>
      </c>
      <c r="N419" s="1036"/>
      <c r="O419" s="1038"/>
      <c r="P419" s="434"/>
    </row>
    <row r="420" spans="5:16" x14ac:dyDescent="0.25">
      <c r="E420" s="1044" t="str" cm="1">
        <f t="array" ref="E420">INDEX(K420:O420, , F$2)</f>
        <v>Tax applicable</v>
      </c>
      <c r="J420" s="434"/>
      <c r="K420" s="1036" t="s">
        <v>1269</v>
      </c>
      <c r="L420" s="1041" t="s">
        <v>1270</v>
      </c>
      <c r="M420" s="1036" t="s">
        <v>1271</v>
      </c>
      <c r="N420" s="1036"/>
      <c r="O420" s="1038"/>
      <c r="P420" s="434"/>
    </row>
    <row r="421" spans="5:16" x14ac:dyDescent="0.25">
      <c r="E421" s="1044" t="str" cm="1">
        <f t="array" ref="E421">INDEX(K421:O421, , F$2)</f>
        <v>Tax inflation index</v>
      </c>
      <c r="J421" s="434"/>
      <c r="K421" s="1036" t="s">
        <v>1272</v>
      </c>
      <c r="L421" s="1041" t="s">
        <v>1273</v>
      </c>
      <c r="M421" s="1036" t="s">
        <v>1274</v>
      </c>
      <c r="N421" s="1036"/>
      <c r="O421" s="1038"/>
      <c r="P421" s="434"/>
    </row>
    <row r="422" spans="5:16" x14ac:dyDescent="0.25">
      <c r="E422" s="1044" t="str" cm="1">
        <f t="array" ref="E422">INDEX(K422:O422, , F$2)</f>
        <v>Tax rate - Percentage</v>
      </c>
      <c r="J422" s="434"/>
      <c r="K422" s="1036" t="s">
        <v>1275</v>
      </c>
      <c r="L422" s="1041" t="s">
        <v>1276</v>
      </c>
      <c r="M422" s="1036" t="s">
        <v>1277</v>
      </c>
      <c r="N422" s="1036"/>
      <c r="O422" s="1038"/>
      <c r="P422" s="434"/>
    </row>
    <row r="423" spans="5:16" x14ac:dyDescent="0.25">
      <c r="E423" s="1044" t="str" cm="1">
        <f t="array" ref="E423">INDEX(K423:O423, , F$2)</f>
        <v>Tax rate - Target Year</v>
      </c>
      <c r="J423" s="434"/>
      <c r="K423" s="1036" t="s">
        <v>1278</v>
      </c>
      <c r="L423" s="1041" t="s">
        <v>1279</v>
      </c>
      <c r="M423" s="1036" t="s">
        <v>1280</v>
      </c>
      <c r="N423" s="1036"/>
      <c r="O423" s="1038"/>
      <c r="P423" s="434"/>
    </row>
    <row r="424" spans="5:16" x14ac:dyDescent="0.25">
      <c r="E424" s="1044" t="str" cm="1">
        <f t="array" ref="E424">INDEX(K424:O424, , F$2)</f>
        <v>Tax rate - select</v>
      </c>
      <c r="J424" s="434"/>
      <c r="K424" s="1036" t="s">
        <v>1281</v>
      </c>
      <c r="L424" s="1041" t="s">
        <v>1282</v>
      </c>
      <c r="M424" s="1036" t="s">
        <v>1283</v>
      </c>
      <c r="N424" s="1036"/>
      <c r="O424" s="1038"/>
      <c r="P424" s="434"/>
    </row>
    <row r="425" spans="5:16" x14ac:dyDescent="0.25">
      <c r="E425" s="1044" t="str" cm="1">
        <f t="array" ref="E425">INDEX(K425:O425, , F$2)</f>
        <v>Development costs to be financed by debt</v>
      </c>
      <c r="J425" s="434"/>
      <c r="K425" s="1036" t="s">
        <v>1284</v>
      </c>
      <c r="L425" s="1041" t="s">
        <v>1285</v>
      </c>
      <c r="M425" s="1036" t="s">
        <v>1286</v>
      </c>
      <c r="N425" s="1036"/>
      <c r="O425" s="1038"/>
      <c r="P425" s="434"/>
    </row>
    <row r="426" spans="5:16" x14ac:dyDescent="0.25">
      <c r="E426" s="1044" t="str" cm="1">
        <f t="array" ref="E426">INDEX(K426:O426, , F$2)</f>
        <v>Loan account</v>
      </c>
      <c r="J426" s="434"/>
      <c r="K426" s="1036" t="s">
        <v>1287</v>
      </c>
      <c r="L426" s="1053" t="s">
        <v>1288</v>
      </c>
      <c r="M426" s="1036" t="s">
        <v>1289</v>
      </c>
      <c r="N426" s="1036"/>
      <c r="O426" s="1038"/>
      <c r="P426" s="434"/>
    </row>
    <row r="427" spans="5:16" x14ac:dyDescent="0.25">
      <c r="E427" s="1044" t="str" cm="1">
        <f t="array" ref="E427">INDEX(K427:O427, , F$2)</f>
        <v>Loan cashflows</v>
      </c>
      <c r="J427" s="434"/>
      <c r="K427" s="1036" t="s">
        <v>1290</v>
      </c>
      <c r="L427" s="1041" t="s">
        <v>1291</v>
      </c>
      <c r="M427" s="1036" t="s">
        <v>1292</v>
      </c>
      <c r="N427" s="1036"/>
      <c r="O427" s="1038"/>
      <c r="P427" s="434"/>
    </row>
    <row r="428" spans="5:16" ht="29" x14ac:dyDescent="0.25">
      <c r="E428" s="1044" t="str" cm="1">
        <f t="array" ref="E428">INDEX(K428:O428, , F$2)</f>
        <v>Allocation of loan transactions to IOC and SOC as borrower</v>
      </c>
      <c r="J428" s="434"/>
      <c r="K428" s="1036" t="s">
        <v>1293</v>
      </c>
      <c r="L428" s="1053" t="s">
        <v>1294</v>
      </c>
      <c r="M428" s="1036" t="s">
        <v>1295</v>
      </c>
      <c r="N428" s="1036"/>
      <c r="O428" s="1038"/>
      <c r="P428" s="434"/>
    </row>
    <row r="429" spans="5:16" ht="29" x14ac:dyDescent="0.25">
      <c r="E429" s="1044" t="str" cm="1">
        <f t="array" ref="E429">INDEX(K429:O429, , F$2)</f>
        <v>Allocation of loan transactions to IOC and SOC as lender</v>
      </c>
      <c r="J429" s="434"/>
      <c r="K429" s="1036" t="s">
        <v>1296</v>
      </c>
      <c r="L429" s="1053" t="s">
        <v>1297</v>
      </c>
      <c r="M429" s="1036" t="s">
        <v>1298</v>
      </c>
      <c r="N429" s="1036"/>
      <c r="O429" s="1038"/>
      <c r="P429" s="434"/>
    </row>
    <row r="430" spans="5:16" x14ac:dyDescent="0.25">
      <c r="E430" s="1044" t="str" cm="1">
        <f t="array" ref="E430">INDEX(K430:O430, , F$2)</f>
        <v>Determine which regime type is active</v>
      </c>
      <c r="J430" s="434"/>
      <c r="K430" s="1036" t="s">
        <v>1299</v>
      </c>
      <c r="L430" s="1041" t="s">
        <v>1300</v>
      </c>
      <c r="M430" s="1036" t="s">
        <v>1301</v>
      </c>
      <c r="N430" s="1036"/>
      <c r="O430" s="1038"/>
      <c r="P430" s="434"/>
    </row>
    <row r="431" spans="5:16" x14ac:dyDescent="0.25">
      <c r="E431" s="1044" t="str" cm="1">
        <f t="array" ref="E431">INDEX(K431:O431, , F$2)</f>
        <v>Project revenues</v>
      </c>
      <c r="J431" s="434"/>
      <c r="K431" s="1036" t="s">
        <v>1302</v>
      </c>
      <c r="L431" s="1053" t="s">
        <v>1303</v>
      </c>
      <c r="M431" s="1036" t="s">
        <v>1304</v>
      </c>
      <c r="N431" s="1036"/>
      <c r="O431" s="1038"/>
      <c r="P431" s="434"/>
    </row>
    <row r="432" spans="5:16" ht="29" x14ac:dyDescent="0.25">
      <c r="E432" s="1044" t="str" cm="1">
        <f t="array" ref="E432">INDEX(K432:O432, , F$2)</f>
        <v>Project costs into cost recovery (on aggregated basis for 100% of JV)</v>
      </c>
      <c r="J432" s="434"/>
      <c r="K432" s="1036" t="s">
        <v>1305</v>
      </c>
      <c r="L432" s="1053" t="s">
        <v>1306</v>
      </c>
      <c r="M432" s="1036" t="s">
        <v>1307</v>
      </c>
      <c r="N432" s="1036"/>
      <c r="O432" s="1038"/>
      <c r="P432" s="434"/>
    </row>
    <row r="433" spans="5:16" x14ac:dyDescent="0.25">
      <c r="E433" s="1044" t="str" cm="1">
        <f t="array" ref="E433">INDEX(K433:O433, , F$2)</f>
        <v>Recoverable cost account</v>
      </c>
      <c r="J433" s="434"/>
      <c r="K433" s="1036" t="s">
        <v>1308</v>
      </c>
      <c r="L433" s="1053" t="s">
        <v>1309</v>
      </c>
      <c r="M433" s="1036" t="s">
        <v>1310</v>
      </c>
      <c r="N433" s="1036"/>
      <c r="O433" s="1038"/>
      <c r="P433" s="434"/>
    </row>
    <row r="434" spans="5:16" x14ac:dyDescent="0.25">
      <c r="E434" s="1044" t="str" cm="1">
        <f t="array" ref="E434">INDEX(K434:O434, , F$2)</f>
        <v>Profit oil</v>
      </c>
      <c r="J434" s="434"/>
      <c r="K434" s="1036" t="s">
        <v>1311</v>
      </c>
      <c r="L434" s="1053" t="s">
        <v>1311</v>
      </c>
      <c r="M434" s="1036" t="s">
        <v>1311</v>
      </c>
      <c r="N434" s="1036"/>
      <c r="O434" s="1038"/>
      <c r="P434" s="434"/>
    </row>
    <row r="435" spans="5:16" x14ac:dyDescent="0.25">
      <c r="E435" s="1044" t="str" cm="1">
        <f t="array" ref="E435">INDEX(K435:O435, , F$2)</f>
        <v>Attribute cost oil to SOC and IOC</v>
      </c>
      <c r="J435" s="434"/>
      <c r="K435" s="1036" t="s">
        <v>1312</v>
      </c>
      <c r="L435" s="1053" t="s">
        <v>1313</v>
      </c>
      <c r="M435" s="1036" t="s">
        <v>1314</v>
      </c>
      <c r="N435" s="1036"/>
      <c r="O435" s="1038"/>
      <c r="P435" s="434"/>
    </row>
    <row r="436" spans="5:16" x14ac:dyDescent="0.25">
      <c r="E436" s="1044" t="str" cm="1">
        <f t="array" ref="E436">INDEX(K436:O436, , F$2)</f>
        <v>Attribute production to DROP tiers</v>
      </c>
      <c r="J436" s="434"/>
      <c r="K436" s="1036" t="s">
        <v>1315</v>
      </c>
      <c r="L436" s="1041" t="s">
        <v>1316</v>
      </c>
      <c r="M436" s="1036" t="s">
        <v>1317</v>
      </c>
      <c r="N436" s="1036"/>
      <c r="O436" s="1038"/>
      <c r="P436" s="434"/>
    </row>
    <row r="437" spans="5:16" x14ac:dyDescent="0.25">
      <c r="E437" s="1044" t="str" cm="1">
        <f t="array" ref="E437">INDEX(K437:O437, , F$2)</f>
        <v>Select profit oil sharing method</v>
      </c>
      <c r="J437" s="434"/>
      <c r="K437" s="1036" t="s">
        <v>1318</v>
      </c>
      <c r="L437" s="1053" t="s">
        <v>1319</v>
      </c>
      <c r="M437" s="1036" t="s">
        <v>1320</v>
      </c>
      <c r="N437" s="1036"/>
      <c r="O437" s="1038"/>
      <c r="P437" s="434"/>
    </row>
    <row r="438" spans="5:16" ht="29" x14ac:dyDescent="0.25">
      <c r="E438" s="1044" t="str" cm="1">
        <f t="array" ref="E438">INDEX(K438:O438, , F$2)</f>
        <v>Production sharing: Cost oil reconciliation</v>
      </c>
      <c r="J438" s="434"/>
      <c r="K438" s="1036" t="s">
        <v>1321</v>
      </c>
      <c r="L438" s="1053" t="s">
        <v>1322</v>
      </c>
      <c r="M438" s="1036" t="s">
        <v>1323</v>
      </c>
      <c r="N438" s="1036"/>
      <c r="O438" s="1038"/>
      <c r="P438" s="434"/>
    </row>
    <row r="439" spans="5:16" ht="29" x14ac:dyDescent="0.25">
      <c r="E439" s="1044" t="str" cm="1">
        <f t="array" ref="E439">INDEX(K439:O439, , F$2)</f>
        <v>Production sharing: Profit oil reconciliation</v>
      </c>
      <c r="J439" s="434"/>
      <c r="K439" s="1036" t="s">
        <v>1324</v>
      </c>
      <c r="L439" s="1053" t="s">
        <v>1325</v>
      </c>
      <c r="M439" s="1036" t="s">
        <v>1326</v>
      </c>
      <c r="N439" s="1036"/>
      <c r="O439" s="1038"/>
      <c r="P439" s="434"/>
    </row>
    <row r="440" spans="5:16" x14ac:dyDescent="0.25">
      <c r="E440" s="1044" t="str" cm="1">
        <f t="array" ref="E440">INDEX(K440:O440, , F$2)</f>
        <v>SOC and IOC revenues</v>
      </c>
      <c r="J440" s="434"/>
      <c r="K440" s="1036" t="s">
        <v>1327</v>
      </c>
      <c r="L440" s="1053" t="s">
        <v>1328</v>
      </c>
      <c r="M440" s="1036" t="s">
        <v>1329</v>
      </c>
      <c r="N440" s="1036"/>
      <c r="O440" s="1038"/>
      <c r="P440" s="434"/>
    </row>
    <row r="441" spans="5:16" x14ac:dyDescent="0.25">
      <c r="E441" s="1044" t="str" cm="1">
        <f t="array" ref="E441">INDEX(K441:O441, , F$2)</f>
        <v>Revenue reconciliation</v>
      </c>
      <c r="J441" s="434"/>
      <c r="K441" s="1036" t="s">
        <v>1330</v>
      </c>
      <c r="L441" s="1041" t="s">
        <v>1331</v>
      </c>
      <c r="M441" s="1036" t="s">
        <v>1332</v>
      </c>
      <c r="N441" s="1036"/>
      <c r="O441" s="1038"/>
      <c r="P441" s="434"/>
    </row>
    <row r="442" spans="5:16" x14ac:dyDescent="0.25">
      <c r="E442" s="1044" t="str" cm="1">
        <f t="array" ref="E442">INDEX(K442:O442, , F$2)</f>
        <v>Project costs to be shared</v>
      </c>
      <c r="J442" s="434"/>
      <c r="K442" s="1036" t="s">
        <v>1333</v>
      </c>
      <c r="L442" s="1041" t="s">
        <v>1334</v>
      </c>
      <c r="M442" s="1036" t="s">
        <v>1335</v>
      </c>
      <c r="N442" s="1036"/>
      <c r="O442" s="1038"/>
      <c r="P442" s="434"/>
    </row>
    <row r="443" spans="5:16" x14ac:dyDescent="0.25">
      <c r="E443" s="1044" t="str" cm="1">
        <f t="array" ref="E443">INDEX(K443:O443, , F$2)</f>
        <v>SOC share of costs</v>
      </c>
      <c r="J443" s="434"/>
      <c r="K443" s="1036" t="s">
        <v>1336</v>
      </c>
      <c r="L443" s="1053" t="s">
        <v>1337</v>
      </c>
      <c r="M443" s="1036" t="s">
        <v>1338</v>
      </c>
      <c r="N443" s="1036"/>
      <c r="O443" s="1038"/>
      <c r="P443" s="434"/>
    </row>
    <row r="444" spans="5:16" x14ac:dyDescent="0.25">
      <c r="E444" s="1044" t="str" cm="1">
        <f t="array" ref="E444">INDEX(K444:O444, , F$2)</f>
        <v>IOC share of costs</v>
      </c>
      <c r="J444" s="434"/>
      <c r="K444" s="1036" t="s">
        <v>1339</v>
      </c>
      <c r="L444" s="1041" t="s">
        <v>1340</v>
      </c>
      <c r="M444" s="1036" t="s">
        <v>1341</v>
      </c>
      <c r="N444" s="1036"/>
      <c r="O444" s="1038"/>
      <c r="P444" s="434"/>
    </row>
    <row r="445" spans="5:16" ht="29" x14ac:dyDescent="0.25">
      <c r="E445" s="1044" t="str" cm="1">
        <f t="array" ref="E445">INDEX(K445:O445, , F$2)</f>
        <v>Exploration costs tax treatment</v>
      </c>
      <c r="J445" s="434"/>
      <c r="K445" s="1036" t="s">
        <v>1342</v>
      </c>
      <c r="L445" s="1041" t="s">
        <v>1343</v>
      </c>
      <c r="M445" s="1036" t="s">
        <v>1344</v>
      </c>
      <c r="N445" s="1036"/>
      <c r="O445" s="1038"/>
      <c r="P445" s="434"/>
    </row>
    <row r="446" spans="5:16" x14ac:dyDescent="0.25">
      <c r="E446" s="1044" t="str" cm="1">
        <f t="array" ref="E446">INDEX(K446:O446, , F$2)</f>
        <v>Bonus tax treatment</v>
      </c>
      <c r="J446" s="434"/>
      <c r="K446" s="1036" t="s">
        <v>1345</v>
      </c>
      <c r="L446" s="1053" t="s">
        <v>1346</v>
      </c>
      <c r="M446" s="1036" t="s">
        <v>1347</v>
      </c>
      <c r="N446" s="1036"/>
      <c r="O446" s="1038"/>
      <c r="P446" s="434"/>
    </row>
    <row r="447" spans="5:16" x14ac:dyDescent="0.25">
      <c r="E447" s="1044" t="str" cm="1">
        <f t="array" ref="E447">INDEX(K447:O447, , F$2)</f>
        <v>Costs for depreciation calculation</v>
      </c>
      <c r="J447" s="434"/>
      <c r="K447" s="1036" t="s">
        <v>1348</v>
      </c>
      <c r="L447" s="1053" t="s">
        <v>1349</v>
      </c>
      <c r="M447" s="1036" t="s">
        <v>1350</v>
      </c>
      <c r="N447" s="1036"/>
      <c r="O447" s="1038"/>
      <c r="P447" s="434"/>
    </row>
    <row r="448" spans="5:16" x14ac:dyDescent="0.25">
      <c r="E448" s="1044" t="str" cm="1">
        <f t="array" ref="E448">INDEX(K448:O448, , F$2)</f>
        <v>Costs into depreciation calculation</v>
      </c>
      <c r="J448" s="434"/>
      <c r="K448" s="1036" t="s">
        <v>1351</v>
      </c>
      <c r="L448" s="1053" t="s">
        <v>1352</v>
      </c>
      <c r="M448" s="1036" t="s">
        <v>1353</v>
      </c>
      <c r="N448" s="1036"/>
      <c r="O448" s="1038"/>
      <c r="P448" s="434"/>
    </row>
    <row r="449" spans="5:16" x14ac:dyDescent="0.25">
      <c r="E449" s="1044" t="str" cm="1">
        <f t="array" ref="E449">INDEX(K449:O449, , F$2)</f>
        <v>Straight-line depreciation</v>
      </c>
      <c r="J449" s="434"/>
      <c r="K449" s="1036" t="s">
        <v>1354</v>
      </c>
      <c r="L449" s="1041" t="s">
        <v>1355</v>
      </c>
      <c r="M449" s="1036" t="s">
        <v>1356</v>
      </c>
      <c r="N449" s="1036"/>
      <c r="O449" s="1038"/>
      <c r="P449" s="434"/>
    </row>
    <row r="450" spans="5:16" x14ac:dyDescent="0.25">
      <c r="E450" s="1044" t="str" cm="1">
        <f t="array" ref="E450">INDEX(K450:O450, , F$2)</f>
        <v>Revenues for tax</v>
      </c>
      <c r="J450" s="434"/>
      <c r="K450" s="1036" t="s">
        <v>1357</v>
      </c>
      <c r="L450" s="1053" t="s">
        <v>1358</v>
      </c>
      <c r="M450" s="1036" t="s">
        <v>1359</v>
      </c>
      <c r="N450" s="1036"/>
      <c r="O450" s="1038"/>
      <c r="P450" s="434"/>
    </row>
    <row r="451" spans="5:16" ht="29" x14ac:dyDescent="0.25">
      <c r="E451" s="1044" t="str" cm="1">
        <f t="array" ref="E451">INDEX(K451:O451, , F$2)</f>
        <v>Royalty deductibility (Tax &amp; Royalty regimes only)</v>
      </c>
      <c r="J451" s="434"/>
      <c r="K451" s="1036" t="s">
        <v>1360</v>
      </c>
      <c r="L451" s="1053" t="s">
        <v>1361</v>
      </c>
      <c r="M451" s="1036" t="s">
        <v>1362</v>
      </c>
      <c r="N451" s="1036"/>
      <c r="O451" s="1038"/>
      <c r="P451" s="434"/>
    </row>
    <row r="452" spans="5:16" x14ac:dyDescent="0.25">
      <c r="E452" s="1044" t="str" cm="1">
        <f t="array" ref="E452">INDEX(K452:O452, , F$2)</f>
        <v>Carbon tax deductibility</v>
      </c>
      <c r="J452" s="434"/>
      <c r="K452" s="1036" t="s">
        <v>1363</v>
      </c>
      <c r="L452" s="1041" t="s">
        <v>1364</v>
      </c>
      <c r="M452" s="1036" t="s">
        <v>1365</v>
      </c>
      <c r="N452" s="1036"/>
      <c r="O452" s="1038"/>
      <c r="P452" s="434"/>
    </row>
    <row r="453" spans="5:16" x14ac:dyDescent="0.25">
      <c r="E453" s="1044" t="str" cm="1">
        <f t="array" ref="E453">INDEX(K453:O453, , F$2)</f>
        <v>Deductions</v>
      </c>
      <c r="J453" s="434"/>
      <c r="K453" s="1036" t="s">
        <v>1366</v>
      </c>
      <c r="L453" s="1041" t="s">
        <v>1367</v>
      </c>
      <c r="M453" s="1036" t="s">
        <v>1368</v>
      </c>
      <c r="N453" s="1036"/>
      <c r="O453" s="1038"/>
      <c r="P453" s="434"/>
    </row>
    <row r="454" spans="5:16" x14ac:dyDescent="0.25">
      <c r="E454" s="1044" t="str" cm="1">
        <f t="array" ref="E454">INDEX(K454:O454, , F$2)</f>
        <v>Determine cashflow for RRT</v>
      </c>
      <c r="J454" s="434"/>
      <c r="K454" s="1036" t="s">
        <v>1369</v>
      </c>
      <c r="L454" s="1053" t="s">
        <v>1370</v>
      </c>
      <c r="M454" s="1036" t="s">
        <v>1371</v>
      </c>
      <c r="N454" s="1036"/>
      <c r="O454" s="1038"/>
      <c r="P454" s="434"/>
    </row>
    <row r="455" spans="5:16" ht="43.5" x14ac:dyDescent="0.25">
      <c r="E455" s="1044" t="str" cm="1">
        <f t="array" ref="E455">INDEX(K455:O455, , F$2)</f>
        <v>Alternative basis for determining IOC net cashflows via taxable income</v>
      </c>
      <c r="J455" s="434"/>
      <c r="K455" s="1036" t="s">
        <v>1372</v>
      </c>
      <c r="L455" s="1053" t="s">
        <v>1373</v>
      </c>
      <c r="M455" s="1036" t="s">
        <v>1374</v>
      </c>
      <c r="N455" s="1036"/>
      <c r="O455" s="1038"/>
      <c r="P455" s="434"/>
    </row>
    <row r="456" spans="5:16" x14ac:dyDescent="0.25">
      <c r="E456" s="1044" t="str" cm="1">
        <f t="array" ref="E456">INDEX(K456:O456, , F$2)</f>
        <v>Deduction of CIT for RRT</v>
      </c>
      <c r="J456" s="434"/>
      <c r="K456" s="1036" t="s">
        <v>1375</v>
      </c>
      <c r="L456" s="1053" t="s">
        <v>1376</v>
      </c>
      <c r="M456" s="1036" t="s">
        <v>1377</v>
      </c>
      <c r="N456" s="1036"/>
      <c r="O456" s="1038"/>
      <c r="P456" s="434"/>
    </row>
    <row r="457" spans="5:16" x14ac:dyDescent="0.25">
      <c r="E457" s="1044" t="str" cm="1">
        <f t="array" ref="E457">INDEX(K457:O457, , F$2)</f>
        <v>IOC cumulative cashflow for RRT</v>
      </c>
      <c r="J457" s="434"/>
      <c r="K457" s="1036" t="s">
        <v>1378</v>
      </c>
      <c r="L457" s="1053" t="s">
        <v>1379</v>
      </c>
      <c r="M457" s="1036" t="s">
        <v>1380</v>
      </c>
      <c r="N457" s="1036"/>
      <c r="O457" s="1038"/>
      <c r="P457" s="434"/>
    </row>
    <row r="458" spans="5:16" x14ac:dyDescent="0.25">
      <c r="E458" s="1044" t="str" cm="1">
        <f t="array" ref="E458">INDEX(K458:O458, , F$2)</f>
        <v>RRT deductible for CIT</v>
      </c>
      <c r="J458" s="434"/>
      <c r="K458" s="1036" t="s">
        <v>1381</v>
      </c>
      <c r="L458" s="1053" t="s">
        <v>1382</v>
      </c>
      <c r="M458" s="1036" t="s">
        <v>1383</v>
      </c>
      <c r="N458" s="1036"/>
      <c r="O458" s="1038"/>
      <c r="P458" s="434"/>
    </row>
    <row r="459" spans="5:16" x14ac:dyDescent="0.25">
      <c r="E459" s="1044" t="str" cm="1">
        <f t="array" ref="E459">INDEX(K459:O459, , F$2)</f>
        <v>VAT applicable periods</v>
      </c>
      <c r="J459" s="434"/>
      <c r="K459" s="1036" t="s">
        <v>1384</v>
      </c>
      <c r="L459" s="1041" t="s">
        <v>1385</v>
      </c>
      <c r="M459" s="1036" t="s">
        <v>1386</v>
      </c>
      <c r="N459" s="1036"/>
      <c r="O459" s="1038"/>
      <c r="P459" s="434"/>
    </row>
    <row r="460" spans="5:16" x14ac:dyDescent="0.25">
      <c r="E460" s="1044" t="str" cm="1">
        <f t="array" ref="E460">INDEX(K460:O460, , F$2)</f>
        <v>VAT cashflow</v>
      </c>
      <c r="J460" s="434"/>
      <c r="K460" s="1036" t="s">
        <v>1387</v>
      </c>
      <c r="L460" s="1041" t="s">
        <v>1388</v>
      </c>
      <c r="M460" s="1036" t="s">
        <v>1389</v>
      </c>
      <c r="N460" s="1036"/>
      <c r="O460" s="1038"/>
      <c r="P460" s="434"/>
    </row>
    <row r="461" spans="5:16" x14ac:dyDescent="0.25">
      <c r="E461" s="1044" t="str" cm="1">
        <f t="array" ref="E461">INDEX(K461:O461, , F$2)</f>
        <v>Project economic limit: pre-fiscal</v>
      </c>
      <c r="J461" s="434"/>
      <c r="K461" s="1036" t="s">
        <v>1390</v>
      </c>
      <c r="L461" s="1041" t="s">
        <v>1391</v>
      </c>
      <c r="M461" s="1036" t="s">
        <v>1392</v>
      </c>
      <c r="N461" s="1036"/>
      <c r="O461" s="1038"/>
      <c r="P461" s="434"/>
    </row>
    <row r="462" spans="5:16" x14ac:dyDescent="0.25">
      <c r="E462" s="1044" t="str" cm="1">
        <f t="array" ref="E462">INDEX(K462:O462, , F$2)</f>
        <v>IOC economic limit: post-fiscal</v>
      </c>
      <c r="J462" s="434"/>
      <c r="K462" s="1036" t="s">
        <v>1393</v>
      </c>
      <c r="L462" s="1041" t="s">
        <v>1394</v>
      </c>
      <c r="M462" s="1036" t="s">
        <v>1395</v>
      </c>
      <c r="N462" s="1036"/>
      <c r="O462" s="1038"/>
      <c r="P462" s="434"/>
    </row>
    <row r="463" spans="5:16" x14ac:dyDescent="0.25">
      <c r="E463" s="1044" t="str" cm="1">
        <f t="array" ref="E463">INDEX(K463:O463, , F$2)</f>
        <v>Post-fiscal ELT versus pre-fiscal ELT</v>
      </c>
      <c r="J463" s="434"/>
      <c r="K463" s="1036" t="s">
        <v>1396</v>
      </c>
      <c r="L463" s="1041" t="s">
        <v>1397</v>
      </c>
      <c r="M463" s="1036" t="s">
        <v>1398</v>
      </c>
      <c r="N463" s="1036"/>
      <c r="O463" s="1038"/>
      <c r="P463" s="434"/>
    </row>
    <row r="464" spans="5:16" ht="29" x14ac:dyDescent="0.25">
      <c r="E464" s="1044" t="str" cm="1">
        <f t="array" ref="E464">INDEX(K464:O464, , F$2)</f>
        <v>SOC cashflows before carried interest financing</v>
      </c>
      <c r="J464" s="434"/>
      <c r="K464" s="1036" t="s">
        <v>1399</v>
      </c>
      <c r="L464" s="1053" t="s">
        <v>1400</v>
      </c>
      <c r="M464" s="1036" t="s">
        <v>1401</v>
      </c>
      <c r="N464" s="1036"/>
      <c r="O464" s="1038"/>
      <c r="P464" s="434"/>
    </row>
    <row r="465" spans="5:16" x14ac:dyDescent="0.25">
      <c r="E465" s="1044" t="str" cm="1">
        <f t="array" ref="E465">INDEX(K465:O465, , F$2)</f>
        <v>Carried interest financing</v>
      </c>
      <c r="J465" s="434"/>
      <c r="K465" s="1036" t="s">
        <v>1402</v>
      </c>
      <c r="L465" s="1053" t="s">
        <v>1403</v>
      </c>
      <c r="M465" s="1036" t="s">
        <v>1404</v>
      </c>
      <c r="N465" s="1036"/>
      <c r="O465" s="1038"/>
      <c r="P465" s="434"/>
    </row>
    <row r="466" spans="5:16" ht="29" x14ac:dyDescent="0.25">
      <c r="E466" s="1044" t="str" cm="1">
        <f t="array" ref="E466">INDEX(K466:O466, , F$2)</f>
        <v>SOC cashflows after carried interest financing</v>
      </c>
      <c r="J466" s="434"/>
      <c r="K466" s="1036" t="s">
        <v>1405</v>
      </c>
      <c r="L466" s="1053" t="s">
        <v>1406</v>
      </c>
      <c r="M466" s="1036" t="s">
        <v>1407</v>
      </c>
      <c r="N466" s="1036"/>
      <c r="O466" s="1038"/>
      <c r="P466" s="434"/>
    </row>
    <row r="467" spans="5:16" ht="29" x14ac:dyDescent="0.25">
      <c r="E467" s="1044" t="str" cm="1">
        <f t="array" ref="E467">INDEX(K467:O467, , F$2)</f>
        <v xml:space="preserve">Debt financing (Assumed joint financing by IOC and SOC) </v>
      </c>
      <c r="J467" s="434"/>
      <c r="K467" s="1036" t="s">
        <v>1408</v>
      </c>
      <c r="L467" s="1053" t="s">
        <v>1409</v>
      </c>
      <c r="M467" s="1036" t="s">
        <v>1410</v>
      </c>
      <c r="N467" s="1036"/>
      <c r="O467" s="1038"/>
      <c r="P467" s="434"/>
    </row>
    <row r="468" spans="5:16" ht="29" x14ac:dyDescent="0.25">
      <c r="E468" s="1044" t="str" cm="1">
        <f t="array" ref="E468">INDEX(K468:O468, , F$2)</f>
        <v>Revenue sharing under tax &amp; royalty (T&amp;R) regime</v>
      </c>
      <c r="J468" s="434"/>
      <c r="K468" s="1036" t="s">
        <v>1411</v>
      </c>
      <c r="L468" s="1053" t="s">
        <v>1412</v>
      </c>
      <c r="M468" s="1036" t="s">
        <v>1413</v>
      </c>
      <c r="N468" s="1036"/>
      <c r="O468" s="1038"/>
      <c r="P468" s="434"/>
    </row>
    <row r="469" spans="5:16" ht="29" x14ac:dyDescent="0.25">
      <c r="E469" s="1044" t="str" cm="1">
        <f t="array" ref="E469">INDEX(K469:O469, , F$2)</f>
        <v>Production sharing: JV cost recovery</v>
      </c>
      <c r="J469" s="434"/>
      <c r="K469" s="1036" t="s">
        <v>1414</v>
      </c>
      <c r="L469" s="1053" t="s">
        <v>1415</v>
      </c>
      <c r="M469" s="1036" t="s">
        <v>1416</v>
      </c>
      <c r="N469" s="1036"/>
      <c r="O469" s="1038"/>
      <c r="P469" s="434"/>
    </row>
    <row r="470" spans="5:16" ht="29" x14ac:dyDescent="0.25">
      <c r="E470" s="1044" t="str" cm="1">
        <f t="array" ref="E470">INDEX(K470:O470, , F$2)</f>
        <v>Production sharing: Daily rate of production profit oil sharing</v>
      </c>
      <c r="J470" s="434"/>
      <c r="K470" s="1036" t="s">
        <v>1417</v>
      </c>
      <c r="L470" s="1053" t="s">
        <v>1418</v>
      </c>
      <c r="M470" s="1036" t="s">
        <v>1419</v>
      </c>
      <c r="N470" s="1036"/>
      <c r="O470" s="1038"/>
      <c r="P470" s="434"/>
    </row>
    <row r="471" spans="5:16" ht="29" x14ac:dyDescent="0.25">
      <c r="E471" s="1044" t="str" cm="1">
        <f t="array" ref="E471">INDEX(K471:O471, , F$2)</f>
        <v>Production sharing: R-factor profit oil sharing</v>
      </c>
      <c r="J471" s="434"/>
      <c r="K471" s="1036" t="s">
        <v>1420</v>
      </c>
      <c r="L471" s="1053" t="s">
        <v>1421</v>
      </c>
      <c r="M471" s="1036" t="s">
        <v>1422</v>
      </c>
      <c r="N471" s="1036"/>
      <c r="O471" s="1038"/>
      <c r="P471" s="434"/>
    </row>
    <row r="472" spans="5:16" ht="29" x14ac:dyDescent="0.25">
      <c r="E472" s="1044" t="str" cm="1">
        <f t="array" ref="E472">INDEX(K472:O472, , F$2)</f>
        <v>Production sharing: Apply selected profit oil sharing method</v>
      </c>
      <c r="J472" s="434"/>
      <c r="K472" s="1036" t="s">
        <v>1423</v>
      </c>
      <c r="L472" s="1053" t="s">
        <v>1424</v>
      </c>
      <c r="M472" s="1036" t="s">
        <v>1425</v>
      </c>
      <c r="N472" s="1036"/>
      <c r="O472" s="1038"/>
      <c r="P472" s="434"/>
    </row>
    <row r="473" spans="5:16" x14ac:dyDescent="0.25">
      <c r="E473" s="1044" t="str" cm="1">
        <f t="array" ref="E473">INDEX(K473:O473, , F$2)</f>
        <v>PSC reconciliation</v>
      </c>
      <c r="J473" s="434"/>
      <c r="K473" s="1036" t="s">
        <v>1426</v>
      </c>
      <c r="L473" s="1041" t="s">
        <v>1427</v>
      </c>
      <c r="M473" s="1036" t="s">
        <v>1428</v>
      </c>
      <c r="N473" s="1036"/>
      <c r="O473" s="1038"/>
      <c r="P473" s="434"/>
    </row>
    <row r="474" spans="5:16" x14ac:dyDescent="0.25">
      <c r="E474" s="1044" t="str" cm="1">
        <f t="array" ref="E474">INDEX(K474:O474, , F$2)</f>
        <v>Summary revenues</v>
      </c>
      <c r="J474" s="434"/>
      <c r="K474" s="1036" t="s">
        <v>1429</v>
      </c>
      <c r="L474" s="1041" t="s">
        <v>1430</v>
      </c>
      <c r="M474" s="1036" t="s">
        <v>1431</v>
      </c>
      <c r="N474" s="1036"/>
      <c r="O474" s="1038"/>
      <c r="P474" s="434"/>
    </row>
    <row r="475" spans="5:16" x14ac:dyDescent="0.25">
      <c r="E475" s="1044" t="str" cm="1">
        <f t="array" ref="E475">INDEX(K475:O475, , F$2)</f>
        <v>JV sharing of project costs</v>
      </c>
      <c r="J475" s="434"/>
      <c r="K475" s="1036" t="s">
        <v>1432</v>
      </c>
      <c r="L475" s="1053" t="s">
        <v>1433</v>
      </c>
      <c r="M475" s="1036" t="s">
        <v>1434</v>
      </c>
      <c r="N475" s="1036"/>
      <c r="O475" s="1038"/>
      <c r="P475" s="434"/>
    </row>
    <row r="476" spans="5:16" ht="29" x14ac:dyDescent="0.25">
      <c r="E476" s="1044" t="str" cm="1">
        <f t="array" ref="E476">INDEX(K476:O476, , F$2)</f>
        <v>IOC income tax depreciation</v>
      </c>
      <c r="J476" s="434"/>
      <c r="K476" s="1036" t="s">
        <v>1435</v>
      </c>
      <c r="L476" s="1041" t="s">
        <v>1436</v>
      </c>
      <c r="M476" s="1036" t="s">
        <v>1437</v>
      </c>
      <c r="N476" s="1036"/>
      <c r="O476" s="1038"/>
      <c r="P476" s="434"/>
    </row>
    <row r="477" spans="5:16" x14ac:dyDescent="0.25">
      <c r="E477" s="1044" t="str" cm="1">
        <f t="array" ref="E477">INDEX(K477:O477, , F$2)</f>
        <v>IOC corporate income tax</v>
      </c>
      <c r="J477" s="434"/>
      <c r="K477" s="1036" t="s">
        <v>1438</v>
      </c>
      <c r="L477" s="1041" t="s">
        <v>1439</v>
      </c>
      <c r="M477" s="1036" t="s">
        <v>1440</v>
      </c>
      <c r="N477" s="1036"/>
      <c r="O477" s="1038"/>
      <c r="P477" s="434"/>
    </row>
    <row r="478" spans="5:16" ht="29" x14ac:dyDescent="0.25">
      <c r="E478" s="1044" t="str" cm="1">
        <f t="array" ref="E478">INDEX(K478:O478, , F$2)</f>
        <v>VAT cashflow: simplified approach assuming VAT is creditable</v>
      </c>
      <c r="J478" s="434"/>
      <c r="K478" s="1036" t="s">
        <v>1441</v>
      </c>
      <c r="L478" s="1053" t="s">
        <v>1442</v>
      </c>
      <c r="M478" s="1036" t="s">
        <v>1443</v>
      </c>
      <c r="N478" s="1036"/>
      <c r="O478" s="1038"/>
      <c r="P478" s="434"/>
    </row>
    <row r="479" spans="5:16" x14ac:dyDescent="0.25">
      <c r="E479" s="1044" t="str" cm="1">
        <f t="array" ref="E479">INDEX(K479:O479, , F$2)</f>
        <v>IOC cashflows and dividends</v>
      </c>
      <c r="J479" s="434"/>
      <c r="K479" s="1036" t="s">
        <v>1444</v>
      </c>
      <c r="L479" s="1041" t="s">
        <v>1445</v>
      </c>
      <c r="M479" s="1036" t="s">
        <v>1446</v>
      </c>
      <c r="N479" s="1036"/>
      <c r="O479" s="1038"/>
      <c r="P479" s="434"/>
    </row>
    <row r="480" spans="5:16" x14ac:dyDescent="0.25">
      <c r="E480" s="1044" t="str" cm="1">
        <f t="array" ref="E480">INDEX(K480:O480, , F$2)</f>
        <v>SOC cashflows</v>
      </c>
      <c r="J480" s="434"/>
      <c r="K480" s="1036" t="s">
        <v>1447</v>
      </c>
      <c r="L480" s="1053" t="s">
        <v>1448</v>
      </c>
      <c r="M480" s="1036" t="s">
        <v>1449</v>
      </c>
      <c r="N480" s="1036"/>
      <c r="O480" s="1038"/>
      <c r="P480" s="434"/>
    </row>
    <row r="481" spans="5:16" x14ac:dyDescent="0.25">
      <c r="E481" s="1044" t="str" cm="1">
        <f t="array" ref="E481">INDEX(K481:O481, , F$2)</f>
        <v>Cashflow reconilication</v>
      </c>
      <c r="J481" s="434"/>
      <c r="K481" s="1036" t="s">
        <v>1450</v>
      </c>
      <c r="L481" s="1041" t="s">
        <v>1451</v>
      </c>
      <c r="M481" s="1036" t="s">
        <v>1452</v>
      </c>
      <c r="N481" s="1036"/>
      <c r="O481" s="1038"/>
      <c r="P481" s="434"/>
    </row>
    <row r="482" spans="5:16" x14ac:dyDescent="0.25">
      <c r="E482" s="1044" t="str" cm="1">
        <f t="array" ref="E482">INDEX(K482:O482, , F$2)</f>
        <v>Withdrawals</v>
      </c>
      <c r="J482" s="434"/>
      <c r="K482" s="1036" t="s">
        <v>1453</v>
      </c>
      <c r="L482" s="1041" t="s">
        <v>1454</v>
      </c>
      <c r="M482" s="1036" t="s">
        <v>1455</v>
      </c>
      <c r="N482" s="1036"/>
      <c r="O482" s="1038"/>
      <c r="P482" s="434"/>
    </row>
    <row r="483" spans="5:16" x14ac:dyDescent="0.25">
      <c r="E483" s="1044" t="str" cm="1">
        <f t="array" ref="E483">INDEX(K483:O483, , F$2)</f>
        <v>Interest earned on fund</v>
      </c>
      <c r="J483" s="434"/>
      <c r="K483" s="1036" t="s">
        <v>1456</v>
      </c>
      <c r="L483" s="1041" t="s">
        <v>1457</v>
      </c>
      <c r="M483" s="1036" t="s">
        <v>1458</v>
      </c>
      <c r="N483" s="1036"/>
      <c r="O483" s="1038"/>
      <c r="P483" s="434"/>
    </row>
    <row r="484" spans="5:16" x14ac:dyDescent="0.25">
      <c r="E484" s="1044" t="str" cm="1">
        <f t="array" ref="E484">INDEX(K484:O484, , F$2)</f>
        <v>Determine financing and repayment period</v>
      </c>
      <c r="J484" s="434"/>
      <c r="K484" s="1036" t="s">
        <v>1459</v>
      </c>
      <c r="L484" s="1041" t="s">
        <v>1460</v>
      </c>
      <c r="M484" s="1036" t="s">
        <v>1461</v>
      </c>
      <c r="N484" s="1036"/>
      <c r="O484" s="1038"/>
      <c r="P484" s="434"/>
    </row>
    <row r="485" spans="5:16" x14ac:dyDescent="0.25">
      <c r="E485" s="1044" t="str" cm="1">
        <f t="array" ref="E485">INDEX(K485:O485, , F$2)</f>
        <v>Costs to be financed</v>
      </c>
      <c r="J485" s="434"/>
      <c r="K485" s="1036" t="s">
        <v>1462</v>
      </c>
      <c r="L485" s="1041" t="s">
        <v>1463</v>
      </c>
      <c r="M485" s="1036" t="s">
        <v>1464</v>
      </c>
      <c r="N485" s="1036"/>
      <c r="O485" s="1038"/>
      <c r="P485" s="434"/>
    </row>
    <row r="486" spans="5:16" x14ac:dyDescent="0.25">
      <c r="E486" s="1044" t="str" cm="1">
        <f t="array" ref="E486">INDEX(K486:O486, , F$2)</f>
        <v>Interest accounting</v>
      </c>
      <c r="J486" s="434"/>
      <c r="K486" s="1036" t="s">
        <v>1465</v>
      </c>
      <c r="L486" s="1041" t="s">
        <v>1466</v>
      </c>
      <c r="M486" s="1036" t="s">
        <v>1467</v>
      </c>
      <c r="N486" s="1036"/>
      <c r="O486" s="1038"/>
      <c r="P486" s="434"/>
    </row>
    <row r="487" spans="5:16" x14ac:dyDescent="0.25">
      <c r="E487" s="1044" t="str" cm="1">
        <f t="array" ref="E487">INDEX(K487:O487, , F$2)</f>
        <v>Share of revenues</v>
      </c>
      <c r="J487" s="434"/>
      <c r="K487" s="1036" t="s">
        <v>1468</v>
      </c>
      <c r="L487" s="1053" t="s">
        <v>1469</v>
      </c>
      <c r="M487" s="1036" t="s">
        <v>1470</v>
      </c>
      <c r="N487" s="1036"/>
      <c r="O487" s="1038"/>
      <c r="P487" s="434"/>
    </row>
    <row r="488" spans="5:16" x14ac:dyDescent="0.25">
      <c r="E488" s="1044" t="str" cm="1">
        <f t="array" ref="E488">INDEX(K488:O488, , F$2)</f>
        <v>Share of royalty</v>
      </c>
      <c r="J488" s="434"/>
      <c r="K488" s="1036" t="s">
        <v>1471</v>
      </c>
      <c r="L488" s="1041" t="s">
        <v>1472</v>
      </c>
      <c r="M488" s="1036" t="s">
        <v>1473</v>
      </c>
      <c r="N488" s="1036"/>
      <c r="O488" s="1038"/>
      <c r="P488" s="434"/>
    </row>
    <row r="489" spans="5:16" x14ac:dyDescent="0.25">
      <c r="E489" s="1044" t="str" cm="1">
        <f t="array" ref="E489">INDEX(K489:O489, , F$2)</f>
        <v>Share of net revenues after royalty</v>
      </c>
      <c r="J489" s="434"/>
      <c r="K489" s="1036" t="s">
        <v>1474</v>
      </c>
      <c r="L489" s="1053" t="s">
        <v>1475</v>
      </c>
      <c r="M489" s="1036" t="s">
        <v>1476</v>
      </c>
      <c r="N489" s="1036"/>
      <c r="O489" s="1038"/>
      <c r="P489" s="434"/>
    </row>
    <row r="490" spans="5:16" x14ac:dyDescent="0.25">
      <c r="E490" s="1044" t="str" cm="1">
        <f t="array" ref="E490">INDEX(K490:O490, , F$2)</f>
        <v>Interest into cost recovery</v>
      </c>
      <c r="J490" s="434"/>
      <c r="K490" s="1036" t="s">
        <v>1477</v>
      </c>
      <c r="L490" s="1053" t="s">
        <v>1478</v>
      </c>
      <c r="M490" s="1036" t="s">
        <v>1479</v>
      </c>
      <c r="N490" s="1036"/>
      <c r="O490" s="1038"/>
      <c r="P490" s="434"/>
    </row>
    <row r="491" spans="5:16" ht="29" x14ac:dyDescent="0.25">
      <c r="E491" s="1044" t="str">
        <f>INDEX(K491:O491, , F$2)</f>
        <v>Production bonus into cost recovery</v>
      </c>
      <c r="J491" s="434"/>
      <c r="K491" s="1036" t="s">
        <v>1480</v>
      </c>
      <c r="L491" s="1053" t="s">
        <v>1481</v>
      </c>
      <c r="M491" s="1036" t="s">
        <v>1482</v>
      </c>
      <c r="N491" s="1036"/>
      <c r="O491" s="1038"/>
      <c r="P491" s="434"/>
    </row>
    <row r="492" spans="5:16" ht="29" x14ac:dyDescent="0.25">
      <c r="E492" s="1045" t="str">
        <f>INDEX(K492:O492, , F$2)</f>
        <v>Carbon tax into cost recovery</v>
      </c>
      <c r="J492" s="434"/>
      <c r="K492" s="1036" t="s">
        <v>1483</v>
      </c>
      <c r="L492" s="1053" t="s">
        <v>1484</v>
      </c>
      <c r="M492" s="1036" t="s">
        <v>1485</v>
      </c>
      <c r="N492" s="1036"/>
      <c r="O492" s="1038"/>
      <c r="P492" s="434"/>
    </row>
    <row r="493" spans="5:16" ht="29" x14ac:dyDescent="0.25">
      <c r="E493" s="1044" t="str" cm="1">
        <f t="array" ref="E493">INDEX(K493:O493, , F$2)</f>
        <v>Other costs immediately available for cost recovery</v>
      </c>
      <c r="J493" s="434"/>
      <c r="K493" s="1036" t="s">
        <v>1486</v>
      </c>
      <c r="L493" s="1053" t="s">
        <v>1487</v>
      </c>
      <c r="M493" s="1036" t="s">
        <v>1488</v>
      </c>
      <c r="N493" s="1036"/>
      <c r="O493" s="1038"/>
      <c r="P493" s="434"/>
    </row>
    <row r="494" spans="5:16" x14ac:dyDescent="0.25">
      <c r="E494" s="1044" t="str" cm="1">
        <f t="array" ref="E494">INDEX(K494:O494, , F$2)</f>
        <v>Determine if PSC regime active</v>
      </c>
      <c r="J494" s="434"/>
      <c r="K494" s="1036" t="s">
        <v>1489</v>
      </c>
      <c r="L494" s="1041" t="s">
        <v>1490</v>
      </c>
      <c r="M494" s="1036" t="s">
        <v>1491</v>
      </c>
      <c r="N494" s="1036"/>
      <c r="O494" s="1038"/>
      <c r="P494" s="434"/>
    </row>
    <row r="495" spans="5:16" x14ac:dyDescent="0.25">
      <c r="E495" s="1044" t="str" cm="1">
        <f t="array" ref="E495">INDEX(K495:O495, , F$2)</f>
        <v>DROP parameters</v>
      </c>
      <c r="J495" s="434"/>
      <c r="K495" s="1036" t="s">
        <v>1492</v>
      </c>
      <c r="L495" s="1041" t="s">
        <v>1493</v>
      </c>
      <c r="M495" s="1036" t="s">
        <v>1494</v>
      </c>
      <c r="N495" s="1036"/>
      <c r="O495" s="1038"/>
      <c r="P495" s="434"/>
    </row>
    <row r="496" spans="5:16" ht="29" x14ac:dyDescent="0.25">
      <c r="E496" s="1044" t="str" cm="1">
        <f t="array" ref="E496">INDEX(K496:O496, , F$2)</f>
        <v>Determine weighted average profit share</v>
      </c>
      <c r="J496" s="434"/>
      <c r="K496" s="1036" t="s">
        <v>1495</v>
      </c>
      <c r="L496" s="1053" t="s">
        <v>1496</v>
      </c>
      <c r="M496" s="1036" t="s">
        <v>1497</v>
      </c>
      <c r="N496" s="1036"/>
      <c r="O496" s="1038"/>
      <c r="P496" s="434"/>
    </row>
    <row r="497" spans="5:16" x14ac:dyDescent="0.25">
      <c r="E497" s="1044" t="str" cm="1">
        <f t="array" ref="E497">INDEX(K497:O497, , F$2)</f>
        <v>R-Factor numerator</v>
      </c>
      <c r="J497" s="434"/>
      <c r="K497" s="1036" t="s">
        <v>1498</v>
      </c>
      <c r="L497" s="1053" t="s">
        <v>1499</v>
      </c>
      <c r="M497" s="1036" t="s">
        <v>1500</v>
      </c>
      <c r="N497" s="1036"/>
      <c r="O497" s="1038"/>
      <c r="P497" s="434"/>
    </row>
    <row r="498" spans="5:16" x14ac:dyDescent="0.25">
      <c r="E498" s="1044" t="str" cm="1">
        <f t="array" ref="E498">INDEX(K498:O498, , F$2)</f>
        <v>R-Factor denominator</v>
      </c>
      <c r="J498" s="434"/>
      <c r="K498" s="1036" t="s">
        <v>1501</v>
      </c>
      <c r="L498" s="1053" t="s">
        <v>1502</v>
      </c>
      <c r="M498" s="1036" t="s">
        <v>1503</v>
      </c>
      <c r="N498" s="1036"/>
      <c r="O498" s="1038"/>
      <c r="P498" s="434"/>
    </row>
    <row r="499" spans="5:16" x14ac:dyDescent="0.25">
      <c r="E499" s="1044" t="str" cm="1">
        <f t="array" ref="E499">INDEX(K499:O499, , F$2)</f>
        <v>R-Factor parameters</v>
      </c>
      <c r="J499" s="434"/>
      <c r="K499" s="1036" t="s">
        <v>1504</v>
      </c>
      <c r="L499" s="1041" t="s">
        <v>1505</v>
      </c>
      <c r="M499" s="1036" t="s">
        <v>1506</v>
      </c>
      <c r="N499" s="1036"/>
      <c r="O499" s="1038"/>
      <c r="P499" s="434"/>
    </row>
    <row r="500" spans="5:16" x14ac:dyDescent="0.25">
      <c r="E500" s="1044" t="str" cm="1">
        <f t="array" ref="E500">INDEX(K500:O500, , F$2)</f>
        <v>Profit shares at each R-Factor tier</v>
      </c>
      <c r="J500" s="434"/>
      <c r="K500" s="1036" t="s">
        <v>1507</v>
      </c>
      <c r="L500" s="1053" t="s">
        <v>1508</v>
      </c>
      <c r="M500" s="1036" t="s">
        <v>1509</v>
      </c>
      <c r="N500" s="1036"/>
      <c r="O500" s="1038"/>
      <c r="P500" s="434"/>
    </row>
    <row r="501" spans="5:16" ht="29" x14ac:dyDescent="0.25">
      <c r="E501" s="1044" t="str" cm="1">
        <f t="array" ref="E501">INDEX(K501:O501, , F$2)</f>
        <v>Share profit oil between government and JV contractor group</v>
      </c>
      <c r="J501" s="434"/>
      <c r="K501" s="1036" t="s">
        <v>1510</v>
      </c>
      <c r="L501" s="1053" t="s">
        <v>1511</v>
      </c>
      <c r="M501" s="1036" t="s">
        <v>1512</v>
      </c>
      <c r="N501" s="1036"/>
      <c r="O501" s="1038"/>
      <c r="P501" s="434"/>
    </row>
    <row r="502" spans="5:16" x14ac:dyDescent="0.25">
      <c r="E502" s="1044" t="str" cm="1">
        <f t="array" ref="E502">INDEX(K502:O502, , F$2)</f>
        <v>Attribute profit oil between SOC and IOC</v>
      </c>
      <c r="J502" s="434"/>
      <c r="K502" s="1036" t="s">
        <v>1513</v>
      </c>
      <c r="L502" s="1053" t="s">
        <v>1514</v>
      </c>
      <c r="M502" s="1036" t="s">
        <v>1515</v>
      </c>
      <c r="N502" s="1036"/>
      <c r="O502" s="1038"/>
      <c r="P502" s="434"/>
    </row>
    <row r="503" spans="5:16" ht="29" x14ac:dyDescent="0.25">
      <c r="E503" s="1044" t="str" cm="1">
        <f t="array" ref="E503">INDEX(K503:O503, , F$2)</f>
        <v>Capitalized costs excluding interest (for RRT)</v>
      </c>
      <c r="J503" s="434"/>
      <c r="K503" s="1036" t="s">
        <v>1516</v>
      </c>
      <c r="L503" s="1053" t="s">
        <v>1517</v>
      </c>
      <c r="M503" s="1036" t="s">
        <v>1518</v>
      </c>
      <c r="N503" s="1036"/>
      <c r="O503" s="1038"/>
      <c r="P503" s="434"/>
    </row>
    <row r="504" spans="5:16" x14ac:dyDescent="0.25">
      <c r="E504" s="1044" t="str" cm="1">
        <f t="array" ref="E504">INDEX(K504:O504, , F$2)</f>
        <v>Cost base for straight-line depreciation</v>
      </c>
      <c r="J504" s="434"/>
      <c r="K504" s="1036" t="s">
        <v>1519</v>
      </c>
      <c r="L504" s="1053" t="s">
        <v>1520</v>
      </c>
      <c r="M504" s="1036" t="s">
        <v>1521</v>
      </c>
      <c r="N504" s="1036"/>
      <c r="O504" s="1038"/>
      <c r="P504" s="434"/>
    </row>
    <row r="505" spans="5:16" x14ac:dyDescent="0.25">
      <c r="E505" s="1044" t="str" cm="1">
        <f t="array" ref="E505">INDEX(K505:O505, , F$2)</f>
        <v>Determine fully depreciated costs</v>
      </c>
      <c r="J505" s="434"/>
      <c r="K505" s="1036" t="s">
        <v>1522</v>
      </c>
      <c r="L505" s="1053" t="s">
        <v>1523</v>
      </c>
      <c r="M505" s="1036" t="s">
        <v>1524</v>
      </c>
      <c r="N505" s="1036"/>
      <c r="O505" s="1038"/>
      <c r="P505" s="434"/>
    </row>
    <row r="506" spans="5:16" x14ac:dyDescent="0.25">
      <c r="E506" s="1044" t="str" cm="1">
        <f t="array" ref="E506">INDEX(K506:O506, , F$2)</f>
        <v>Balance of undepreciated assets</v>
      </c>
      <c r="J506" s="434"/>
      <c r="K506" s="1036" t="s">
        <v>1525</v>
      </c>
      <c r="L506" s="1041" t="s">
        <v>1526</v>
      </c>
      <c r="M506" s="1036" t="s">
        <v>1527</v>
      </c>
      <c r="N506" s="1036"/>
      <c r="O506" s="1038"/>
      <c r="P506" s="434"/>
    </row>
    <row r="507" spans="5:16" x14ac:dyDescent="0.25">
      <c r="E507" s="1044" t="str" cm="1">
        <f t="array" ref="E507">INDEX(K507:O507, , F$2)</f>
        <v>Total depreciation charge</v>
      </c>
      <c r="J507" s="434"/>
      <c r="K507" s="1036" t="s">
        <v>1528</v>
      </c>
      <c r="L507" s="1041" t="s">
        <v>1529</v>
      </c>
      <c r="M507" s="1036" t="s">
        <v>1530</v>
      </c>
      <c r="N507" s="1036"/>
      <c r="O507" s="1038"/>
      <c r="P507" s="434"/>
    </row>
    <row r="508" spans="5:16" x14ac:dyDescent="0.25">
      <c r="E508" s="1044" t="str" cm="1">
        <f t="array" ref="E508">INDEX(K508:O508, , F$2)</f>
        <v>Flags from project cashflows</v>
      </c>
      <c r="J508" s="434"/>
      <c r="K508" s="1036" t="s">
        <v>1531</v>
      </c>
      <c r="L508" s="1041" t="s">
        <v>1532</v>
      </c>
      <c r="M508" s="1036" t="s">
        <v>1533</v>
      </c>
      <c r="N508" s="1036"/>
      <c r="O508" s="1038"/>
      <c r="P508" s="434"/>
    </row>
    <row r="509" spans="5:16" x14ac:dyDescent="0.25">
      <c r="E509" s="1044" t="str" cm="1">
        <f t="array" ref="E509">INDEX(K509:O509, , F$2)</f>
        <v>Start year for each alternative</v>
      </c>
      <c r="J509" s="434"/>
      <c r="K509" s="1036" t="s">
        <v>1534</v>
      </c>
      <c r="L509" s="1041" t="s">
        <v>1535</v>
      </c>
      <c r="M509" s="1036" t="s">
        <v>1536</v>
      </c>
      <c r="N509" s="1036"/>
      <c r="O509" s="1038"/>
      <c r="P509" s="434"/>
    </row>
    <row r="510" spans="5:16" x14ac:dyDescent="0.25">
      <c r="E510" s="1044" t="str" cm="1">
        <f t="array" ref="E510">INDEX(K510:O510, , F$2)</f>
        <v>VAT applicable flag</v>
      </c>
      <c r="J510" s="434"/>
      <c r="K510" s="1036" t="s">
        <v>1537</v>
      </c>
      <c r="L510" s="1041" t="s">
        <v>1538</v>
      </c>
      <c r="M510" s="1036" t="s">
        <v>1539</v>
      </c>
      <c r="N510" s="1036"/>
      <c r="O510" s="1038"/>
      <c r="P510" s="434"/>
    </row>
    <row r="511" spans="5:16" x14ac:dyDescent="0.25">
      <c r="E511" s="1044" t="str" cm="1">
        <f t="array" ref="E511">INDEX(K511:O511, , F$2)</f>
        <v>Scheduled refunds</v>
      </c>
      <c r="J511" s="434"/>
      <c r="K511" s="1036" t="s">
        <v>1540</v>
      </c>
      <c r="L511" s="1041" t="s">
        <v>1541</v>
      </c>
      <c r="M511" s="1036" t="s">
        <v>1542</v>
      </c>
      <c r="N511" s="1036"/>
      <c r="O511" s="1038"/>
      <c r="P511" s="434"/>
    </row>
    <row r="512" spans="5:16" x14ac:dyDescent="0.25">
      <c r="E512" s="1044" t="str" cm="1">
        <f t="array" ref="E512">INDEX(K512:O512, , F$2)</f>
        <v>Loan available until</v>
      </c>
      <c r="J512" s="434"/>
      <c r="K512" s="1036" t="s">
        <v>1543</v>
      </c>
      <c r="L512" s="1053" t="s">
        <v>1544</v>
      </c>
      <c r="M512" s="1036" t="s">
        <v>1545</v>
      </c>
      <c r="N512" s="1036"/>
      <c r="O512" s="1038"/>
      <c r="P512" s="434"/>
    </row>
    <row r="513" spans="5:16" x14ac:dyDescent="0.25">
      <c r="E513" s="1044" t="str" cm="1">
        <f t="array" ref="E513">INDEX(K513:O513, , F$2)</f>
        <v xml:space="preserve">Drawdowns </v>
      </c>
      <c r="J513" s="434"/>
      <c r="K513" s="1036" t="s">
        <v>1546</v>
      </c>
      <c r="L513" s="1041" t="s">
        <v>1547</v>
      </c>
      <c r="M513" s="1036" t="s">
        <v>1548</v>
      </c>
      <c r="N513" s="1036"/>
      <c r="O513" s="1038"/>
      <c r="P513" s="434"/>
    </row>
    <row r="514" spans="5:16" x14ac:dyDescent="0.25">
      <c r="E514" s="1044" t="str" cm="1">
        <f t="array" ref="E514">INDEX(K514:O514, , F$2)</f>
        <v>Interest rate</v>
      </c>
      <c r="J514" s="434"/>
      <c r="K514" s="1036" t="s">
        <v>1549</v>
      </c>
      <c r="L514" s="1041" t="s">
        <v>1550</v>
      </c>
      <c r="M514" s="1036" t="s">
        <v>1551</v>
      </c>
      <c r="N514" s="1036"/>
      <c r="O514" s="1038"/>
      <c r="P514" s="434"/>
    </row>
    <row r="515" spans="5:16" x14ac:dyDescent="0.25">
      <c r="E515" s="1044" t="str" cm="1">
        <f t="array" ref="E515">INDEX(K515:O515, , F$2)</f>
        <v>Repayments</v>
      </c>
      <c r="J515" s="434"/>
      <c r="K515" s="1036" t="s">
        <v>1552</v>
      </c>
      <c r="L515" s="1041" t="s">
        <v>1553</v>
      </c>
      <c r="M515" s="1036" t="s">
        <v>1554</v>
      </c>
      <c r="N515" s="1036"/>
      <c r="O515" s="1038"/>
      <c r="P515" s="434"/>
    </row>
    <row r="516" spans="5:16" x14ac:dyDescent="0.25">
      <c r="E516" s="1044" t="str" cm="1">
        <f t="array" ref="E516">INDEX(K516:O516, , F$2)</f>
        <v>percentage of aggregate price</v>
      </c>
      <c r="J516" s="434"/>
      <c r="K516" s="1036" t="s">
        <v>1555</v>
      </c>
      <c r="L516" s="1041" t="s">
        <v>1556</v>
      </c>
      <c r="M516" s="1036" t="s">
        <v>1557</v>
      </c>
      <c r="N516" s="1036"/>
      <c r="O516" s="1038"/>
      <c r="P516" s="434"/>
    </row>
    <row r="517" spans="5:16" ht="43.5" x14ac:dyDescent="0.25">
      <c r="E517" s="1044" t="str" cm="1">
        <f t="array" ref="E517">INDEX(K517:O517, , F$2)</f>
        <v>assume this is the inflation rate if the carbon tax start year if before the model start year</v>
      </c>
      <c r="J517" s="434"/>
      <c r="K517" s="1036" t="s">
        <v>1558</v>
      </c>
      <c r="L517" s="1053" t="s">
        <v>1559</v>
      </c>
      <c r="M517" s="1036" t="s">
        <v>1560</v>
      </c>
      <c r="N517" s="1036"/>
      <c r="O517" s="1038"/>
      <c r="P517" s="434"/>
    </row>
    <row r="518" spans="5:16" ht="58" x14ac:dyDescent="0.25">
      <c r="E518" s="1044" t="str" cm="1">
        <f t="array" ref="E518">INDEX(K518:O518, , F$2)</f>
        <v>reflects assumption of aggregated cost recovery; in practice explore + development costs maybe recovered first by IOC</v>
      </c>
      <c r="J518" s="434"/>
      <c r="K518" s="1036" t="s">
        <v>1561</v>
      </c>
      <c r="L518" s="1053" t="s">
        <v>1562</v>
      </c>
      <c r="M518" s="1036" t="s">
        <v>1563</v>
      </c>
      <c r="N518" s="1036"/>
      <c r="O518" s="1038"/>
      <c r="P518" s="434"/>
    </row>
    <row r="519" spans="5:16" x14ac:dyDescent="0.25">
      <c r="E519" s="1044" t="str" cm="1">
        <f t="array" ref="E519">INDEX(K519:O519, , F$2)</f>
        <v>prior period to avoid circular calculations</v>
      </c>
      <c r="J519" s="434"/>
      <c r="K519" s="1036" t="s">
        <v>1564</v>
      </c>
      <c r="L519" s="1041" t="s">
        <v>1565</v>
      </c>
      <c r="M519" s="1036" t="s">
        <v>1566</v>
      </c>
      <c r="N519" s="1036"/>
      <c r="O519" s="1038"/>
      <c r="P519" s="434"/>
    </row>
    <row r="520" spans="5:16" x14ac:dyDescent="0.25">
      <c r="E520" s="1044" t="str" cm="1">
        <f t="array" ref="E520">INDEX(K520:O520, , F$2)</f>
        <v>User to add</v>
      </c>
      <c r="J520" s="434"/>
      <c r="K520" s="1036" t="s">
        <v>1567</v>
      </c>
      <c r="L520" s="1053" t="s">
        <v>1568</v>
      </c>
      <c r="M520" s="1036" t="s">
        <v>1569</v>
      </c>
      <c r="N520" s="1036"/>
      <c r="O520" s="1038"/>
      <c r="P520" s="434"/>
    </row>
    <row r="521" spans="5:16" x14ac:dyDescent="0.25">
      <c r="E521" s="1044" t="str" cm="1">
        <f t="array" ref="E521">INDEX(K521:O521, , F$2)</f>
        <v>100% attributed to IOC</v>
      </c>
      <c r="J521" s="434"/>
      <c r="K521" s="1036" t="s">
        <v>1570</v>
      </c>
      <c r="L521" s="1041" t="s">
        <v>1571</v>
      </c>
      <c r="M521" s="1036" t="s">
        <v>1572</v>
      </c>
      <c r="N521" s="1036"/>
      <c r="O521" s="1038"/>
      <c r="P521" s="434"/>
    </row>
    <row r="522" spans="5:16" x14ac:dyDescent="0.25">
      <c r="E522" s="1044" t="str" cm="1">
        <f t="array" ref="E522">INDEX(K522:O522, , F$2)</f>
        <v>assumed via depreciation</v>
      </c>
      <c r="J522" s="434"/>
      <c r="K522" s="1036" t="s">
        <v>1573</v>
      </c>
      <c r="L522" s="1041" t="s">
        <v>1574</v>
      </c>
      <c r="M522" s="1036" t="s">
        <v>1575</v>
      </c>
      <c r="N522" s="1036"/>
      <c r="O522" s="1038"/>
      <c r="P522" s="434"/>
    </row>
    <row r="523" spans="5:16" x14ac:dyDescent="0.25">
      <c r="E523" s="1044" t="str" cm="1">
        <f t="array" ref="E523">INDEX(K523:O523, , F$2)</f>
        <v>With PSC royalty is netted off revenues</v>
      </c>
      <c r="J523" s="434"/>
      <c r="K523" s="1036" t="s">
        <v>1576</v>
      </c>
      <c r="L523" s="1041" t="s">
        <v>1577</v>
      </c>
      <c r="M523" s="1036" t="s">
        <v>1578</v>
      </c>
      <c r="N523" s="1036"/>
      <c r="O523" s="1038"/>
      <c r="P523" s="434"/>
    </row>
    <row r="524" spans="5:16" x14ac:dyDescent="0.25">
      <c r="E524" s="1044" t="str" cm="1">
        <f t="array" ref="E524">INDEX(K524:O524, , F$2)</f>
        <v>assumes permanent carry forward</v>
      </c>
      <c r="J524" s="434"/>
      <c r="K524" s="1036" t="s">
        <v>1579</v>
      </c>
      <c r="L524" s="1041" t="s">
        <v>1580</v>
      </c>
      <c r="M524" s="1036" t="s">
        <v>1581</v>
      </c>
      <c r="N524" s="1036"/>
      <c r="O524" s="1038"/>
      <c r="P524" s="434"/>
    </row>
    <row r="525" spans="5:16" ht="29" x14ac:dyDescent="0.25">
      <c r="E525" s="1044" t="str" cm="1">
        <f t="array" ref="E525">INDEX(K525:O525, , F$2)</f>
        <v>assumes 100% is creditable / refundable</v>
      </c>
      <c r="J525" s="434"/>
      <c r="K525" s="1036" t="s">
        <v>1582</v>
      </c>
      <c r="L525" s="1053" t="s">
        <v>1583</v>
      </c>
      <c r="M525" s="1036" t="s">
        <v>1584</v>
      </c>
      <c r="N525" s="1036"/>
      <c r="O525" s="1038"/>
      <c r="P525" s="434"/>
    </row>
    <row r="526" spans="5:16" ht="87" x14ac:dyDescent="0.25">
      <c r="E526" s="1044" t="str" cm="1">
        <f t="array" ref="E526">INDEX(K526:O526, , F$2)</f>
        <v>Distributions are made once equity cashflows are positive. Distributions are deemed return of capital and do not attract withholding tax after the total positive post-tax cashflow has been distributed as dividends.</v>
      </c>
      <c r="J526" s="434"/>
      <c r="K526" s="1036" t="s">
        <v>1585</v>
      </c>
      <c r="L526" s="1041" t="s">
        <v>1586</v>
      </c>
      <c r="M526" s="1036" t="s">
        <v>1587</v>
      </c>
      <c r="N526" s="1036"/>
      <c r="O526" s="1038"/>
      <c r="P526" s="434"/>
    </row>
    <row r="527" spans="5:16" x14ac:dyDescent="0.25">
      <c r="E527" s="1044" t="str" cm="1">
        <f t="array" ref="E527">INDEX(K527:O527, , F$2)</f>
        <v>into depreciation</v>
      </c>
      <c r="J527" s="434"/>
      <c r="K527" s="1036" t="s">
        <v>1588</v>
      </c>
      <c r="L527" s="1053" t="s">
        <v>1589</v>
      </c>
      <c r="M527" s="1036" t="s">
        <v>1590</v>
      </c>
      <c r="N527" s="1036"/>
      <c r="O527" s="1038"/>
      <c r="P527" s="434"/>
    </row>
    <row r="528" spans="5:16" x14ac:dyDescent="0.25">
      <c r="E528" s="1044" t="str" cm="1">
        <f t="array" ref="E528">INDEX(K528:O528, , F$2)</f>
        <v>Label</v>
      </c>
      <c r="J528" s="434"/>
      <c r="K528" s="1036" t="s">
        <v>1591</v>
      </c>
      <c r="L528" s="1041" t="s">
        <v>1592</v>
      </c>
      <c r="M528" s="1036" t="s">
        <v>1593</v>
      </c>
      <c r="N528" s="1036"/>
      <c r="O528" s="1038"/>
      <c r="P528" s="434"/>
    </row>
    <row r="529" spans="5:16" x14ac:dyDescent="0.25">
      <c r="E529" s="1044" t="str" cm="1">
        <f t="array" ref="E529">INDEX(K529:O529, , F$2)</f>
        <v>add</v>
      </c>
      <c r="J529" s="434"/>
      <c r="K529" s="1036" t="s">
        <v>1594</v>
      </c>
      <c r="L529" s="1041" t="s">
        <v>1595</v>
      </c>
      <c r="M529" s="1036" t="s">
        <v>1596</v>
      </c>
      <c r="N529" s="1036"/>
      <c r="O529" s="1038"/>
      <c r="P529" s="434"/>
    </row>
    <row r="530" spans="5:16" x14ac:dyDescent="0.25">
      <c r="E530" s="1044" t="str" cm="1">
        <f t="array" ref="E530">INDEX(K530:O530, , F$2)</f>
        <v>less</v>
      </c>
      <c r="J530" s="434"/>
      <c r="K530" s="1036" t="s">
        <v>50</v>
      </c>
      <c r="L530" s="1041" t="s">
        <v>1597</v>
      </c>
      <c r="M530" s="1036" t="s">
        <v>1598</v>
      </c>
      <c r="N530" s="1036"/>
      <c r="O530" s="1038"/>
      <c r="P530" s="434"/>
    </row>
    <row r="531" spans="5:16" x14ac:dyDescent="0.25">
      <c r="E531" s="1044" t="str" cm="1">
        <f t="array" ref="E531">INDEX(K531:O531, , F$2)</f>
        <v>VAT charged</v>
      </c>
      <c r="J531" s="434"/>
      <c r="K531" s="1036" t="s">
        <v>1599</v>
      </c>
      <c r="L531" s="1053" t="s">
        <v>1600</v>
      </c>
      <c r="M531" s="1036" t="s">
        <v>1601</v>
      </c>
      <c r="N531" s="1036"/>
      <c r="O531" s="1038"/>
      <c r="P531" s="434"/>
    </row>
    <row r="532" spans="5:16" x14ac:dyDescent="0.25">
      <c r="E532" s="1044" t="str" cm="1">
        <f t="array" ref="E532">INDEX(K532:O532, , F$2)</f>
        <v>adjusted</v>
      </c>
      <c r="J532" s="434"/>
      <c r="K532" s="1036" t="s">
        <v>1602</v>
      </c>
      <c r="L532" s="1053" t="s">
        <v>1603</v>
      </c>
      <c r="M532" s="1036" t="s">
        <v>1604</v>
      </c>
      <c r="N532" s="1036"/>
      <c r="O532" s="1038"/>
      <c r="P532" s="434"/>
    </row>
    <row r="533" spans="5:16" x14ac:dyDescent="0.25">
      <c r="E533" s="1044" t="str" cm="1">
        <f t="array" ref="E533">INDEX(K533:O533, , F$2)</f>
        <v>applicable</v>
      </c>
      <c r="J533" s="434"/>
      <c r="K533" s="1036" t="s">
        <v>1605</v>
      </c>
      <c r="L533" s="1041" t="s">
        <v>1605</v>
      </c>
      <c r="M533" s="1036" t="s">
        <v>1606</v>
      </c>
      <c r="N533" s="1036"/>
      <c r="O533" s="1038"/>
      <c r="P533" s="434"/>
    </row>
    <row r="534" spans="5:16" x14ac:dyDescent="0.25">
      <c r="E534" s="1044" t="str" cm="1">
        <f t="array" ref="E534">INDEX(K534:O534, , F$2)</f>
        <v>into cost recovery</v>
      </c>
      <c r="J534" s="434"/>
      <c r="K534" s="1036" t="s">
        <v>1607</v>
      </c>
      <c r="L534" s="1053" t="s">
        <v>1608</v>
      </c>
      <c r="M534" s="1036" t="s">
        <v>1609</v>
      </c>
      <c r="N534" s="1036"/>
      <c r="O534" s="1038"/>
      <c r="P534" s="434"/>
    </row>
    <row r="535" spans="5:16" x14ac:dyDescent="0.25">
      <c r="E535" s="1044" t="str" cm="1">
        <f t="array" ref="E535">INDEX(K535:O535, , F$2)</f>
        <v>attributable to: SOC</v>
      </c>
      <c r="J535" s="434"/>
      <c r="K535" s="1036" t="s">
        <v>1610</v>
      </c>
      <c r="L535" s="1053" t="s">
        <v>1611</v>
      </c>
      <c r="M535" s="1036" t="s">
        <v>1612</v>
      </c>
      <c r="N535" s="1036"/>
      <c r="O535" s="1038"/>
      <c r="P535" s="434"/>
    </row>
    <row r="536" spans="5:16" x14ac:dyDescent="0.25">
      <c r="E536" s="1044" t="str" cm="1">
        <f t="array" ref="E536">INDEX(K536:O536, , F$2)</f>
        <v>attributable to: IOC</v>
      </c>
      <c r="J536" s="434"/>
      <c r="K536" s="1036" t="s">
        <v>1613</v>
      </c>
      <c r="L536" s="1041" t="s">
        <v>1614</v>
      </c>
      <c r="M536" s="1036" t="s">
        <v>1615</v>
      </c>
      <c r="N536" s="1036"/>
      <c r="O536" s="1038"/>
      <c r="P536" s="434"/>
    </row>
    <row r="537" spans="5:16" x14ac:dyDescent="0.25">
      <c r="E537" s="1044" t="str" cm="1">
        <f t="array" ref="E537">INDEX(K537:O537, , F$2)</f>
        <v>Post-financing</v>
      </c>
      <c r="J537" s="434"/>
      <c r="K537" s="1036" t="s">
        <v>1616</v>
      </c>
      <c r="L537" s="1041" t="s">
        <v>1617</v>
      </c>
      <c r="M537" s="1036" t="s">
        <v>1618</v>
      </c>
      <c r="N537" s="1036"/>
      <c r="O537" s="1038"/>
      <c r="P537" s="434"/>
    </row>
    <row r="538" spans="5:16" x14ac:dyDescent="0.25">
      <c r="E538" s="1044" t="str" cm="1">
        <f t="array" ref="E538">INDEX(K538:O538, , F$2)</f>
        <v>deductible</v>
      </c>
      <c r="J538" s="434"/>
      <c r="K538" s="1036" t="s">
        <v>1619</v>
      </c>
      <c r="L538" s="1041" t="s">
        <v>1620</v>
      </c>
      <c r="M538" s="1036" t="s">
        <v>1621</v>
      </c>
      <c r="N538" s="1036"/>
      <c r="O538" s="1038"/>
      <c r="P538" s="434"/>
    </row>
    <row r="539" spans="5:16" x14ac:dyDescent="0.25">
      <c r="E539" s="1044" t="str" cm="1">
        <f t="array" ref="E539">INDEX(K539:O539, , F$2)</f>
        <v>SOC</v>
      </c>
      <c r="J539" s="434"/>
      <c r="K539" s="1036" t="s">
        <v>1622</v>
      </c>
      <c r="L539" s="1053" t="s">
        <v>1623</v>
      </c>
      <c r="M539" s="1036" t="s">
        <v>1624</v>
      </c>
      <c r="N539" s="1036"/>
      <c r="O539" s="1038"/>
      <c r="P539" s="434"/>
    </row>
    <row r="540" spans="5:16" x14ac:dyDescent="0.25">
      <c r="E540" s="1044" t="str" cm="1">
        <f t="array" ref="E540">INDEX(K540:O540, , F$2)</f>
        <v>proportion of total</v>
      </c>
      <c r="J540" s="434"/>
      <c r="K540" s="1036" t="s">
        <v>1625</v>
      </c>
      <c r="L540" s="1041" t="s">
        <v>1626</v>
      </c>
      <c r="M540" s="1036" t="s">
        <v>1627</v>
      </c>
      <c r="N540" s="1036"/>
      <c r="O540" s="1038"/>
      <c r="P540" s="434"/>
    </row>
    <row r="541" spans="5:16" x14ac:dyDescent="0.25">
      <c r="E541" s="1044" t="str" cm="1">
        <f t="array" ref="E541">INDEX(K541:O541, , F$2)</f>
        <v>deducted immediately</v>
      </c>
      <c r="J541" s="434"/>
      <c r="K541" s="1036" t="s">
        <v>1628</v>
      </c>
      <c r="L541" s="1041" t="s">
        <v>1629</v>
      </c>
      <c r="M541" s="1036" t="s">
        <v>1630</v>
      </c>
      <c r="N541" s="1036"/>
      <c r="O541" s="1038"/>
      <c r="P541" s="434"/>
    </row>
    <row r="542" spans="5:16" x14ac:dyDescent="0.25">
      <c r="E542" s="1044" t="str" cm="1">
        <f t="array" ref="E542">INDEX(K542:O542, , F$2)</f>
        <v>T&amp;R</v>
      </c>
      <c r="J542" s="434"/>
      <c r="K542" s="1036" t="s">
        <v>44</v>
      </c>
      <c r="L542" s="1041" t="s">
        <v>1631</v>
      </c>
      <c r="M542" s="1036" t="s">
        <v>1631</v>
      </c>
      <c r="N542" s="1036"/>
      <c r="O542" s="1038"/>
      <c r="P542" s="434"/>
    </row>
    <row r="543" spans="5:16" x14ac:dyDescent="0.25">
      <c r="E543" s="1044" t="str" cm="1">
        <f t="array" ref="E543">INDEX(K543:O543, , F$2)</f>
        <v>deductible for CIT</v>
      </c>
      <c r="J543" s="434"/>
      <c r="K543" s="1036" t="s">
        <v>1632</v>
      </c>
      <c r="L543" s="1041" t="s">
        <v>1633</v>
      </c>
      <c r="M543" s="1036" t="s">
        <v>1634</v>
      </c>
      <c r="N543" s="1036"/>
      <c r="O543" s="1038"/>
      <c r="P543" s="434"/>
    </row>
    <row r="544" spans="5:16" x14ac:dyDescent="0.25">
      <c r="E544" s="1044" t="str" cm="1">
        <f t="array" ref="E544">INDEX(K544:O544, , F$2)</f>
        <v>deducted for RRT</v>
      </c>
      <c r="J544" s="434"/>
      <c r="K544" s="1036" t="s">
        <v>1635</v>
      </c>
      <c r="L544" s="1053" t="s">
        <v>1636</v>
      </c>
      <c r="M544" s="1036" t="s">
        <v>1637</v>
      </c>
      <c r="N544" s="1036"/>
      <c r="O544" s="1038"/>
      <c r="P544" s="434"/>
    </row>
    <row r="545" spans="5:16" x14ac:dyDescent="0.25">
      <c r="E545" s="1044" t="str" cm="1">
        <f t="array" ref="E545">INDEX(K545:O545, , F$2)</f>
        <v>POS</v>
      </c>
      <c r="J545" s="434"/>
      <c r="K545" s="1036" t="s">
        <v>1638</v>
      </c>
      <c r="L545" s="1041" t="s">
        <v>1638</v>
      </c>
      <c r="M545" s="1036" t="s">
        <v>1638</v>
      </c>
      <c r="N545" s="1036"/>
      <c r="O545" s="1038"/>
      <c r="P545" s="434"/>
    </row>
    <row r="546" spans="5:16" x14ac:dyDescent="0.25">
      <c r="E546" s="1044" t="str" cm="1">
        <f t="array" ref="E546">INDEX(K546:O546, , F$2)</f>
        <v>inflation indexed</v>
      </c>
      <c r="J546" s="434"/>
      <c r="K546" s="1036" t="s">
        <v>1639</v>
      </c>
      <c r="L546" s="1053" t="s">
        <v>1640</v>
      </c>
      <c r="M546" s="1036" t="s">
        <v>1641</v>
      </c>
      <c r="N546" s="1036"/>
      <c r="O546" s="1038"/>
      <c r="P546" s="434"/>
    </row>
    <row r="547" spans="5:16" x14ac:dyDescent="0.25">
      <c r="E547" s="1044" t="str" cm="1">
        <f t="array" ref="E547">INDEX(K547:O547, , F$2)</f>
        <v>not inflation indexed</v>
      </c>
      <c r="J547" s="434"/>
      <c r="K547" s="1036" t="s">
        <v>1642</v>
      </c>
      <c r="L547" s="1053" t="s">
        <v>1643</v>
      </c>
      <c r="M547" s="1036" t="s">
        <v>1644</v>
      </c>
      <c r="N547" s="1036"/>
      <c r="O547" s="1038"/>
      <c r="P547" s="434"/>
    </row>
    <row r="548" spans="5:16" x14ac:dyDescent="0.25">
      <c r="E548" s="1044" t="str" cm="1">
        <f t="array" ref="E548">INDEX(K548:O548, , F$2)</f>
        <v>above threshold</v>
      </c>
      <c r="J548" s="434"/>
      <c r="K548" s="1036" t="s">
        <v>1645</v>
      </c>
      <c r="L548" s="1041" t="s">
        <v>1646</v>
      </c>
      <c r="M548" s="1036" t="s">
        <v>1647</v>
      </c>
      <c r="N548" s="1036"/>
      <c r="O548" s="1038"/>
      <c r="P548" s="434"/>
    </row>
    <row r="549" spans="5:16" x14ac:dyDescent="0.25">
      <c r="E549" s="1044" t="str" cm="1">
        <f t="array" ref="E549">INDEX(K549:O549, , F$2)</f>
        <v>during financing period</v>
      </c>
      <c r="J549" s="434"/>
      <c r="K549" s="1036" t="s">
        <v>1648</v>
      </c>
      <c r="L549" s="1041" t="s">
        <v>1649</v>
      </c>
      <c r="M549" s="1036" t="s">
        <v>1650</v>
      </c>
      <c r="N549" s="1036"/>
      <c r="O549" s="1038"/>
      <c r="P549" s="434"/>
    </row>
    <row r="550" spans="5:16" x14ac:dyDescent="0.25">
      <c r="E550" s="1044" t="str" cm="1">
        <f t="array" ref="E550">INDEX(K550:O550, , F$2)</f>
        <v>Model first calendar year</v>
      </c>
      <c r="J550" s="434"/>
      <c r="K550" s="1036" t="s">
        <v>1651</v>
      </c>
      <c r="L550" s="1041" t="s">
        <v>1652</v>
      </c>
      <c r="M550" s="1036" t="s">
        <v>1653</v>
      </c>
      <c r="N550" s="1036"/>
      <c r="O550" s="1038"/>
      <c r="P550" s="434"/>
    </row>
    <row r="551" spans="5:16" x14ac:dyDescent="0.25">
      <c r="E551" s="1044" t="str" cm="1">
        <f t="array" ref="E551">INDEX(K551:O551, , F$2)</f>
        <v>ELT applies</v>
      </c>
      <c r="J551" s="434"/>
      <c r="K551" s="1036" t="s">
        <v>1654</v>
      </c>
      <c r="L551" s="1041" t="s">
        <v>1655</v>
      </c>
      <c r="M551" s="1036" t="s">
        <v>1656</v>
      </c>
      <c r="N551" s="1036"/>
      <c r="O551" s="1038"/>
      <c r="P551" s="434"/>
    </row>
    <row r="552" spans="5:16" x14ac:dyDescent="0.25">
      <c r="E552" s="1044" t="str" cm="1">
        <f t="array" ref="E552">INDEX(K552:O552, , F$2)</f>
        <v>Inflation rate</v>
      </c>
      <c r="J552" s="434"/>
      <c r="K552" s="1036" t="s">
        <v>1657</v>
      </c>
      <c r="L552" s="1041" t="s">
        <v>1658</v>
      </c>
      <c r="M552" s="1036" t="s">
        <v>1659</v>
      </c>
      <c r="N552" s="1036"/>
      <c r="O552" s="1038"/>
      <c r="P552" s="434"/>
    </row>
    <row r="553" spans="5:16" x14ac:dyDescent="0.25">
      <c r="E553" s="1044" t="str" cm="1">
        <f t="array" ref="E553">INDEX(K553:O553, , F$2)</f>
        <v>LIBOR</v>
      </c>
      <c r="J553" s="434"/>
      <c r="K553" s="1036" t="s">
        <v>1660</v>
      </c>
      <c r="L553" s="1041" t="s">
        <v>1660</v>
      </c>
      <c r="M553" s="1036" t="s">
        <v>1660</v>
      </c>
      <c r="N553" s="1036"/>
      <c r="O553" s="1038"/>
      <c r="P553" s="434"/>
    </row>
    <row r="554" spans="5:16" x14ac:dyDescent="0.25">
      <c r="E554" s="1044" t="str" cm="1">
        <f t="array" ref="E554">INDEX(K554:O554, , F$2)</f>
        <v>Net present value label</v>
      </c>
      <c r="J554" s="434"/>
      <c r="K554" s="1036" t="s">
        <v>1661</v>
      </c>
      <c r="L554" s="1041" t="s">
        <v>1662</v>
      </c>
      <c r="M554" s="1036" t="s">
        <v>1663</v>
      </c>
      <c r="N554" s="1036"/>
      <c r="O554" s="1038"/>
      <c r="P554" s="434"/>
    </row>
    <row r="555" spans="5:16" ht="29" x14ac:dyDescent="0.25">
      <c r="E555" s="1044" t="str" cm="1">
        <f t="array" ref="E555">INDEX(K555:O555, , F$2)</f>
        <v>NPV label using discount rate</v>
      </c>
      <c r="J555" s="434"/>
      <c r="K555" s="1036" t="s">
        <v>1664</v>
      </c>
      <c r="L555" s="1053" t="s">
        <v>1665</v>
      </c>
      <c r="M555" s="1036" t="s">
        <v>1666</v>
      </c>
      <c r="N555" s="1036"/>
      <c r="O555" s="1038"/>
      <c r="P555" s="434"/>
    </row>
    <row r="556" spans="5:16" x14ac:dyDescent="0.25">
      <c r="E556" s="1044" t="str" cm="1">
        <f t="array" ref="E556">INDEX(K556:O556, , F$2)</f>
        <v>Short NPV label</v>
      </c>
      <c r="J556" s="434"/>
      <c r="K556" s="1036" t="s">
        <v>1667</v>
      </c>
      <c r="L556" s="1041" t="s">
        <v>1668</v>
      </c>
      <c r="M556" s="1036" t="s">
        <v>1669</v>
      </c>
      <c r="N556" s="1036"/>
      <c r="O556" s="1038"/>
      <c r="P556" s="434"/>
    </row>
    <row r="557" spans="5:16" ht="29" x14ac:dyDescent="0.25">
      <c r="E557" s="1044" t="str" cm="1">
        <f t="array" ref="E557">INDEX(K557:O557, , F$2)</f>
        <v>Scope 1: Upstream carbon intensity</v>
      </c>
      <c r="J557" s="434"/>
      <c r="K557" s="1036" t="s">
        <v>1670</v>
      </c>
      <c r="L557" s="1041" t="s">
        <v>1671</v>
      </c>
      <c r="M557" s="1036" t="s">
        <v>1672</v>
      </c>
      <c r="N557" s="1036"/>
      <c r="O557" s="1038"/>
      <c r="P557" s="434"/>
    </row>
    <row r="558" spans="5:16" ht="29" x14ac:dyDescent="0.25">
      <c r="E558" s="1044" t="str" cm="1">
        <f t="array" ref="E558">INDEX(K558:O558, , F$2)</f>
        <v>Scope 3: Emissions per barrel of oil consumed</v>
      </c>
      <c r="J558" s="434"/>
      <c r="K558" s="1036" t="s">
        <v>1673</v>
      </c>
      <c r="L558" s="1041" t="s">
        <v>1674</v>
      </c>
      <c r="M558" s="1036" t="s">
        <v>1675</v>
      </c>
      <c r="N558" s="1036"/>
      <c r="O558" s="1038"/>
      <c r="P558" s="434"/>
    </row>
    <row r="559" spans="5:16" x14ac:dyDescent="0.25">
      <c r="E559" s="1044" t="str" cm="1">
        <f t="array" ref="E559">INDEX(K559:O559, , F$2)</f>
        <v>BoE energy content</v>
      </c>
      <c r="J559" s="434"/>
      <c r="K559" s="1036" t="s">
        <v>1676</v>
      </c>
      <c r="L559" s="1041" t="s">
        <v>1677</v>
      </c>
      <c r="M559" s="1036" t="s">
        <v>1678</v>
      </c>
      <c r="N559" s="1036"/>
      <c r="O559" s="1038"/>
      <c r="P559" s="434"/>
    </row>
    <row r="560" spans="5:16" x14ac:dyDescent="0.25">
      <c r="E560" s="1044" t="str" cm="1">
        <f t="array" ref="E560">INDEX(K560:O560, , F$2)</f>
        <v>Production days per year</v>
      </c>
      <c r="J560" s="434"/>
      <c r="K560" s="1036" t="s">
        <v>1679</v>
      </c>
      <c r="L560" s="1041" t="s">
        <v>1680</v>
      </c>
      <c r="M560" s="1036" t="s">
        <v>1681</v>
      </c>
      <c r="N560" s="1036"/>
      <c r="O560" s="1038"/>
      <c r="P560" s="434"/>
    </row>
    <row r="561" spans="2:16" x14ac:dyDescent="0.25">
      <c r="E561" s="1044" t="str" cm="1">
        <f t="array" ref="E561">INDEX(K561:O561, , F$2)</f>
        <v>one million</v>
      </c>
      <c r="J561" s="434"/>
      <c r="K561" s="1036" t="s">
        <v>1682</v>
      </c>
      <c r="L561" s="1041" t="s">
        <v>1683</v>
      </c>
      <c r="M561" s="1036" t="s">
        <v>1684</v>
      </c>
      <c r="N561" s="1036"/>
      <c r="O561" s="1038"/>
      <c r="P561" s="434"/>
    </row>
    <row r="562" spans="2:16" x14ac:dyDescent="0.25">
      <c r="E562" s="1044" t="str" cm="1">
        <f t="array" ref="E562">INDEX(K562:O562, , F$2)</f>
        <v>one thousand</v>
      </c>
      <c r="J562" s="434"/>
      <c r="K562" s="1036" t="s">
        <v>1685</v>
      </c>
      <c r="L562" s="1041" t="s">
        <v>1686</v>
      </c>
      <c r="M562" s="1036" t="s">
        <v>1687</v>
      </c>
      <c r="N562" s="1036"/>
      <c r="O562" s="1038"/>
      <c r="P562" s="434"/>
    </row>
    <row r="563" spans="2:16" x14ac:dyDescent="0.25">
      <c r="E563" s="1044" t="str" cm="1">
        <f t="array" ref="E563">INDEX(K563:O563, , F$2)</f>
        <v>one hundred</v>
      </c>
      <c r="J563" s="434"/>
      <c r="K563" s="1036" t="s">
        <v>1688</v>
      </c>
      <c r="L563" s="1041" t="s">
        <v>1689</v>
      </c>
      <c r="M563" s="1036" t="s">
        <v>1690</v>
      </c>
      <c r="N563" s="1036"/>
      <c r="O563" s="1038"/>
      <c r="P563" s="434"/>
    </row>
    <row r="564" spans="2:16" x14ac:dyDescent="0.25">
      <c r="E564" s="1044" t="str" cm="1">
        <f t="array" ref="E564">INDEX(K564:O564, , F$2)</f>
        <v>Model check tolerance level</v>
      </c>
      <c r="J564" s="434"/>
      <c r="K564" s="1036" t="s">
        <v>1691</v>
      </c>
      <c r="L564" s="1053" t="s">
        <v>1692</v>
      </c>
      <c r="M564" s="1036" t="s">
        <v>1693</v>
      </c>
      <c r="N564" s="1036"/>
      <c r="O564" s="1038"/>
      <c r="P564" s="434"/>
    </row>
    <row r="565" spans="2:16" x14ac:dyDescent="0.25">
      <c r="E565" s="1044" t="str" cm="1">
        <f t="array" ref="E565">INDEX(K565:O565, , F$2)</f>
        <v>English</v>
      </c>
      <c r="J565" s="434"/>
      <c r="K565" s="1036" t="s">
        <v>23</v>
      </c>
      <c r="L565" s="1041" t="s">
        <v>1694</v>
      </c>
      <c r="M565" s="1036" t="s">
        <v>1695</v>
      </c>
      <c r="N565" s="1036"/>
      <c r="O565" s="1038"/>
      <c r="P565" s="434"/>
    </row>
    <row r="566" spans="2:16" x14ac:dyDescent="0.25">
      <c r="E566" s="1044" t="str" cm="1">
        <f t="array" ref="E566">INDEX(K566:O566, , F$2)</f>
        <v>French</v>
      </c>
      <c r="J566" s="434"/>
      <c r="K566" s="1036" t="s">
        <v>36</v>
      </c>
      <c r="L566" s="1041" t="s">
        <v>1696</v>
      </c>
      <c r="M566" s="1036" t="s">
        <v>1697</v>
      </c>
      <c r="N566" s="1036"/>
      <c r="O566" s="1038"/>
      <c r="P566" s="434"/>
    </row>
    <row r="567" spans="2:16" x14ac:dyDescent="0.25">
      <c r="E567" s="1044" t="str" cm="1">
        <f t="array" ref="E567">INDEX(K567:O567, , F$2)</f>
        <v>Spanish</v>
      </c>
      <c r="J567" s="434"/>
      <c r="K567" s="1036" t="s">
        <v>37</v>
      </c>
      <c r="L567" s="1041" t="s">
        <v>1698</v>
      </c>
      <c r="M567" s="1036" t="s">
        <v>1699</v>
      </c>
      <c r="N567" s="1036"/>
      <c r="O567" s="1038"/>
      <c r="P567" s="434"/>
    </row>
    <row r="568" spans="2:16" x14ac:dyDescent="0.25">
      <c r="E568" s="1044" t="str" cm="1">
        <f t="array" ref="E568">INDEX(K568:O568, , F$2)</f>
        <v>Language selected</v>
      </c>
      <c r="J568" s="434"/>
      <c r="K568" s="1036" t="s">
        <v>1700</v>
      </c>
      <c r="L568" s="1041" t="s">
        <v>1701</v>
      </c>
      <c r="M568" s="1036" t="s">
        <v>1702</v>
      </c>
      <c r="N568" s="1036"/>
      <c r="O568" s="1038"/>
      <c r="P568" s="434"/>
    </row>
    <row r="569" spans="2:16" x14ac:dyDescent="0.25">
      <c r="E569" s="1044" t="str" cm="1">
        <f t="array" ref="E569">INDEX(K569:O569, , F$2)</f>
        <v>Raw project data</v>
      </c>
      <c r="J569" s="434"/>
      <c r="K569" s="1036" t="s">
        <v>1703</v>
      </c>
      <c r="L569" s="1053" t="s">
        <v>1704</v>
      </c>
      <c r="M569" s="1036" t="s">
        <v>1705</v>
      </c>
      <c r="N569" s="1036"/>
      <c r="O569" s="1038"/>
      <c r="P569" s="434"/>
    </row>
    <row r="570" spans="2:16" x14ac:dyDescent="0.25">
      <c r="B570" s="840"/>
      <c r="E570" s="1044" t="str" cm="1">
        <f t="array" ref="E570">INDEX(K570:O570, , F$2)</f>
        <v>Data for selected project</v>
      </c>
      <c r="J570" s="434"/>
      <c r="K570" s="1036" t="s">
        <v>1706</v>
      </c>
      <c r="L570" s="1041" t="s">
        <v>1707</v>
      </c>
      <c r="M570" s="1036" t="s">
        <v>1708</v>
      </c>
      <c r="N570" s="1036"/>
      <c r="O570" s="1038"/>
      <c r="P570" s="434"/>
    </row>
    <row r="571" spans="2:16" x14ac:dyDescent="0.25">
      <c r="E571" s="1044" t="str" cm="1">
        <f t="array" ref="E571">INDEX(K571:O571, , F$2)</f>
        <v>Model timeline</v>
      </c>
      <c r="J571" s="434"/>
      <c r="K571" s="1036" t="s">
        <v>1709</v>
      </c>
      <c r="L571" s="1041" t="s">
        <v>1710</v>
      </c>
      <c r="M571" s="1036" t="s">
        <v>1711</v>
      </c>
      <c r="N571" s="1036"/>
      <c r="O571" s="1038"/>
      <c r="P571" s="434"/>
    </row>
    <row r="572" spans="2:16" ht="29" x14ac:dyDescent="0.25">
      <c r="E572" s="1044" t="str" cm="1">
        <f t="array" ref="E572">INDEX(K572:O572, , F$2)</f>
        <v>Project data with sensitivity factors applied</v>
      </c>
      <c r="J572" s="434"/>
      <c r="K572" s="1036" t="s">
        <v>1712</v>
      </c>
      <c r="L572" s="1053" t="s">
        <v>1713</v>
      </c>
      <c r="M572" s="1036" t="s">
        <v>1714</v>
      </c>
      <c r="N572" s="1036"/>
      <c r="O572" s="1038"/>
      <c r="P572" s="434"/>
    </row>
    <row r="573" spans="2:16" x14ac:dyDescent="0.25">
      <c r="E573" s="1044" t="str" cm="1">
        <f t="array" ref="E573">INDEX(K573:O573, , F$2)</f>
        <v xml:space="preserve">Peak production </v>
      </c>
      <c r="J573" s="434"/>
      <c r="K573" s="1036" t="s">
        <v>1715</v>
      </c>
      <c r="L573" s="1041" t="s">
        <v>1716</v>
      </c>
      <c r="M573" s="1036" t="s">
        <v>1717</v>
      </c>
      <c r="N573" s="1036"/>
      <c r="O573" s="1038"/>
      <c r="P573" s="434"/>
    </row>
    <row r="574" spans="2:16" x14ac:dyDescent="0.25">
      <c r="E574" s="1044" t="str" cm="1">
        <f t="array" ref="E574">INDEX(K574:O574, , F$2)</f>
        <v>Peak production year</v>
      </c>
      <c r="J574" s="434"/>
      <c r="K574" s="1036" t="s">
        <v>1718</v>
      </c>
      <c r="L574" s="1041" t="s">
        <v>1719</v>
      </c>
      <c r="M574" s="1036" t="s">
        <v>1720</v>
      </c>
      <c r="N574" s="1036"/>
      <c r="O574" s="1038"/>
      <c r="P574" s="434"/>
    </row>
    <row r="575" spans="2:16" x14ac:dyDescent="0.25">
      <c r="E575" s="1044" t="str" cm="1">
        <f t="array" ref="E575">INDEX(K575:O575, , F$2)</f>
        <v>into model</v>
      </c>
      <c r="J575" s="434"/>
      <c r="K575" s="1036" t="s">
        <v>1721</v>
      </c>
      <c r="L575" s="1041" t="s">
        <v>1722</v>
      </c>
      <c r="M575" s="1036" t="s">
        <v>1723</v>
      </c>
      <c r="N575" s="1036"/>
      <c r="O575" s="1038"/>
      <c r="P575" s="434"/>
    </row>
    <row r="576" spans="2:16" x14ac:dyDescent="0.25">
      <c r="E576" s="1044" t="str" cm="1">
        <f t="array" ref="E576">INDEX(K576:O576, , F$2)</f>
        <v>Oil price realized from sales</v>
      </c>
      <c r="J576" s="434"/>
      <c r="K576" s="1036" t="s">
        <v>1724</v>
      </c>
      <c r="L576" s="1041" t="s">
        <v>1725</v>
      </c>
      <c r="M576" s="1036" t="s">
        <v>1726</v>
      </c>
      <c r="N576" s="1036"/>
      <c r="O576" s="1038"/>
      <c r="P576" s="434"/>
    </row>
    <row r="577" spans="5:16" x14ac:dyDescent="0.25">
      <c r="E577" s="1044" t="str" cm="1">
        <f t="array" ref="E577">INDEX(K577:O577, , F$2)</f>
        <v>Oil revenues gross</v>
      </c>
      <c r="J577" s="434"/>
      <c r="K577" s="1036" t="s">
        <v>1727</v>
      </c>
      <c r="L577" s="1041" t="s">
        <v>1728</v>
      </c>
      <c r="M577" s="1036" t="s">
        <v>1729</v>
      </c>
      <c r="N577" s="1036"/>
      <c r="O577" s="1038"/>
      <c r="P577" s="434"/>
    </row>
    <row r="578" spans="5:16" x14ac:dyDescent="0.25">
      <c r="E578" s="1044" t="str" cm="1">
        <f t="array" ref="E578">INDEX(K578:O578, , F$2)</f>
        <v>Oil revenues net</v>
      </c>
      <c r="J578" s="434"/>
      <c r="K578" s="1036" t="s">
        <v>1730</v>
      </c>
      <c r="L578" s="1041" t="s">
        <v>1731</v>
      </c>
      <c r="M578" s="1036" t="s">
        <v>1732</v>
      </c>
      <c r="N578" s="1036"/>
      <c r="O578" s="1038"/>
      <c r="P578" s="434"/>
    </row>
    <row r="579" spans="5:16" x14ac:dyDescent="0.25">
      <c r="E579" s="1044" t="str" cm="1">
        <f t="array" ref="E579">INDEX(K579:O579, , F$2)</f>
        <v>Project costs</v>
      </c>
      <c r="J579" s="434"/>
      <c r="K579" s="1036" t="s">
        <v>1733</v>
      </c>
      <c r="L579" s="1041" t="s">
        <v>1734</v>
      </c>
      <c r="M579" s="1036" t="s">
        <v>1735</v>
      </c>
      <c r="N579" s="1036"/>
      <c r="O579" s="1038"/>
      <c r="P579" s="434"/>
    </row>
    <row r="580" spans="5:16" x14ac:dyDescent="0.25">
      <c r="E580" s="1044" t="str" cm="1">
        <f t="array" ref="E580">INDEX(K580:O580, , F$2)</f>
        <v>Project cashflows, real before ELT</v>
      </c>
      <c r="J580" s="434"/>
      <c r="K580" s="1036" t="s">
        <v>1736</v>
      </c>
      <c r="L580" s="1041" t="s">
        <v>1737</v>
      </c>
      <c r="M580" s="1036" t="s">
        <v>1738</v>
      </c>
      <c r="N580" s="1036"/>
      <c r="O580" s="1038"/>
      <c r="P580" s="434"/>
    </row>
    <row r="581" spans="5:16" x14ac:dyDescent="0.25">
      <c r="E581" s="1044" t="str" cm="1">
        <f t="array" ref="E581">INDEX(K581:O581, , F$2)</f>
        <v>Economic Limit Test (ELT)</v>
      </c>
      <c r="J581" s="434"/>
      <c r="K581" s="1036" t="s">
        <v>1739</v>
      </c>
      <c r="L581" s="1041" t="s">
        <v>1740</v>
      </c>
      <c r="M581" s="1036" t="s">
        <v>1741</v>
      </c>
      <c r="N581" s="1036"/>
      <c r="O581" s="1038"/>
      <c r="P581" s="434"/>
    </row>
    <row r="582" spans="5:16" ht="43.5" x14ac:dyDescent="0.25">
      <c r="E582" s="1044" t="str" cm="1">
        <f t="array" ref="E582">INDEX(K582:O582, , F$2)</f>
        <v>Peak production year: assumed Economic Limit will not be triggered before this period</v>
      </c>
      <c r="J582" s="434"/>
      <c r="K582" s="1036" t="s">
        <v>1742</v>
      </c>
      <c r="L582" s="1041" t="s">
        <v>1743</v>
      </c>
      <c r="M582" s="1036" t="s">
        <v>1744</v>
      </c>
      <c r="N582" s="1036"/>
      <c r="O582" s="1038"/>
      <c r="P582" s="434"/>
    </row>
    <row r="583" spans="5:16" ht="29" x14ac:dyDescent="0.25">
      <c r="E583" s="1044" t="str" cm="1">
        <f t="array" ref="E583">INDEX(K583:O583, , F$2)</f>
        <v>Maximum cumulative cashflows used to determine when Econ Limit reached</v>
      </c>
      <c r="J583" s="434"/>
      <c r="K583" s="1036" t="s">
        <v>1745</v>
      </c>
      <c r="L583" s="1053" t="s">
        <v>1746</v>
      </c>
      <c r="M583" s="1036" t="s">
        <v>1747</v>
      </c>
      <c r="N583" s="1036"/>
      <c r="O583" s="1038"/>
      <c r="P583" s="434"/>
    </row>
    <row r="584" spans="5:16" x14ac:dyDescent="0.25">
      <c r="E584" s="1044" t="str" cm="1">
        <f t="array" ref="E584">INDEX(K584:O584, , F$2)</f>
        <v>Peak cumulative cashflows</v>
      </c>
      <c r="J584" s="434"/>
      <c r="K584" s="1036" t="s">
        <v>1748</v>
      </c>
      <c r="L584" s="1053" t="s">
        <v>1749</v>
      </c>
      <c r="M584" s="1036" t="s">
        <v>1750</v>
      </c>
      <c r="N584" s="1036"/>
      <c r="O584" s="1038"/>
      <c r="P584" s="434"/>
    </row>
    <row r="585" spans="5:16" x14ac:dyDescent="0.25">
      <c r="E585" s="1044" t="str" cm="1">
        <f t="array" ref="E585">INDEX(K585:O585, , F$2)</f>
        <v>Economic limit reached</v>
      </c>
      <c r="J585" s="434"/>
      <c r="K585" s="1036" t="s">
        <v>1751</v>
      </c>
      <c r="L585" s="1041" t="s">
        <v>1752</v>
      </c>
      <c r="M585" s="1036" t="s">
        <v>1753</v>
      </c>
      <c r="N585" s="1036"/>
      <c r="O585" s="1038"/>
      <c r="P585" s="434"/>
    </row>
    <row r="586" spans="5:16" x14ac:dyDescent="0.25">
      <c r="E586" s="1044" t="str" cm="1">
        <f t="array" ref="E586">INDEX(K586:O586, , F$2)</f>
        <v>Economic limit year based on cashflows</v>
      </c>
      <c r="J586" s="434"/>
      <c r="K586" s="1036" t="s">
        <v>1754</v>
      </c>
      <c r="L586" s="1041" t="s">
        <v>1755</v>
      </c>
      <c r="M586" s="1036" t="s">
        <v>1756</v>
      </c>
      <c r="N586" s="1036"/>
      <c r="O586" s="1038"/>
      <c r="P586" s="434"/>
    </row>
    <row r="587" spans="5:16" x14ac:dyDescent="0.25">
      <c r="E587" s="1044" t="str" cm="1">
        <f t="array" ref="E587">INDEX(K587:O587, , F$2)</f>
        <v>Project economic limit</v>
      </c>
      <c r="J587" s="434"/>
      <c r="K587" s="1036" t="s">
        <v>1757</v>
      </c>
      <c r="L587" s="1041" t="s">
        <v>1758</v>
      </c>
      <c r="M587" s="1036" t="s">
        <v>1759</v>
      </c>
      <c r="N587" s="1036"/>
      <c r="O587" s="1038"/>
      <c r="P587" s="434"/>
    </row>
    <row r="588" spans="5:16" x14ac:dyDescent="0.25">
      <c r="E588" s="1044" t="str" cm="1">
        <f t="array" ref="E588">INDEX(K588:O588, , F$2)</f>
        <v>Reschedule decommissioning costs</v>
      </c>
      <c r="J588" s="434"/>
      <c r="K588" s="1036" t="s">
        <v>1760</v>
      </c>
      <c r="L588" s="1053" t="s">
        <v>1761</v>
      </c>
      <c r="M588" s="1036" t="s">
        <v>1762</v>
      </c>
      <c r="N588" s="1036"/>
      <c r="O588" s="1038"/>
      <c r="P588" s="434"/>
    </row>
    <row r="589" spans="5:16" x14ac:dyDescent="0.25">
      <c r="E589" s="1044" t="str" cm="1">
        <f t="array" ref="E589">INDEX(K589:O589, , F$2)</f>
        <v>incurred before ELT reached</v>
      </c>
      <c r="J589" s="434"/>
      <c r="K589" s="1036" t="s">
        <v>1763</v>
      </c>
      <c r="L589" s="1041" t="s">
        <v>1764</v>
      </c>
      <c r="M589" s="1036" t="s">
        <v>1765</v>
      </c>
      <c r="N589" s="1036"/>
      <c r="O589" s="1038"/>
      <c r="P589" s="434"/>
    </row>
    <row r="590" spans="5:16" ht="29" x14ac:dyDescent="0.25">
      <c r="E590" s="1044" t="str" cm="1">
        <f t="array" ref="E590">INDEX(K590:O590, , F$2)</f>
        <v>Decommissioning costs incurred after ELT year</v>
      </c>
      <c r="J590" s="434"/>
      <c r="K590" s="1036" t="s">
        <v>1766</v>
      </c>
      <c r="L590" s="1053" t="s">
        <v>1767</v>
      </c>
      <c r="M590" s="1036" t="s">
        <v>1768</v>
      </c>
      <c r="N590" s="1036"/>
      <c r="O590" s="1038"/>
      <c r="P590" s="434"/>
    </row>
    <row r="591" spans="5:16" ht="29" x14ac:dyDescent="0.25">
      <c r="E591" s="1044" t="str" cm="1">
        <f t="array" ref="E591">INDEX(K591:O591, , F$2)</f>
        <v>Post-production Decommissioning original start year</v>
      </c>
      <c r="J591" s="434"/>
      <c r="K591" s="1036" t="s">
        <v>1769</v>
      </c>
      <c r="L591" s="1053" t="s">
        <v>1770</v>
      </c>
      <c r="M591" s="1036" t="s">
        <v>1771</v>
      </c>
      <c r="N591" s="1036"/>
      <c r="O591" s="1038"/>
      <c r="P591" s="434"/>
    </row>
    <row r="592" spans="5:16" ht="29" x14ac:dyDescent="0.25">
      <c r="E592" s="1044" t="str" cm="1">
        <f t="array" ref="E592">INDEX(K592:O592, , F$2)</f>
        <v>Post-production Decommissioning start with ELT</v>
      </c>
      <c r="J592" s="434"/>
      <c r="K592" s="1036" t="s">
        <v>1772</v>
      </c>
      <c r="L592" s="1053" t="s">
        <v>1773</v>
      </c>
      <c r="M592" s="1036" t="s">
        <v>1774</v>
      </c>
      <c r="N592" s="1036"/>
      <c r="O592" s="1038"/>
      <c r="P592" s="434"/>
    </row>
    <row r="593" spans="5:16" x14ac:dyDescent="0.25">
      <c r="E593" s="1044" t="str" cm="1">
        <f t="array" ref="E593">INDEX(K593:O593, , F$2)</f>
        <v>EL reached before project end</v>
      </c>
      <c r="J593" s="434"/>
      <c r="K593" s="1036" t="s">
        <v>1775</v>
      </c>
      <c r="L593" s="1041" t="s">
        <v>1776</v>
      </c>
      <c r="M593" s="1036" t="s">
        <v>1777</v>
      </c>
      <c r="N593" s="1036"/>
      <c r="O593" s="1038"/>
      <c r="P593" s="434"/>
    </row>
    <row r="594" spans="5:16" ht="29" x14ac:dyDescent="0.25">
      <c r="E594" s="1044" t="str" cm="1">
        <f t="array" ref="E594">INDEX(K594:O594, , F$2)</f>
        <v>Post-production Decomm. Costs with ELT</v>
      </c>
      <c r="J594" s="434"/>
      <c r="K594" s="1036" t="s">
        <v>1778</v>
      </c>
      <c r="L594" s="1053" t="s">
        <v>1779</v>
      </c>
      <c r="M594" s="1036" t="s">
        <v>1780</v>
      </c>
      <c r="N594" s="1036"/>
      <c r="O594" s="1038"/>
      <c r="P594" s="434"/>
    </row>
    <row r="595" spans="5:16" x14ac:dyDescent="0.25">
      <c r="E595" s="1044" t="str" cm="1">
        <f t="array" ref="E595">INDEX(K595:O595, , F$2)</f>
        <v>after ELT</v>
      </c>
      <c r="J595" s="434"/>
      <c r="K595" s="1036" t="s">
        <v>1781</v>
      </c>
      <c r="L595" s="1053" t="s">
        <v>1782</v>
      </c>
      <c r="M595" s="1036" t="s">
        <v>1783</v>
      </c>
      <c r="N595" s="1036"/>
      <c r="O595" s="1038"/>
      <c r="P595" s="434"/>
    </row>
    <row r="596" spans="5:16" x14ac:dyDescent="0.25">
      <c r="E596" s="1044" t="str" cm="1">
        <f t="array" ref="E596">INDEX(K596:O596, , F$2)</f>
        <v>TOP OF FISCAL REGIME PARAMETERS</v>
      </c>
      <c r="J596" s="434"/>
      <c r="K596" s="1036" t="s">
        <v>1784</v>
      </c>
      <c r="L596" s="1041" t="s">
        <v>1785</v>
      </c>
      <c r="M596" s="1036" t="s">
        <v>1786</v>
      </c>
      <c r="N596" s="1036"/>
      <c r="O596" s="1038"/>
      <c r="P596" s="434"/>
    </row>
    <row r="597" spans="5:16" x14ac:dyDescent="0.25">
      <c r="E597" s="1044" t="str" cm="1">
        <f t="array" ref="E597">INDEX(K597:O597, , F$2)</f>
        <v>Row description</v>
      </c>
      <c r="J597" s="434"/>
      <c r="K597" s="1036" t="s">
        <v>1787</v>
      </c>
      <c r="L597" s="1041" t="s">
        <v>1788</v>
      </c>
      <c r="M597" s="1036" t="s">
        <v>1789</v>
      </c>
      <c r="N597" s="1036"/>
      <c r="O597" s="1038"/>
      <c r="P597" s="434"/>
    </row>
    <row r="598" spans="5:16" x14ac:dyDescent="0.25">
      <c r="E598" s="1044" t="str" cm="1">
        <f t="array" ref="E598">INDEX(K598:O598, , F$2)</f>
        <v>Constant</v>
      </c>
      <c r="J598" s="434"/>
      <c r="K598" s="1036" t="s">
        <v>1790</v>
      </c>
      <c r="L598" s="1041" t="s">
        <v>1791</v>
      </c>
      <c r="M598" s="1036" t="s">
        <v>1791</v>
      </c>
      <c r="N598" s="1036"/>
      <c r="O598" s="1038"/>
      <c r="P598" s="434"/>
    </row>
    <row r="599" spans="5:16" x14ac:dyDescent="0.25">
      <c r="E599" s="1044" t="str" cm="1">
        <f t="array" ref="E599">INDEX(K599:O599, , F$2)</f>
        <v>Units</v>
      </c>
      <c r="J599" s="434"/>
      <c r="K599" s="1036" t="s">
        <v>1792</v>
      </c>
      <c r="L599" s="1041" t="s">
        <v>1793</v>
      </c>
      <c r="M599" s="1036" t="s">
        <v>1794</v>
      </c>
      <c r="N599" s="1036"/>
      <c r="O599" s="1038"/>
      <c r="P599" s="434"/>
    </row>
    <row r="600" spans="5:16" x14ac:dyDescent="0.25">
      <c r="E600" s="1044" t="str" cm="1">
        <f t="array" ref="E600">INDEX(K600:O600, , F$2)</f>
        <v>Comments</v>
      </c>
      <c r="J600" s="434"/>
      <c r="K600" s="1036" t="s">
        <v>1795</v>
      </c>
      <c r="L600" s="1041" t="s">
        <v>1796</v>
      </c>
      <c r="M600" s="1036" t="s">
        <v>1797</v>
      </c>
      <c r="N600" s="1036"/>
      <c r="O600" s="1038"/>
      <c r="P600" s="434"/>
    </row>
    <row r="601" spans="5:16" x14ac:dyDescent="0.25">
      <c r="E601" s="1044" t="str" cm="1">
        <f t="array" ref="E601">INDEX(K601:O601, , F$2)</f>
        <v>Total</v>
      </c>
      <c r="J601" s="434"/>
      <c r="K601" s="1036" t="s">
        <v>1798</v>
      </c>
      <c r="L601" s="1041" t="s">
        <v>1798</v>
      </c>
      <c r="M601" s="1036" t="s">
        <v>1798</v>
      </c>
      <c r="N601" s="1036"/>
      <c r="O601" s="1038"/>
      <c r="P601" s="434"/>
    </row>
    <row r="602" spans="5:16" x14ac:dyDescent="0.25">
      <c r="E602" s="1044" t="str" cm="1">
        <f t="array" ref="E602">INDEX(K602:O602, , F$2)</f>
        <v>alternative sets of fiscal paramemters</v>
      </c>
      <c r="J602" s="434"/>
      <c r="K602" s="1036" t="s">
        <v>1799</v>
      </c>
      <c r="L602" s="1041" t="s">
        <v>1800</v>
      </c>
      <c r="M602" s="1036" t="s">
        <v>1801</v>
      </c>
      <c r="N602" s="1036"/>
      <c r="O602" s="1038"/>
      <c r="P602" s="434"/>
    </row>
    <row r="603" spans="5:16" x14ac:dyDescent="0.25">
      <c r="E603" s="1044" t="str" cm="1">
        <f t="array" ref="E603">INDEX(K603:O603, , F$2)</f>
        <v>US$ mn</v>
      </c>
      <c r="J603" s="434"/>
      <c r="K603" s="1036" t="s">
        <v>1802</v>
      </c>
      <c r="L603" s="1041" t="s">
        <v>1803</v>
      </c>
      <c r="M603" s="1036" t="s">
        <v>1803</v>
      </c>
      <c r="N603" s="1036"/>
      <c r="O603" s="1038"/>
      <c r="P603" s="434"/>
    </row>
    <row r="604" spans="5:16" x14ac:dyDescent="0.25">
      <c r="E604" s="1044" t="str" cm="1">
        <f t="array" ref="E604">INDEX(K604:O604, , F$2)</f>
        <v>Check</v>
      </c>
      <c r="J604" s="434"/>
      <c r="K604" s="1036" t="s">
        <v>1804</v>
      </c>
      <c r="L604" s="1041" t="s">
        <v>1805</v>
      </c>
      <c r="M604" s="1036" t="s">
        <v>1806</v>
      </c>
      <c r="N604" s="1036"/>
      <c r="O604" s="1038"/>
      <c r="P604" s="434"/>
    </row>
    <row r="605" spans="5:16" x14ac:dyDescent="0.25">
      <c r="E605" s="1044" t="str" cm="1">
        <f t="array" ref="E605">INDEX(K605:O605, , F$2)</f>
        <v>Bottom of fiscal regime parameters</v>
      </c>
      <c r="J605" s="434"/>
      <c r="K605" s="1036" t="s">
        <v>1807</v>
      </c>
      <c r="L605" s="1053" t="s">
        <v>1808</v>
      </c>
      <c r="M605" s="1036" t="s">
        <v>1809</v>
      </c>
      <c r="N605" s="1036"/>
      <c r="O605" s="1038"/>
      <c r="P605" s="434"/>
    </row>
    <row r="606" spans="5:16" x14ac:dyDescent="0.25">
      <c r="E606" s="1044" t="str" cm="1">
        <f t="array" ref="E606">INDEX(K606:O606, , F$2)</f>
        <v>Translation of options</v>
      </c>
      <c r="J606" s="434"/>
      <c r="K606" s="1036" t="s">
        <v>1810</v>
      </c>
      <c r="L606" s="1041" t="s">
        <v>1811</v>
      </c>
      <c r="M606" s="1036" t="s">
        <v>1812</v>
      </c>
      <c r="N606" s="1036"/>
      <c r="O606" s="1038"/>
      <c r="P606" s="434"/>
    </row>
    <row r="607" spans="5:16" x14ac:dyDescent="0.25">
      <c r="E607" s="1044" t="str" cm="1">
        <f t="array" ref="E607">INDEX(K607:O607, , F$2)</f>
        <v>Switch</v>
      </c>
      <c r="J607" s="434"/>
      <c r="K607" s="1036" t="s">
        <v>1813</v>
      </c>
      <c r="L607" s="1041" t="s">
        <v>1813</v>
      </c>
      <c r="M607" s="1036" t="s">
        <v>1814</v>
      </c>
      <c r="N607" s="1036"/>
      <c r="O607" s="1038"/>
      <c r="P607" s="434"/>
    </row>
    <row r="608" spans="5:16" x14ac:dyDescent="0.25">
      <c r="E608" s="1044" t="str" cm="1">
        <f t="array" ref="E608">INDEX(K608:O608, , F$2)</f>
        <v>Year</v>
      </c>
      <c r="J608" s="434"/>
      <c r="K608" s="1036" t="s">
        <v>1815</v>
      </c>
      <c r="L608" s="1041" t="s">
        <v>1816</v>
      </c>
      <c r="M608" s="1036" t="s">
        <v>1817</v>
      </c>
      <c r="N608" s="1036"/>
      <c r="O608" s="1038"/>
      <c r="P608" s="434"/>
    </row>
    <row r="609" spans="5:16" x14ac:dyDescent="0.25">
      <c r="E609" s="1044" t="str" cm="1">
        <f t="array" ref="E609">INDEX(K609:O609, , F$2)</f>
        <v>Calendar year</v>
      </c>
      <c r="J609" s="434"/>
      <c r="K609" s="1039" t="s">
        <v>1818</v>
      </c>
      <c r="L609" s="1041" t="s">
        <v>1819</v>
      </c>
      <c r="M609" s="1039" t="s">
        <v>1820</v>
      </c>
      <c r="N609" s="1039"/>
      <c r="O609" s="1038"/>
      <c r="P609" s="434"/>
    </row>
    <row r="610" spans="5:16" x14ac:dyDescent="0.25">
      <c r="E610" s="1044" t="str" cm="1">
        <f t="array" ref="E610">INDEX(K610:O610, , F$2)</f>
        <v>US$ / t CO2 eq</v>
      </c>
      <c r="J610" s="434"/>
      <c r="K610" s="1036" t="s">
        <v>1821</v>
      </c>
      <c r="L610" s="1041" t="s">
        <v>1822</v>
      </c>
      <c r="M610" s="1036" t="s">
        <v>1823</v>
      </c>
      <c r="N610" s="1036"/>
      <c r="O610" s="1038"/>
      <c r="P610" s="434"/>
    </row>
    <row r="611" spans="5:16" x14ac:dyDescent="0.25">
      <c r="E611" s="1044" t="str" cm="1">
        <f t="array" ref="E611">INDEX(K611:O611, , F$2)</f>
        <v>KBOPD</v>
      </c>
      <c r="J611" s="434"/>
      <c r="K611" s="1036" t="s">
        <v>1824</v>
      </c>
      <c r="L611" s="1041" t="s">
        <v>1824</v>
      </c>
      <c r="M611" s="1036" t="s">
        <v>1824</v>
      </c>
      <c r="N611" s="1036"/>
      <c r="O611" s="1038"/>
      <c r="P611" s="434"/>
    </row>
    <row r="612" spans="5:16" x14ac:dyDescent="0.25">
      <c r="E612" s="1044" t="str" cm="1">
        <f t="array" ref="E612">INDEX(K612:O612, , F$2)</f>
        <v>Project statistics and economic limit (EL)</v>
      </c>
      <c r="J612" s="434"/>
      <c r="K612" s="1036" t="s">
        <v>1825</v>
      </c>
      <c r="L612" s="1041" t="s">
        <v>1826</v>
      </c>
      <c r="M612" s="1036" t="s">
        <v>1827</v>
      </c>
      <c r="N612" s="1036"/>
      <c r="O612" s="1038"/>
      <c r="P612" s="434"/>
    </row>
    <row r="613" spans="5:16" x14ac:dyDescent="0.25">
      <c r="E613" s="1044" t="str" cm="1">
        <f t="array" ref="E613">INDEX(K613:O613, , F$2)</f>
        <v>Links to analytical routines</v>
      </c>
      <c r="J613" s="434"/>
      <c r="K613" s="1036" t="s">
        <v>1828</v>
      </c>
      <c r="L613" s="1053" t="s">
        <v>1829</v>
      </c>
      <c r="M613" s="1036" t="s">
        <v>1830</v>
      </c>
      <c r="N613" s="1036"/>
      <c r="O613" s="1038"/>
      <c r="P613" s="434"/>
    </row>
    <row r="614" spans="5:16" x14ac:dyDescent="0.25">
      <c r="E614" s="1044" t="str" cm="1">
        <f t="array" ref="E614">INDEX(K614:O614, , F$2)</f>
        <v>Dashboard analytical routines</v>
      </c>
      <c r="J614" s="434"/>
      <c r="K614" s="1036" t="s">
        <v>1831</v>
      </c>
      <c r="L614" s="1053" t="s">
        <v>1832</v>
      </c>
      <c r="M614" s="1036" t="s">
        <v>1833</v>
      </c>
      <c r="N614" s="1036"/>
      <c r="O614" s="1038"/>
      <c r="P614" s="434"/>
    </row>
    <row r="615" spans="5:16" x14ac:dyDescent="0.25">
      <c r="E615" s="1044" t="str" cm="1">
        <f t="array" ref="E615">INDEX(K615:O615, , F$2)</f>
        <v>Results from selected fiscal regimes</v>
      </c>
      <c r="J615" s="434"/>
      <c r="K615" s="1036" t="s">
        <v>1834</v>
      </c>
      <c r="L615" s="1041" t="s">
        <v>1835</v>
      </c>
      <c r="M615" s="1036" t="s">
        <v>1836</v>
      </c>
      <c r="N615" s="1036"/>
      <c r="O615" s="1038"/>
      <c r="P615" s="434"/>
    </row>
    <row r="616" spans="5:16" ht="29" x14ac:dyDescent="0.25">
      <c r="E616" s="1044" t="str" cm="1">
        <f t="array" ref="E616">INDEX(K616:O616, , F$2)</f>
        <v>Government revenue profiles under alternative regimes</v>
      </c>
      <c r="J616" s="434"/>
      <c r="K616" s="1036" t="s">
        <v>1837</v>
      </c>
      <c r="L616" s="1053" t="s">
        <v>1838</v>
      </c>
      <c r="M616" s="1036" t="s">
        <v>1839</v>
      </c>
      <c r="N616" s="1036"/>
      <c r="O616" s="1038"/>
      <c r="P616" s="434"/>
    </row>
    <row r="617" spans="5:16" x14ac:dyDescent="0.25">
      <c r="E617" s="1044" t="str" cm="1">
        <f t="array" ref="E617">INDEX(K617:O617, , F$2)</f>
        <v>Government share of profit oil</v>
      </c>
      <c r="J617" s="434"/>
      <c r="K617" s="1036" t="s">
        <v>1840</v>
      </c>
      <c r="L617" s="1053" t="s">
        <v>1841</v>
      </c>
      <c r="M617" s="1036" t="s">
        <v>1842</v>
      </c>
      <c r="N617" s="1036"/>
      <c r="O617" s="1038"/>
      <c r="P617" s="434"/>
    </row>
    <row r="618" spans="5:16" ht="29" x14ac:dyDescent="0.25">
      <c r="E618" s="1044" t="str" cm="1">
        <f t="array" ref="E618">INDEX(K618:O618, , F$2)</f>
        <v>Progressivity analysis across a range of oil prices</v>
      </c>
      <c r="J618" s="434"/>
      <c r="K618" s="1036" t="s">
        <v>1843</v>
      </c>
      <c r="L618" s="1053" t="s">
        <v>1844</v>
      </c>
      <c r="M618" s="1036" t="s">
        <v>1845</v>
      </c>
      <c r="N618" s="1036"/>
      <c r="O618" s="1038"/>
      <c r="P618" s="434"/>
    </row>
    <row r="619" spans="5:16" ht="29" x14ac:dyDescent="0.25">
      <c r="E619" s="1044" t="str" cm="1">
        <f t="array" ref="E619">INDEX(K619:O619, , F$2)</f>
        <v>Breakeven oil price and marginal effective tax rate</v>
      </c>
      <c r="J619" s="434"/>
      <c r="K619" s="1036" t="s">
        <v>1846</v>
      </c>
      <c r="L619" s="1041" t="s">
        <v>1847</v>
      </c>
      <c r="M619" s="1036" t="s">
        <v>1848</v>
      </c>
      <c r="N619" s="1036"/>
      <c r="O619" s="1038"/>
      <c r="P619" s="434"/>
    </row>
    <row r="620" spans="5:16" x14ac:dyDescent="0.25">
      <c r="E620" s="1044" t="str" cm="1">
        <f t="array" ref="E620">INDEX(K620:O620, , F$2)</f>
        <v>Net present value table</v>
      </c>
      <c r="J620" s="434"/>
      <c r="K620" s="1036" t="s">
        <v>1849</v>
      </c>
      <c r="L620" s="1041" t="s">
        <v>1850</v>
      </c>
      <c r="M620" s="1036" t="s">
        <v>1851</v>
      </c>
      <c r="N620" s="1036"/>
      <c r="O620" s="1038"/>
      <c r="P620" s="434"/>
    </row>
    <row r="621" spans="5:16" x14ac:dyDescent="0.25">
      <c r="E621" s="1044" t="str" cm="1">
        <f t="array" ref="E621">INDEX(K621:O621, , F$2)</f>
        <v xml:space="preserve">Return to </v>
      </c>
      <c r="J621" s="434"/>
      <c r="K621" s="1036" t="s">
        <v>1852</v>
      </c>
      <c r="L621" s="1041" t="s">
        <v>1853</v>
      </c>
      <c r="M621" s="1036" t="s">
        <v>1854</v>
      </c>
      <c r="N621" s="1036"/>
      <c r="O621" s="1038"/>
      <c r="P621" s="434"/>
    </row>
    <row r="622" spans="5:16" x14ac:dyDescent="0.25">
      <c r="E622" s="1044" t="str" cm="1">
        <f t="array" ref="E622">INDEX(K622:O622, , F$2)</f>
        <v>Project cashflows and government revenues</v>
      </c>
      <c r="J622" s="434"/>
      <c r="K622" s="1036" t="s">
        <v>1855</v>
      </c>
      <c r="L622" s="1053" t="s">
        <v>1856</v>
      </c>
      <c r="M622" s="1036" t="s">
        <v>1857</v>
      </c>
      <c r="N622" s="1036"/>
      <c r="O622" s="1038"/>
      <c r="P622" s="434"/>
    </row>
    <row r="623" spans="5:16" x14ac:dyDescent="0.25">
      <c r="E623" s="1044" t="str" cm="1">
        <f t="array" ref="E623">INDEX(K623:O623, , F$2)</f>
        <v>Government revenues</v>
      </c>
      <c r="J623" s="434"/>
      <c r="K623" s="1036" t="s">
        <v>1858</v>
      </c>
      <c r="L623" s="1053" t="s">
        <v>1859</v>
      </c>
      <c r="M623" s="1036" t="s">
        <v>1860</v>
      </c>
      <c r="N623" s="1036"/>
      <c r="O623" s="1038"/>
      <c r="P623" s="434"/>
    </row>
    <row r="624" spans="5:16" x14ac:dyDescent="0.25">
      <c r="E624" s="1044" t="str" cm="1">
        <f t="array" ref="E624">INDEX(K624:O624, , F$2)</f>
        <v>IRR</v>
      </c>
      <c r="J624" s="434"/>
      <c r="K624" s="1036" t="s">
        <v>1861</v>
      </c>
      <c r="L624" s="1041" t="s">
        <v>1862</v>
      </c>
      <c r="M624" s="1036" t="s">
        <v>1863</v>
      </c>
      <c r="N624" s="1036"/>
      <c r="O624" s="1038"/>
      <c r="P624" s="434"/>
    </row>
    <row r="625" spans="5:16" x14ac:dyDescent="0.25">
      <c r="E625" s="1044" t="str" cm="1">
        <f t="array" ref="E625">INDEX(K625:O625, , F$2)</f>
        <v>real</v>
      </c>
      <c r="J625" s="434"/>
      <c r="K625" s="1036" t="s">
        <v>1864</v>
      </c>
      <c r="L625" s="1041" t="s">
        <v>1865</v>
      </c>
      <c r="M625" s="1036" t="s">
        <v>1864</v>
      </c>
      <c r="N625" s="1036"/>
      <c r="O625" s="1038"/>
      <c r="P625" s="434"/>
    </row>
    <row r="626" spans="5:16" x14ac:dyDescent="0.25">
      <c r="E626" s="1044" t="str" cm="1">
        <f t="array" ref="E626">INDEX(K626:O626, , F$2)</f>
        <v>Sheet checks</v>
      </c>
      <c r="J626" s="434"/>
      <c r="K626" s="1036" t="s">
        <v>1866</v>
      </c>
      <c r="L626" s="1041" t="s">
        <v>1867</v>
      </c>
      <c r="M626" s="1036" t="s">
        <v>1868</v>
      </c>
      <c r="N626" s="1036"/>
      <c r="O626" s="1038"/>
      <c r="P626" s="434"/>
    </row>
    <row r="627" spans="5:16" x14ac:dyDescent="0.25">
      <c r="E627" s="1044" t="str" cm="1">
        <f t="array" ref="E627">INDEX(K627:O627, , F$2)</f>
        <v>Expected monetary value</v>
      </c>
      <c r="J627" s="434"/>
      <c r="K627" s="1036" t="s">
        <v>1869</v>
      </c>
      <c r="L627" s="1053" t="s">
        <v>1870</v>
      </c>
      <c r="M627" s="1036" t="s">
        <v>1871</v>
      </c>
      <c r="N627" s="1036"/>
      <c r="O627" s="1038"/>
      <c r="P627" s="434"/>
    </row>
    <row r="628" spans="5:16" x14ac:dyDescent="0.25">
      <c r="E628" s="1044" t="str" cm="1">
        <f t="array" ref="E628">INDEX(K628:O628, , F$2)</f>
        <v>EMV</v>
      </c>
      <c r="J628" s="434"/>
      <c r="K628" s="1036" t="s">
        <v>1872</v>
      </c>
      <c r="L628" s="1053" t="s">
        <v>1873</v>
      </c>
      <c r="M628" s="1036" t="s">
        <v>1873</v>
      </c>
      <c r="N628" s="1036"/>
      <c r="O628" s="1038"/>
      <c r="P628" s="434"/>
    </row>
    <row r="629" spans="5:16" x14ac:dyDescent="0.25">
      <c r="E629" s="1044" t="str" cm="1">
        <f t="array" ref="E629">INDEX(K629:O629, , F$2)</f>
        <v>Minimum exploration spend</v>
      </c>
      <c r="J629" s="434"/>
      <c r="K629" s="1036" t="s">
        <v>1874</v>
      </c>
      <c r="L629" s="1041" t="s">
        <v>1875</v>
      </c>
      <c r="M629" s="1036" t="s">
        <v>1876</v>
      </c>
      <c r="N629" s="1036"/>
      <c r="O629" s="1038"/>
      <c r="P629" s="434"/>
    </row>
    <row r="630" spans="5:16" x14ac:dyDescent="0.25">
      <c r="E630" s="1044" t="str" cm="1">
        <f t="array" ref="E630">INDEX(K630:O630, , F$2)</f>
        <v>Chance of success</v>
      </c>
      <c r="J630" s="434"/>
      <c r="K630" s="1036" t="s">
        <v>1877</v>
      </c>
      <c r="L630" s="1053" t="s">
        <v>1878</v>
      </c>
      <c r="M630" s="1036" t="s">
        <v>1879</v>
      </c>
      <c r="N630" s="1036"/>
      <c r="O630" s="1038"/>
      <c r="P630" s="434"/>
    </row>
    <row r="631" spans="5:16" x14ac:dyDescent="0.25">
      <c r="E631" s="1044" t="str" cm="1">
        <f t="array" ref="E631">INDEX(K631:O631, , F$2)</f>
        <v>NPV of success case: Full-cycle</v>
      </c>
      <c r="J631" s="434"/>
      <c r="K631" s="1036" t="s">
        <v>1880</v>
      </c>
      <c r="L631" s="1053" t="s">
        <v>1881</v>
      </c>
      <c r="M631" s="1036" t="s">
        <v>1882</v>
      </c>
      <c r="N631" s="1036"/>
      <c r="O631" s="1038"/>
      <c r="P631" s="434"/>
    </row>
    <row r="632" spans="5:16" x14ac:dyDescent="0.25">
      <c r="E632" s="1044" t="str" cm="1">
        <f t="array" ref="E632">INDEX(K632:O632, , F$2)</f>
        <v>EMV parameters</v>
      </c>
      <c r="J632" s="434"/>
      <c r="K632" s="1036" t="s">
        <v>1883</v>
      </c>
      <c r="L632" s="1041" t="s">
        <v>1884</v>
      </c>
      <c r="M632" s="1036" t="s">
        <v>1885</v>
      </c>
      <c r="N632" s="1036"/>
      <c r="O632" s="1038"/>
      <c r="P632" s="434"/>
    </row>
    <row r="633" spans="5:16" ht="29" x14ac:dyDescent="0.25">
      <c r="E633" s="1044" t="str" cm="1">
        <f t="array" ref="E633">INDEX(K633:O633, , F$2)</f>
        <v>Expected discovery size and pre-tax NPV</v>
      </c>
      <c r="J633" s="434"/>
      <c r="K633" s="1036" t="s">
        <v>1886</v>
      </c>
      <c r="L633" s="1041" t="s">
        <v>1887</v>
      </c>
      <c r="M633" s="1036" t="s">
        <v>1888</v>
      </c>
      <c r="N633" s="1036"/>
      <c r="O633" s="1038"/>
      <c r="P633" s="434"/>
    </row>
    <row r="634" spans="5:16" x14ac:dyDescent="0.25">
      <c r="E634" s="1044" t="str" cm="1">
        <f t="array" ref="E634">INDEX(K634:O634, , F$2)</f>
        <v>AETR in success case</v>
      </c>
      <c r="J634" s="434"/>
      <c r="K634" s="1036" t="s">
        <v>1889</v>
      </c>
      <c r="L634" s="1053" t="s">
        <v>1890</v>
      </c>
      <c r="M634" s="1036" t="s">
        <v>1891</v>
      </c>
      <c r="N634" s="1036"/>
      <c r="O634" s="1038"/>
      <c r="P634" s="434"/>
    </row>
    <row r="635" spans="5:16" x14ac:dyDescent="0.25">
      <c r="E635" s="1044" t="str" cm="1">
        <f t="array" ref="E635">INDEX(K635:O635, , F$2)</f>
        <v>Minimum exploration cost</v>
      </c>
      <c r="J635" s="434"/>
      <c r="K635" s="1036" t="s">
        <v>1892</v>
      </c>
      <c r="L635" s="1041" t="s">
        <v>1893</v>
      </c>
      <c r="M635" s="1036" t="s">
        <v>1894</v>
      </c>
      <c r="N635" s="1036"/>
      <c r="O635" s="1038"/>
      <c r="P635" s="434"/>
    </row>
    <row r="636" spans="5:16" x14ac:dyDescent="0.25">
      <c r="E636" s="1044" t="str" cm="1">
        <f t="array" ref="E636">INDEX(K636:O636, , F$2)</f>
        <v>Chance of (commercial) Success</v>
      </c>
      <c r="J636" s="434"/>
      <c r="K636" s="1036" t="s">
        <v>1895</v>
      </c>
      <c r="L636" s="1053" t="s">
        <v>1896</v>
      </c>
      <c r="M636" s="1036" t="s">
        <v>1897</v>
      </c>
      <c r="N636" s="1036"/>
      <c r="O636" s="1038"/>
      <c r="P636" s="434"/>
    </row>
    <row r="637" spans="5:16" x14ac:dyDescent="0.25">
      <c r="E637" s="1044" t="str" cm="1">
        <f t="array" ref="E637">INDEX(K637:O637, , F$2)</f>
        <v>Discovery NPV</v>
      </c>
      <c r="J637" s="434"/>
      <c r="K637" s="1036" t="s">
        <v>1898</v>
      </c>
      <c r="L637" s="1041" t="s">
        <v>1899</v>
      </c>
      <c r="M637" s="1036" t="s">
        <v>1900</v>
      </c>
      <c r="N637" s="1036"/>
      <c r="O637" s="1038"/>
      <c r="P637" s="434"/>
    </row>
    <row r="638" spans="5:16" x14ac:dyDescent="0.25">
      <c r="E638" s="1044" t="str" cm="1">
        <f t="array" ref="E638">INDEX(K638:O638, , F$2)</f>
        <v>dry hole</v>
      </c>
      <c r="J638" s="434"/>
      <c r="K638" s="1036" t="s">
        <v>1901</v>
      </c>
      <c r="L638" s="1053" t="s">
        <v>1902</v>
      </c>
      <c r="M638" s="1036" t="s">
        <v>1903</v>
      </c>
      <c r="N638" s="1036"/>
      <c r="O638" s="1038"/>
      <c r="P638" s="434"/>
    </row>
    <row r="639" spans="5:16" x14ac:dyDescent="0.25">
      <c r="E639" s="1044" t="str" cm="1">
        <f t="array" ref="E639">INDEX(K639:O639, , F$2)</f>
        <v>Chart details</v>
      </c>
      <c r="J639" s="434"/>
      <c r="K639" s="1036" t="s">
        <v>1904</v>
      </c>
      <c r="L639" s="1041" t="s">
        <v>1905</v>
      </c>
      <c r="M639" s="1036" t="s">
        <v>1906</v>
      </c>
      <c r="N639" s="1036"/>
      <c r="O639" s="1038"/>
      <c r="P639" s="434"/>
    </row>
    <row r="640" spans="5:16" x14ac:dyDescent="0.25">
      <c r="E640" s="1044" t="str" cm="1">
        <f t="array" ref="E640">INDEX(K640:O640, , F$2)</f>
        <v>Chart title</v>
      </c>
      <c r="J640" s="434"/>
      <c r="K640" s="1036" t="s">
        <v>1907</v>
      </c>
      <c r="L640" s="1041" t="s">
        <v>1908</v>
      </c>
      <c r="M640" s="1036" t="s">
        <v>1909</v>
      </c>
      <c r="N640" s="1036"/>
      <c r="O640" s="1038"/>
      <c r="P640" s="434"/>
    </row>
    <row r="641" spans="5:16" x14ac:dyDescent="0.25">
      <c r="E641" s="1044" t="str" cm="1">
        <f t="array" ref="E641">INDEX(K641:O641, , F$2)</f>
        <v>Vertical axis 1</v>
      </c>
      <c r="J641" s="434"/>
      <c r="K641" s="1036" t="s">
        <v>1910</v>
      </c>
      <c r="L641" s="1041" t="s">
        <v>1911</v>
      </c>
      <c r="M641" s="1036" t="s">
        <v>1912</v>
      </c>
      <c r="N641" s="1036"/>
      <c r="O641" s="1038"/>
      <c r="P641" s="434"/>
    </row>
    <row r="642" spans="5:16" x14ac:dyDescent="0.25">
      <c r="E642" s="1044" t="str" cm="1">
        <f t="array" ref="E642">INDEX(K642:O642, , F$2)</f>
        <v>Vertical axis 2</v>
      </c>
      <c r="J642" s="434"/>
      <c r="K642" s="1036" t="s">
        <v>1913</v>
      </c>
      <c r="L642" s="1041" t="s">
        <v>1914</v>
      </c>
      <c r="M642" s="1036" t="s">
        <v>1915</v>
      </c>
      <c r="N642" s="1036"/>
      <c r="O642" s="1038"/>
      <c r="P642" s="434"/>
    </row>
    <row r="643" spans="5:16" x14ac:dyDescent="0.25">
      <c r="E643" s="1044" t="str" cm="1">
        <f t="array" ref="E643">INDEX(K643:O643, , F$2)</f>
        <v>Horizontal axis</v>
      </c>
      <c r="J643" s="434"/>
      <c r="K643" s="1036" t="s">
        <v>1916</v>
      </c>
      <c r="L643" s="1041" t="s">
        <v>1917</v>
      </c>
      <c r="M643" s="1036" t="s">
        <v>1918</v>
      </c>
      <c r="N643" s="1036"/>
      <c r="O643" s="1038"/>
      <c r="P643" s="434"/>
    </row>
    <row r="644" spans="5:16" x14ac:dyDescent="0.25">
      <c r="E644" s="1044" t="str" cm="1">
        <f t="array" ref="E644">INDEX(K644:O644, , F$2)</f>
        <v>Text box</v>
      </c>
      <c r="J644" s="434"/>
      <c r="K644" s="1036" t="s">
        <v>1919</v>
      </c>
      <c r="L644" s="1041" t="s">
        <v>1920</v>
      </c>
      <c r="M644" s="1036" t="s">
        <v>1921</v>
      </c>
      <c r="N644" s="1036"/>
      <c r="O644" s="1038"/>
      <c r="P644" s="434"/>
    </row>
    <row r="645" spans="5:16" x14ac:dyDescent="0.25">
      <c r="E645" s="1044" t="str" cm="1">
        <f t="array" ref="E645">INDEX(K645:O645, , F$2)</f>
        <v>Live results</v>
      </c>
      <c r="J645" s="434"/>
      <c r="K645" s="1036" t="s">
        <v>1922</v>
      </c>
      <c r="L645" s="1041" t="s">
        <v>1923</v>
      </c>
      <c r="M645" s="1036" t="s">
        <v>1924</v>
      </c>
      <c r="N645" s="1036"/>
      <c r="O645" s="1038"/>
      <c r="P645" s="434"/>
    </row>
    <row r="646" spans="5:16" x14ac:dyDescent="0.25">
      <c r="E646" s="1044" t="str" cm="1">
        <f t="array" ref="E646">INDEX(K646:O646, , F$2)</f>
        <v>Select from drop down list</v>
      </c>
      <c r="J646" s="434"/>
      <c r="K646" s="1036" t="s">
        <v>1925</v>
      </c>
      <c r="L646" s="1041" t="s">
        <v>1926</v>
      </c>
      <c r="M646" s="1036" t="s">
        <v>1927</v>
      </c>
      <c r="N646" s="1036"/>
      <c r="O646" s="1038"/>
      <c r="P646" s="434"/>
    </row>
    <row r="647" spans="5:16" x14ac:dyDescent="0.25">
      <c r="E647" s="1044" t="str" cm="1">
        <f t="array" ref="E647">INDEX(K647:O647, , F$2)</f>
        <v xml:space="preserve">Difference between two selected regimes </v>
      </c>
      <c r="J647" s="434"/>
      <c r="K647" s="1036" t="s">
        <v>1928</v>
      </c>
      <c r="L647" s="1041" t="s">
        <v>1929</v>
      </c>
      <c r="M647" s="1036" t="s">
        <v>1930</v>
      </c>
      <c r="N647" s="1036"/>
      <c r="O647" s="1038"/>
      <c r="P647" s="434"/>
    </row>
    <row r="648" spans="5:16" x14ac:dyDescent="0.25">
      <c r="E648" s="1044" t="str" cm="1">
        <f t="array" ref="E648">INDEX(K648:O648, , F$2)</f>
        <v>Fiscal regimes</v>
      </c>
      <c r="J648" s="434"/>
      <c r="K648" s="1036" t="s">
        <v>1931</v>
      </c>
      <c r="L648" s="1041" t="s">
        <v>1932</v>
      </c>
      <c r="M648" s="1036" t="s">
        <v>1933</v>
      </c>
      <c r="N648" s="1036"/>
      <c r="O648" s="1038"/>
      <c r="P648" s="434"/>
    </row>
    <row r="649" spans="5:16" x14ac:dyDescent="0.25">
      <c r="E649" s="1044" t="str" cm="1">
        <f t="array" ref="E649">INDEX(K649:O649, , F$2)</f>
        <v>Government revenues under alternative regimes</v>
      </c>
      <c r="J649" s="434"/>
      <c r="K649" s="1036" t="s">
        <v>1934</v>
      </c>
      <c r="L649" s="1053" t="s">
        <v>1935</v>
      </c>
      <c r="M649" s="1036" t="s">
        <v>1936</v>
      </c>
      <c r="N649" s="1036"/>
      <c r="O649" s="1038"/>
      <c r="P649" s="434"/>
    </row>
    <row r="650" spans="5:16" ht="29" x14ac:dyDescent="0.25">
      <c r="E650" s="1044" t="str" cm="1">
        <f t="array" ref="E650">INDEX(K650:O650, , F$2)</f>
        <v>Investor NPV and IRR under alternative regimes</v>
      </c>
      <c r="J650" s="434"/>
      <c r="K650" s="1036" t="s">
        <v>1937</v>
      </c>
      <c r="L650" s="1041" t="s">
        <v>1938</v>
      </c>
      <c r="M650" s="1036" t="s">
        <v>1939</v>
      </c>
      <c r="N650" s="1036"/>
      <c r="O650" s="1038"/>
      <c r="P650" s="434"/>
    </row>
    <row r="651" spans="5:16" x14ac:dyDescent="0.25">
      <c r="E651" s="1044" t="str" cm="1">
        <f t="array" ref="E651">INDEX(K651:O651, , F$2)</f>
        <v>do not delete row</v>
      </c>
      <c r="J651" s="434"/>
      <c r="K651" s="1036" t="s">
        <v>1940</v>
      </c>
      <c r="L651" s="1041" t="s">
        <v>1941</v>
      </c>
      <c r="M651" s="1036" t="s">
        <v>1942</v>
      </c>
      <c r="N651" s="1036"/>
      <c r="O651" s="1038"/>
      <c r="P651" s="434"/>
    </row>
    <row r="652" spans="5:16" x14ac:dyDescent="0.25">
      <c r="E652" s="1044" t="str" cm="1">
        <f t="array" ref="E652">INDEX(K652:O652, , F$2)</f>
        <v>Participant NPV</v>
      </c>
      <c r="J652" s="434"/>
      <c r="K652" s="1036" t="s">
        <v>1943</v>
      </c>
      <c r="L652" s="1041" t="s">
        <v>1944</v>
      </c>
      <c r="M652" s="1036" t="s">
        <v>1945</v>
      </c>
      <c r="N652" s="1036"/>
      <c r="O652" s="1038"/>
      <c r="P652" s="434"/>
    </row>
    <row r="653" spans="5:16" x14ac:dyDescent="0.25">
      <c r="E653" s="1044" t="str" cm="1">
        <f t="array" ref="E653">INDEX(K653:O653, , F$2)</f>
        <v>NPV</v>
      </c>
      <c r="J653" s="434"/>
      <c r="K653" s="1036" t="s">
        <v>1946</v>
      </c>
      <c r="L653" s="1041" t="s">
        <v>1947</v>
      </c>
      <c r="M653" s="1036" t="s">
        <v>1948</v>
      </c>
      <c r="N653" s="1036"/>
      <c r="O653" s="1038"/>
      <c r="P653" s="434"/>
    </row>
    <row r="654" spans="5:16" x14ac:dyDescent="0.25">
      <c r="E654" s="1044" t="str" cm="1">
        <f t="array" ref="E654">INDEX(K654:O654, , F$2)</f>
        <v>Government revenues data table</v>
      </c>
      <c r="J654" s="434"/>
      <c r="K654" s="1036" t="s">
        <v>1949</v>
      </c>
      <c r="L654" s="1053" t="s">
        <v>1950</v>
      </c>
      <c r="M654" s="1036" t="s">
        <v>1951</v>
      </c>
      <c r="N654" s="1036"/>
      <c r="O654" s="1038"/>
      <c r="P654" s="434"/>
    </row>
    <row r="655" spans="5:16" x14ac:dyDescent="0.25">
      <c r="E655" s="1044" t="str" cm="1">
        <f t="array" ref="E655">INDEX(K655:O655, , F$2)</f>
        <v>Model years</v>
      </c>
      <c r="J655" s="434"/>
      <c r="K655" s="1036" t="s">
        <v>1952</v>
      </c>
      <c r="L655" s="1041" t="s">
        <v>1953</v>
      </c>
      <c r="M655" s="1036" t="s">
        <v>1954</v>
      </c>
      <c r="N655" s="1036"/>
      <c r="O655" s="1038"/>
      <c r="P655" s="434"/>
    </row>
    <row r="656" spans="5:16" x14ac:dyDescent="0.25">
      <c r="E656" s="1044" t="str" cm="1">
        <f t="array" ref="E656">INDEX(K656:O656, , F$2)</f>
        <v>Model calendar years</v>
      </c>
      <c r="J656" s="434"/>
      <c r="K656" s="1036" t="s">
        <v>1955</v>
      </c>
      <c r="L656" s="1041" t="s">
        <v>1956</v>
      </c>
      <c r="M656" s="1036" t="s">
        <v>1957</v>
      </c>
      <c r="N656" s="1036"/>
      <c r="O656" s="1038"/>
      <c r="P656" s="434"/>
    </row>
    <row r="657" spans="5:16" x14ac:dyDescent="0.25">
      <c r="E657" s="1044" t="str" cm="1">
        <f t="array" ref="E657">INDEX(K657:O657, , F$2)</f>
        <v>Project activity</v>
      </c>
      <c r="J657" s="434"/>
      <c r="K657" s="1036" t="s">
        <v>1958</v>
      </c>
      <c r="L657" s="1041" t="s">
        <v>1959</v>
      </c>
      <c r="M657" s="1036" t="s">
        <v>1960</v>
      </c>
      <c r="N657" s="1036"/>
      <c r="O657" s="1038"/>
      <c r="P657" s="434"/>
    </row>
    <row r="658" spans="5:16" x14ac:dyDescent="0.25">
      <c r="E658" s="1044" t="str" cm="1">
        <f t="array" ref="E658">INDEX(K658:O658, , F$2)</f>
        <v>Cumulative project years</v>
      </c>
      <c r="J658" s="434"/>
      <c r="K658" s="1036" t="s">
        <v>1961</v>
      </c>
      <c r="L658" s="1041" t="s">
        <v>1962</v>
      </c>
      <c r="M658" s="1036" t="s">
        <v>1963</v>
      </c>
      <c r="N658" s="1036"/>
      <c r="O658" s="1038"/>
      <c r="P658" s="434"/>
    </row>
    <row r="659" spans="5:16" x14ac:dyDescent="0.25">
      <c r="E659" s="1044" t="str" cm="1">
        <f t="array" ref="E659">INDEX(K659:O659, , F$2)</f>
        <v>First project activity year</v>
      </c>
      <c r="J659" s="434"/>
      <c r="K659" s="1036" t="s">
        <v>1964</v>
      </c>
      <c r="L659" s="1041" t="s">
        <v>1965</v>
      </c>
      <c r="M659" s="1036" t="s">
        <v>1966</v>
      </c>
      <c r="N659" s="1036"/>
      <c r="O659" s="1038"/>
      <c r="P659" s="434"/>
    </row>
    <row r="660" spans="5:16" ht="29" x14ac:dyDescent="0.25">
      <c r="E660" s="1044" t="str" cm="1">
        <f t="array" ref="E660">INDEX(K660:O660, , F$2)</f>
        <v>Project activity (excl. decommissioning)</v>
      </c>
      <c r="J660" s="434"/>
      <c r="K660" s="1036" t="s">
        <v>1967</v>
      </c>
      <c r="L660" s="1053" t="s">
        <v>1968</v>
      </c>
      <c r="M660" s="1036" t="s">
        <v>1969</v>
      </c>
      <c r="N660" s="1036"/>
      <c r="O660" s="1038"/>
      <c r="P660" s="434"/>
    </row>
    <row r="661" spans="5:16" x14ac:dyDescent="0.25">
      <c r="E661" s="1044" t="str" cm="1">
        <f t="array" ref="E661">INDEX(K661:O661, , F$2)</f>
        <v>Production years</v>
      </c>
      <c r="J661" s="434"/>
      <c r="K661" s="1036" t="s">
        <v>1970</v>
      </c>
      <c r="L661" s="1041" t="s">
        <v>1971</v>
      </c>
      <c r="M661" s="1036" t="s">
        <v>1972</v>
      </c>
      <c r="N661" s="1036"/>
      <c r="O661" s="1038"/>
      <c r="P661" s="434"/>
    </row>
    <row r="662" spans="5:16" x14ac:dyDescent="0.25">
      <c r="E662" s="1044" t="str" cm="1">
        <f t="array" ref="E662">INDEX(K662:O662, , F$2)</f>
        <v>Cumulative production years</v>
      </c>
      <c r="J662" s="434"/>
      <c r="K662" s="1036" t="s">
        <v>1973</v>
      </c>
      <c r="L662" s="1041" t="s">
        <v>1974</v>
      </c>
      <c r="M662" s="1036" t="s">
        <v>1975</v>
      </c>
      <c r="N662" s="1036"/>
      <c r="O662" s="1038"/>
      <c r="P662" s="434"/>
    </row>
    <row r="663" spans="5:16" x14ac:dyDescent="0.25">
      <c r="E663" s="1044" t="str" cm="1">
        <f t="array" ref="E663">INDEX(K663:O663, , F$2)</f>
        <v>Remaining production years</v>
      </c>
      <c r="J663" s="434"/>
      <c r="K663" s="1036" t="s">
        <v>1976</v>
      </c>
      <c r="L663" s="1041" t="s">
        <v>1977</v>
      </c>
      <c r="M663" s="1036" t="s">
        <v>1978</v>
      </c>
      <c r="N663" s="1036"/>
      <c r="O663" s="1038"/>
      <c r="P663" s="434"/>
    </row>
    <row r="664" spans="5:16" x14ac:dyDescent="0.25">
      <c r="E664" s="1044" t="str" cm="1">
        <f t="array" ref="E664">INDEX(K664:O664, , F$2)</f>
        <v>First Development Year (FID)</v>
      </c>
      <c r="J664" s="434"/>
      <c r="K664" s="1036" t="s">
        <v>1979</v>
      </c>
      <c r="L664" s="1041" t="s">
        <v>1980</v>
      </c>
      <c r="M664" s="1036" t="s">
        <v>1981</v>
      </c>
      <c r="N664" s="1036"/>
      <c r="O664" s="1038"/>
      <c r="P664" s="434"/>
    </row>
    <row r="665" spans="5:16" x14ac:dyDescent="0.25">
      <c r="E665" s="1044" t="str" cm="1">
        <f t="array" ref="E665">INDEX(K665:O665, , F$2)</f>
        <v>Cumulative years from start of development</v>
      </c>
      <c r="J665" s="434"/>
      <c r="K665" s="1036" t="s">
        <v>1982</v>
      </c>
      <c r="L665" s="1041" t="s">
        <v>1983</v>
      </c>
      <c r="M665" s="1036" t="s">
        <v>1984</v>
      </c>
      <c r="N665" s="1036"/>
      <c r="O665" s="1038"/>
      <c r="P665" s="434"/>
    </row>
    <row r="666" spans="5:16" x14ac:dyDescent="0.25">
      <c r="E666" s="1044" t="str" cm="1">
        <f t="array" ref="E666">INDEX(K666:O666, , F$2)</f>
        <v>FID forward flag</v>
      </c>
      <c r="J666" s="434"/>
      <c r="K666" s="1036" t="s">
        <v>1985</v>
      </c>
      <c r="L666" s="1053" t="s">
        <v>1986</v>
      </c>
      <c r="M666" s="1036" t="s">
        <v>1987</v>
      </c>
      <c r="N666" s="1036"/>
      <c r="O666" s="1038"/>
      <c r="P666" s="434"/>
    </row>
    <row r="667" spans="5:16" x14ac:dyDescent="0.25">
      <c r="E667" s="1044" t="str" cm="1">
        <f t="array" ref="E667">INDEX(K667:O667, , F$2)</f>
        <v>Inflation index</v>
      </c>
      <c r="J667" s="434"/>
      <c r="K667" s="1036" t="s">
        <v>1988</v>
      </c>
      <c r="L667" s="1041" t="s">
        <v>1989</v>
      </c>
      <c r="M667" s="1036" t="s">
        <v>1990</v>
      </c>
      <c r="N667" s="1036"/>
      <c r="O667" s="1038"/>
      <c r="P667" s="434"/>
    </row>
    <row r="668" spans="5:16" x14ac:dyDescent="0.25">
      <c r="E668" s="1044" t="str" cm="1">
        <f t="array" ref="E668">INDEX(K668:O668, , F$2)</f>
        <v>Label for real terms cashflows</v>
      </c>
      <c r="J668" s="434"/>
      <c r="K668" s="1036" t="s">
        <v>1991</v>
      </c>
      <c r="L668" s="1041" t="s">
        <v>1992</v>
      </c>
      <c r="M668" s="1036" t="s">
        <v>1993</v>
      </c>
      <c r="N668" s="1036"/>
      <c r="O668" s="1038"/>
      <c r="P668" s="434"/>
    </row>
    <row r="669" spans="5:16" x14ac:dyDescent="0.25">
      <c r="E669" s="1044" t="str" cm="1">
        <f t="array" ref="E669">INDEX(K669:O669, , F$2)</f>
        <v>Net revenues after ELT</v>
      </c>
      <c r="J669" s="434"/>
      <c r="K669" s="1036" t="s">
        <v>1994</v>
      </c>
      <c r="L669" s="1041" t="s">
        <v>1995</v>
      </c>
      <c r="M669" s="1036" t="s">
        <v>1996</v>
      </c>
      <c r="N669" s="1036"/>
      <c r="O669" s="1038"/>
      <c r="P669" s="434"/>
    </row>
    <row r="670" spans="5:16" ht="29" x14ac:dyDescent="0.25">
      <c r="E670" s="1044" t="str" cm="1">
        <f t="array" ref="E670">INDEX(K670:O670, , F$2)</f>
        <v>Cashflow before decommissioning fund</v>
      </c>
      <c r="J670" s="434"/>
      <c r="K670" s="1036" t="s">
        <v>1997</v>
      </c>
      <c r="L670" s="1053" t="s">
        <v>1998</v>
      </c>
      <c r="M670" s="1036" t="s">
        <v>1999</v>
      </c>
      <c r="N670" s="1036"/>
      <c r="O670" s="1038"/>
      <c r="P670" s="434"/>
    </row>
    <row r="671" spans="5:16" x14ac:dyDescent="0.25">
      <c r="E671" s="1044" t="str" cm="1">
        <f t="array" ref="E671">INDEX(K671:O671, , F$2)</f>
        <v>Project benefits</v>
      </c>
      <c r="J671" s="434"/>
      <c r="K671" s="1036" t="s">
        <v>2000</v>
      </c>
      <c r="L671" s="1053" t="s">
        <v>2001</v>
      </c>
      <c r="M671" s="1036" t="s">
        <v>2002</v>
      </c>
      <c r="N671" s="1036"/>
      <c r="O671" s="1038"/>
      <c r="P671" s="434"/>
    </row>
    <row r="672" spans="5:16" x14ac:dyDescent="0.25">
      <c r="E672" s="1044" t="str" cm="1">
        <f t="array" ref="E672">INDEX(K672:O672, , F$2)</f>
        <v>Oil production energy content</v>
      </c>
      <c r="J672" s="434"/>
      <c r="K672" s="1036" t="s">
        <v>2003</v>
      </c>
      <c r="L672" s="1053" t="s">
        <v>2004</v>
      </c>
      <c r="M672" s="1036" t="s">
        <v>2005</v>
      </c>
      <c r="N672" s="1036"/>
      <c r="O672" s="1038"/>
      <c r="P672" s="434"/>
    </row>
    <row r="673" spans="5:16" ht="29" x14ac:dyDescent="0.25">
      <c r="E673" s="1044" t="str" cm="1">
        <f t="array" ref="E673">INDEX(K673:O673, , F$2)</f>
        <v>Scope 1: Upstream GHG emissions</v>
      </c>
      <c r="J673" s="434"/>
      <c r="K673" s="1036" t="s">
        <v>2006</v>
      </c>
      <c r="L673" s="1041" t="s">
        <v>2007</v>
      </c>
      <c r="M673" s="1036" t="s">
        <v>2008</v>
      </c>
      <c r="N673" s="1036"/>
      <c r="O673" s="1038"/>
      <c r="P673" s="434"/>
    </row>
    <row r="674" spans="5:16" ht="29" x14ac:dyDescent="0.25">
      <c r="E674" s="1044" t="str" cm="1">
        <f t="array" ref="E674">INDEX(K674:O674, , F$2)</f>
        <v>Scope 3: GHG emissions from oil consumed</v>
      </c>
      <c r="J674" s="434"/>
      <c r="K674" s="1036" t="s">
        <v>2009</v>
      </c>
      <c r="L674" s="1053" t="s">
        <v>2010</v>
      </c>
      <c r="M674" s="1036" t="s">
        <v>2011</v>
      </c>
      <c r="N674" s="1036"/>
      <c r="O674" s="1038"/>
      <c r="P674" s="434"/>
    </row>
    <row r="675" spans="5:16" x14ac:dyDescent="0.25">
      <c r="E675" s="1044" t="str" cm="1">
        <f t="array" ref="E675">INDEX(K675:O675, , F$2)</f>
        <v>Operating unit costs</v>
      </c>
      <c r="J675" s="434"/>
      <c r="K675" s="1036" t="s">
        <v>2012</v>
      </c>
      <c r="L675" s="1041" t="s">
        <v>2013</v>
      </c>
      <c r="M675" s="1036" t="s">
        <v>2014</v>
      </c>
      <c r="N675" s="1036"/>
      <c r="O675" s="1038"/>
      <c r="P675" s="434"/>
    </row>
    <row r="676" spans="5:16" x14ac:dyDescent="0.25">
      <c r="E676" s="1044" t="str" cm="1">
        <f t="array" ref="E676">INDEX(K676:O676, , F$2)</f>
        <v>Flags</v>
      </c>
      <c r="J676" s="434"/>
      <c r="K676" s="1036" t="s">
        <v>2015</v>
      </c>
      <c r="L676" s="1053" t="s">
        <v>2016</v>
      </c>
      <c r="M676" s="1036" t="s">
        <v>2017</v>
      </c>
      <c r="N676" s="1036"/>
      <c r="O676" s="1038"/>
      <c r="P676" s="434"/>
    </row>
    <row r="677" spans="5:16" x14ac:dyDescent="0.25">
      <c r="E677" s="1044" t="str" cm="1">
        <f t="array" ref="E677">INDEX(K677:O677, , F$2)</f>
        <v>Inflation indices</v>
      </c>
      <c r="J677" s="434"/>
      <c r="K677" s="1036" t="s">
        <v>2018</v>
      </c>
      <c r="L677" s="1041" t="s">
        <v>2019</v>
      </c>
      <c r="M677" s="1036" t="s">
        <v>2020</v>
      </c>
      <c r="N677" s="1036"/>
      <c r="O677" s="1038"/>
      <c r="P677" s="434"/>
    </row>
    <row r="678" spans="5:16" x14ac:dyDescent="0.25">
      <c r="E678" s="1044" t="str" cm="1">
        <f t="array" ref="E678">INDEX(K678:O678, , F$2)</f>
        <v>GHG emissions</v>
      </c>
      <c r="J678" s="434"/>
      <c r="K678" s="1036" t="s">
        <v>2021</v>
      </c>
      <c r="L678" s="1041" t="s">
        <v>2022</v>
      </c>
      <c r="M678" s="1036" t="s">
        <v>2023</v>
      </c>
      <c r="N678" s="1036"/>
      <c r="O678" s="1038"/>
      <c r="P678" s="434"/>
    </row>
    <row r="679" spans="5:16" x14ac:dyDescent="0.25">
      <c r="E679" s="1044" t="str" cm="1">
        <f t="array" ref="E679">INDEX(K679:O679, , F$2)</f>
        <v>Check project data in correct row</v>
      </c>
      <c r="J679" s="434"/>
      <c r="K679" s="1036" t="s">
        <v>2024</v>
      </c>
      <c r="L679" s="1041" t="s">
        <v>2025</v>
      </c>
      <c r="M679" s="1036" t="s">
        <v>2026</v>
      </c>
      <c r="N679" s="1036"/>
      <c r="O679" s="1038"/>
      <c r="P679" s="434"/>
    </row>
    <row r="680" spans="5:16" x14ac:dyDescent="0.25">
      <c r="E680" s="1044" t="str" cm="1">
        <f t="array" ref="E680">INDEX(K680:O680, , F$2)</f>
        <v>Sensitivity factors</v>
      </c>
      <c r="J680" s="434"/>
      <c r="K680" s="1036" t="s">
        <v>2027</v>
      </c>
      <c r="L680" s="1041" t="s">
        <v>2028</v>
      </c>
      <c r="M680" s="1036" t="s">
        <v>2029</v>
      </c>
      <c r="N680" s="1036"/>
      <c r="O680" s="1038"/>
      <c r="P680" s="434"/>
    </row>
    <row r="681" spans="5:16" x14ac:dyDescent="0.25">
      <c r="E681" s="1044" t="str" cm="1">
        <f t="array" ref="E681">INDEX(K681:O681, , F$2)</f>
        <v>Project data with sensitivies applied</v>
      </c>
      <c r="J681" s="434"/>
      <c r="K681" s="1036" t="s">
        <v>2030</v>
      </c>
      <c r="L681" s="1041" t="s">
        <v>2031</v>
      </c>
      <c r="M681" s="1036" t="s">
        <v>2032</v>
      </c>
      <c r="N681" s="1036"/>
      <c r="O681" s="1038"/>
      <c r="P681" s="434"/>
    </row>
    <row r="682" spans="5:16" x14ac:dyDescent="0.25">
      <c r="E682" s="1044" t="str" cm="1">
        <f t="array" ref="E682">INDEX(K682:O682, , F$2)</f>
        <v>Oil price</v>
      </c>
      <c r="J682" s="434"/>
      <c r="K682" s="1036" t="s">
        <v>2033</v>
      </c>
      <c r="L682" s="1053" t="s">
        <v>2034</v>
      </c>
      <c r="M682" s="1036" t="s">
        <v>2035</v>
      </c>
      <c r="N682" s="1036"/>
      <c r="O682" s="1038"/>
      <c r="P682" s="434"/>
    </row>
    <row r="683" spans="5:16" x14ac:dyDescent="0.25">
      <c r="E683" s="1044" t="str" cm="1">
        <f t="array" ref="E683">INDEX(K683:O683, , F$2)</f>
        <v>Revenues</v>
      </c>
      <c r="J683" s="434"/>
      <c r="K683" s="1036" t="s">
        <v>2036</v>
      </c>
      <c r="L683" s="1041" t="s">
        <v>2037</v>
      </c>
      <c r="M683" s="1036" t="s">
        <v>2038</v>
      </c>
      <c r="N683" s="1036"/>
      <c r="O683" s="1038"/>
      <c r="P683" s="434"/>
    </row>
    <row r="684" spans="5:16" x14ac:dyDescent="0.25">
      <c r="E684" s="1044" t="str" cm="1">
        <f t="array" ref="E684">INDEX(K684:O684, , F$2)</f>
        <v>Project cashflows: real after ELT</v>
      </c>
      <c r="J684" s="434"/>
      <c r="K684" s="1036" t="s">
        <v>2039</v>
      </c>
      <c r="L684" s="1041" t="s">
        <v>2040</v>
      </c>
      <c r="M684" s="1036" t="s">
        <v>2041</v>
      </c>
      <c r="N684" s="1036"/>
      <c r="O684" s="1038"/>
      <c r="P684" s="434"/>
    </row>
    <row r="685" spans="5:16" x14ac:dyDescent="0.25">
      <c r="E685" s="1044" t="str" cm="1">
        <f t="array" ref="E685">INDEX(K685:O685, , F$2)</f>
        <v>Project period</v>
      </c>
      <c r="J685" s="434"/>
      <c r="K685" s="1036" t="s">
        <v>2042</v>
      </c>
      <c r="L685" s="1041" t="s">
        <v>2043</v>
      </c>
      <c r="M685" s="1036" t="s">
        <v>2044</v>
      </c>
      <c r="N685" s="1036"/>
      <c r="O685" s="1038"/>
      <c r="P685" s="434"/>
    </row>
    <row r="686" spans="5:16" x14ac:dyDescent="0.25">
      <c r="E686" s="1044" t="str" cm="1">
        <f t="array" ref="E686">INDEX(K686:O686, , F$2)</f>
        <v>Production period</v>
      </c>
      <c r="J686" s="434"/>
      <c r="K686" s="1036" t="s">
        <v>2045</v>
      </c>
      <c r="L686" s="1041" t="s">
        <v>2046</v>
      </c>
      <c r="M686" s="1036" t="s">
        <v>2047</v>
      </c>
      <c r="N686" s="1036"/>
      <c r="O686" s="1038"/>
      <c r="P686" s="434"/>
    </row>
    <row r="687" spans="5:16" ht="29" x14ac:dyDescent="0.25">
      <c r="E687" s="1044" t="str" cm="1">
        <f t="array" ref="E687">INDEX(K687:O687, , F$2)</f>
        <v>Development period (used for depreciation calculations)</v>
      </c>
      <c r="J687" s="434"/>
      <c r="K687" s="1036" t="s">
        <v>2048</v>
      </c>
      <c r="L687" s="1041" t="s">
        <v>2049</v>
      </c>
      <c r="M687" s="1036" t="s">
        <v>2050</v>
      </c>
      <c r="N687" s="1036"/>
      <c r="O687" s="1038"/>
      <c r="P687" s="434"/>
    </row>
    <row r="688" spans="5:16" x14ac:dyDescent="0.25">
      <c r="E688" s="1044" t="str" cm="1">
        <f t="array" ref="E688">INDEX(K688:O688, , F$2)</f>
        <v>Index for escalating revenues and costs</v>
      </c>
      <c r="J688" s="434"/>
      <c r="K688" s="1036" t="s">
        <v>2051</v>
      </c>
      <c r="L688" s="1041" t="s">
        <v>2052</v>
      </c>
      <c r="M688" s="1036" t="s">
        <v>2053</v>
      </c>
      <c r="N688" s="1036"/>
      <c r="O688" s="1038"/>
      <c r="P688" s="434"/>
    </row>
    <row r="689" spans="5:16" ht="43.5" x14ac:dyDescent="0.25">
      <c r="E689" s="1044" t="str" cm="1">
        <f t="array" ref="E689">INDEX(K689:O689, , F$2)</f>
        <v>Discount factors (assumes discounting to middle of the year, assuming cashflows received on average in middle of the year)</v>
      </c>
      <c r="J689" s="434"/>
      <c r="K689" s="1036" t="s">
        <v>2054</v>
      </c>
      <c r="L689" s="1041" t="s">
        <v>2055</v>
      </c>
      <c r="M689" s="1036" t="s">
        <v>2056</v>
      </c>
      <c r="N689" s="1036"/>
      <c r="O689" s="1038"/>
      <c r="P689" s="434"/>
    </row>
    <row r="690" spans="5:16" x14ac:dyDescent="0.25">
      <c r="E690" s="1044" t="str" cm="1">
        <f t="array" ref="E690">INDEX(K690:O690, , F$2)</f>
        <v>Project totals</v>
      </c>
      <c r="J690" s="434"/>
      <c r="K690" s="1036" t="s">
        <v>2057</v>
      </c>
      <c r="L690" s="1041" t="s">
        <v>2058</v>
      </c>
      <c r="M690" s="1036" t="s">
        <v>2059</v>
      </c>
      <c r="N690" s="1036"/>
      <c r="O690" s="1038"/>
      <c r="P690" s="434"/>
    </row>
    <row r="691" spans="5:16" ht="29" x14ac:dyDescent="0.25">
      <c r="E691" s="1044" t="str" cm="1">
        <f t="array" ref="E691">INDEX(K691:O691, , F$2)</f>
        <v>Scope 1: Upstream emissions</v>
      </c>
      <c r="J691" s="434"/>
      <c r="K691" s="1036" t="s">
        <v>2060</v>
      </c>
      <c r="L691" s="1041" t="s">
        <v>2061</v>
      </c>
      <c r="M691" s="1036" t="s">
        <v>2062</v>
      </c>
      <c r="N691" s="1036"/>
      <c r="O691" s="1038"/>
      <c r="P691" s="434"/>
    </row>
    <row r="692" spans="5:16" ht="29" x14ac:dyDescent="0.25">
      <c r="E692" s="1044" t="str" cm="1">
        <f t="array" ref="E692">INDEX(K692:O692, , F$2)</f>
        <v>Scope 3: Downstream emissions</v>
      </c>
      <c r="J692" s="434"/>
      <c r="K692" s="1036" t="s">
        <v>2063</v>
      </c>
      <c r="L692" s="1041" t="s">
        <v>2064</v>
      </c>
      <c r="M692" s="1036" t="s">
        <v>2065</v>
      </c>
      <c r="N692" s="1036"/>
      <c r="O692" s="1038"/>
      <c r="P692" s="434"/>
    </row>
    <row r="693" spans="5:16" ht="29" x14ac:dyDescent="0.25">
      <c r="E693" s="1044" t="str" cm="1">
        <f t="array" ref="E693">INDEX(K693:O693, , F$2)</f>
        <v>Project activity excluding decommissioning</v>
      </c>
      <c r="J693" s="434"/>
      <c r="K693" s="1036" t="s">
        <v>2066</v>
      </c>
      <c r="L693" s="1053" t="s">
        <v>2067</v>
      </c>
      <c r="M693" s="1036" t="s">
        <v>2068</v>
      </c>
      <c r="N693" s="1036"/>
      <c r="O693" s="1038"/>
      <c r="P693" s="434"/>
    </row>
    <row r="694" spans="5:16" x14ac:dyDescent="0.25">
      <c r="E694" s="1044" t="str" cm="1">
        <f t="array" ref="E694">INDEX(K694:O694, , F$2)</f>
        <v>Zero if ELT off</v>
      </c>
      <c r="J694" s="434"/>
      <c r="K694" s="1036" t="s">
        <v>2069</v>
      </c>
      <c r="L694" s="1041" t="s">
        <v>2070</v>
      </c>
      <c r="M694" s="1036" t="s">
        <v>2071</v>
      </c>
      <c r="N694" s="1036"/>
      <c r="O694" s="1038"/>
      <c r="P694" s="434"/>
    </row>
    <row r="695" spans="5:16" x14ac:dyDescent="0.25">
      <c r="E695" s="1044" t="str" cm="1">
        <f t="array" ref="E695">INDEX(K695:O695, , F$2)</f>
        <v>used in depreciation calculations</v>
      </c>
      <c r="J695" s="434"/>
      <c r="K695" s="1036" t="s">
        <v>2072</v>
      </c>
      <c r="L695" s="1041" t="s">
        <v>2073</v>
      </c>
      <c r="M695" s="1036" t="s">
        <v>2074</v>
      </c>
      <c r="N695" s="1036"/>
      <c r="O695" s="1038"/>
      <c r="P695" s="434"/>
    </row>
    <row r="696" spans="5:16" x14ac:dyDescent="0.25">
      <c r="E696" s="1044" t="str" cm="1">
        <f t="array" ref="E696">INDEX(K696:O696, , F$2)</f>
        <v>base year is first project year</v>
      </c>
      <c r="J696" s="434"/>
      <c r="K696" s="1036" t="s">
        <v>2075</v>
      </c>
      <c r="L696" s="1041" t="s">
        <v>2076</v>
      </c>
      <c r="M696" s="1036" t="s">
        <v>2077</v>
      </c>
      <c r="N696" s="1036"/>
      <c r="O696" s="1038"/>
      <c r="P696" s="434"/>
    </row>
    <row r="697" spans="5:16" ht="29" x14ac:dyDescent="0.25">
      <c r="E697" s="1044" t="str" cm="1">
        <f t="array" ref="E697">INDEX(K697:O697, , F$2)</f>
        <v>cashflows excluding exploration &amp; development costs</v>
      </c>
      <c r="J697" s="434"/>
      <c r="K697" s="1036" t="s">
        <v>2078</v>
      </c>
      <c r="L697" s="1053" t="s">
        <v>2079</v>
      </c>
      <c r="M697" s="1036" t="s">
        <v>2080</v>
      </c>
      <c r="N697" s="1036"/>
      <c r="O697" s="1038"/>
      <c r="P697" s="434"/>
    </row>
    <row r="698" spans="5:16" x14ac:dyDescent="0.25">
      <c r="E698" s="1044" t="str" cm="1">
        <f t="array" ref="E698">INDEX(K698:O698, , F$2)</f>
        <v>Analysis</v>
      </c>
      <c r="J698" s="434"/>
      <c r="K698" s="1036" t="s">
        <v>2081</v>
      </c>
      <c r="L698" s="1041" t="s">
        <v>2082</v>
      </c>
      <c r="M698" s="1036" t="s">
        <v>2083</v>
      </c>
      <c r="N698" s="1036"/>
      <c r="O698" s="1038"/>
      <c r="P698" s="434"/>
    </row>
    <row r="699" spans="5:16" x14ac:dyDescent="0.25">
      <c r="E699" s="1044" t="str" cm="1">
        <f t="array" ref="E699">INDEX(K699:O699, , F$2)</f>
        <v>Effective Royalty Rate calculation</v>
      </c>
      <c r="J699" s="434"/>
      <c r="K699" s="1036" t="s">
        <v>2084</v>
      </c>
      <c r="L699" s="1041" t="s">
        <v>2085</v>
      </c>
      <c r="M699" s="1036" t="s">
        <v>2086</v>
      </c>
      <c r="N699" s="1036"/>
      <c r="O699" s="1038"/>
      <c r="P699" s="434"/>
    </row>
    <row r="700" spans="5:16" x14ac:dyDescent="0.25">
      <c r="E700" s="1044" t="str" cm="1">
        <f t="array" ref="E700">INDEX(K700:O700, , F$2)</f>
        <v>Payback</v>
      </c>
      <c r="J700" s="434"/>
      <c r="K700" s="1036" t="s">
        <v>2087</v>
      </c>
      <c r="L700" s="1053" t="s">
        <v>2088</v>
      </c>
      <c r="M700" s="1036" t="s">
        <v>2089</v>
      </c>
      <c r="N700" s="1036"/>
      <c r="O700" s="1038"/>
      <c r="P700" s="434"/>
    </row>
    <row r="701" spans="5:16" x14ac:dyDescent="0.25">
      <c r="E701" s="1044" t="str" cm="1">
        <f t="array" ref="E701">INDEX(K701:O701, , F$2)</f>
        <v>Project cashflows</v>
      </c>
      <c r="J701" s="434"/>
      <c r="K701" s="1036" t="s">
        <v>2090</v>
      </c>
      <c r="L701" s="1041" t="s">
        <v>2091</v>
      </c>
      <c r="M701" s="1036" t="s">
        <v>2092</v>
      </c>
      <c r="N701" s="1036"/>
      <c r="O701" s="1038"/>
      <c r="P701" s="434"/>
    </row>
    <row r="702" spans="5:16" x14ac:dyDescent="0.25">
      <c r="E702" s="1044" t="str" cm="1">
        <f t="array" ref="E702">INDEX(K702:O702, , F$2)</f>
        <v>Project participants</v>
      </c>
      <c r="J702" s="434"/>
      <c r="K702" s="1036" t="s">
        <v>2093</v>
      </c>
      <c r="L702" s="1041" t="s">
        <v>2094</v>
      </c>
      <c r="M702" s="1036" t="s">
        <v>2095</v>
      </c>
      <c r="N702" s="1036"/>
      <c r="O702" s="1038"/>
      <c r="P702" s="434"/>
    </row>
    <row r="703" spans="5:16" x14ac:dyDescent="0.25">
      <c r="E703" s="1044" t="str" cm="1">
        <f t="array" ref="E703">INDEX(K703:O703, , F$2)</f>
        <v>Government share metrics</v>
      </c>
      <c r="J703" s="434"/>
      <c r="K703" s="1036" t="s">
        <v>2096</v>
      </c>
      <c r="L703" s="1053" t="s">
        <v>2097</v>
      </c>
      <c r="M703" s="1036" t="s">
        <v>2098</v>
      </c>
      <c r="N703" s="1036"/>
      <c r="O703" s="1038"/>
      <c r="P703" s="434"/>
    </row>
    <row r="704" spans="5:16" x14ac:dyDescent="0.25">
      <c r="E704" s="1044" t="str" cm="1">
        <f t="array" ref="E704">INDEX(K704:O704, , F$2)</f>
        <v>Unit analysis</v>
      </c>
      <c r="J704" s="434"/>
      <c r="K704" s="1039" t="s">
        <v>2099</v>
      </c>
      <c r="L704" s="1041" t="s">
        <v>2100</v>
      </c>
      <c r="M704" s="1039" t="s">
        <v>2101</v>
      </c>
      <c r="N704" s="1039"/>
      <c r="O704" s="1038"/>
      <c r="P704" s="434"/>
    </row>
    <row r="705" spans="5:16" x14ac:dyDescent="0.25">
      <c r="E705" s="1044" t="str" cm="1">
        <f t="array" ref="E705">INDEX(K705:O705, , F$2)</f>
        <v>Effective royalty rate (calculated)</v>
      </c>
      <c r="J705" s="434"/>
      <c r="K705" s="1036" t="s">
        <v>2102</v>
      </c>
      <c r="L705" s="1041" t="s">
        <v>2103</v>
      </c>
      <c r="M705" s="1036" t="s">
        <v>2104</v>
      </c>
      <c r="N705" s="1036"/>
      <c r="O705" s="1038"/>
      <c r="P705" s="434"/>
    </row>
    <row r="706" spans="5:16" x14ac:dyDescent="0.25">
      <c r="E706" s="1044" t="str" cm="1">
        <f t="array" ref="E706">INDEX(K706:O706, , F$2)</f>
        <v>Investors (IOC + Lender)</v>
      </c>
      <c r="J706" s="434"/>
      <c r="K706" s="1036" t="s">
        <v>2105</v>
      </c>
      <c r="L706" s="1041" t="s">
        <v>2106</v>
      </c>
      <c r="M706" s="1036" t="s">
        <v>2107</v>
      </c>
      <c r="N706" s="1036"/>
      <c r="O706" s="1038"/>
      <c r="P706" s="434"/>
    </row>
    <row r="707" spans="5:16" ht="29" x14ac:dyDescent="0.25">
      <c r="E707" s="1044" t="str" cm="1">
        <f t="array" ref="E707">INDEX(K707:O707, , F$2)</f>
        <v>Average effective tax rate (excl. participation)</v>
      </c>
      <c r="J707" s="434"/>
      <c r="K707" s="1036" t="s">
        <v>2108</v>
      </c>
      <c r="L707" s="1041" t="s">
        <v>2109</v>
      </c>
      <c r="M707" s="1036" t="s">
        <v>2110</v>
      </c>
      <c r="N707" s="1036"/>
      <c r="O707" s="1038"/>
      <c r="P707" s="434"/>
    </row>
    <row r="708" spans="5:16" ht="29" x14ac:dyDescent="0.25">
      <c r="E708" s="1044" t="str" cm="1">
        <f t="array" ref="E708">INDEX(K708:O708, , F$2)</f>
        <v>Average effective tax rate (incl. participation)</v>
      </c>
      <c r="J708" s="434"/>
      <c r="K708" s="1036" t="s">
        <v>2111</v>
      </c>
      <c r="L708" s="1041" t="s">
        <v>2112</v>
      </c>
      <c r="M708" s="1036" t="s">
        <v>2113</v>
      </c>
      <c r="N708" s="1036"/>
      <c r="O708" s="1038"/>
      <c r="P708" s="434"/>
    </row>
    <row r="709" spans="5:16" x14ac:dyDescent="0.25">
      <c r="E709" s="1044" t="str" cm="1">
        <f t="array" ref="E709">INDEX(K709:O709, , F$2)</f>
        <v>This project example sheet name</v>
      </c>
      <c r="J709" s="434"/>
      <c r="K709" s="1036" t="s">
        <v>2114</v>
      </c>
      <c r="L709" s="1041" t="s">
        <v>2115</v>
      </c>
      <c r="M709" s="1036" t="s">
        <v>2116</v>
      </c>
      <c r="N709" s="1036"/>
      <c r="O709" s="1038"/>
      <c r="P709" s="434"/>
    </row>
    <row r="710" spans="5:16" x14ac:dyDescent="0.25">
      <c r="E710" s="1044" t="str" cm="1">
        <f t="array" ref="E710">INDEX(K710:O710, , F$2)</f>
        <v>Oil production RATE</v>
      </c>
      <c r="J710" s="434"/>
      <c r="K710" s="1036" t="s">
        <v>2117</v>
      </c>
      <c r="L710" s="1053" t="s">
        <v>2118</v>
      </c>
      <c r="M710" s="1036" t="s">
        <v>2119</v>
      </c>
      <c r="N710" s="1036"/>
      <c r="O710" s="1038"/>
      <c r="P710" s="434"/>
    </row>
    <row r="711" spans="5:16" x14ac:dyDescent="0.25">
      <c r="E711" s="1044" t="str" cm="1">
        <f t="array" ref="E711">INDEX(K711:O711, , F$2)</f>
        <v>Transport costs post-fiscal point</v>
      </c>
      <c r="J711" s="434"/>
      <c r="K711" s="1036" t="s">
        <v>2120</v>
      </c>
      <c r="L711" s="1053" t="s">
        <v>2121</v>
      </c>
      <c r="M711" s="1036" t="s">
        <v>2122</v>
      </c>
      <c r="N711" s="1036"/>
      <c r="O711" s="1038"/>
      <c r="P711" s="434"/>
    </row>
    <row r="712" spans="5:16" x14ac:dyDescent="0.25">
      <c r="E712" s="1044" t="str" cm="1">
        <f t="array" ref="E712">INDEX(K712:O712, , F$2)</f>
        <v>Exploration costs</v>
      </c>
      <c r="J712" s="434"/>
      <c r="K712" s="1036" t="s">
        <v>2123</v>
      </c>
      <c r="L712" s="1041" t="s">
        <v>2124</v>
      </c>
      <c r="M712" s="1036" t="s">
        <v>2125</v>
      </c>
      <c r="N712" s="1036"/>
      <c r="O712" s="1038"/>
      <c r="P712" s="434"/>
    </row>
    <row r="713" spans="5:16" x14ac:dyDescent="0.25">
      <c r="E713" s="1044" t="str" cm="1">
        <f t="array" ref="E713">INDEX(K713:O713, , F$2)</f>
        <v>Development costs</v>
      </c>
      <c r="J713" s="434"/>
      <c r="K713" s="1036" t="s">
        <v>2126</v>
      </c>
      <c r="L713" s="1041" t="s">
        <v>2127</v>
      </c>
      <c r="M713" s="1036" t="s">
        <v>2128</v>
      </c>
      <c r="N713" s="1036"/>
      <c r="O713" s="1038"/>
      <c r="P713" s="434"/>
    </row>
    <row r="714" spans="5:16" x14ac:dyDescent="0.25">
      <c r="E714" s="1044" t="str" cm="1">
        <f t="array" ref="E714">INDEX(K714:O714, , F$2)</f>
        <v>Replacement capital costs</v>
      </c>
      <c r="J714" s="434"/>
      <c r="K714" s="1036" t="s">
        <v>2129</v>
      </c>
      <c r="L714" s="1053" t="s">
        <v>2130</v>
      </c>
      <c r="M714" s="1036" t="s">
        <v>2131</v>
      </c>
      <c r="N714" s="1036"/>
      <c r="O714" s="1038"/>
      <c r="P714" s="434"/>
    </row>
    <row r="715" spans="5:16" x14ac:dyDescent="0.25">
      <c r="E715" s="1044" t="str" cm="1">
        <f t="array" ref="E715">INDEX(K715:O715, , F$2)</f>
        <v>Operating costs</v>
      </c>
      <c r="J715" s="434"/>
      <c r="K715" s="1036" t="s">
        <v>2132</v>
      </c>
      <c r="L715" s="1041" t="s">
        <v>2133</v>
      </c>
      <c r="M715" s="1036" t="s">
        <v>2134</v>
      </c>
      <c r="N715" s="1036"/>
      <c r="O715" s="1038"/>
      <c r="P715" s="434"/>
    </row>
    <row r="716" spans="5:16" x14ac:dyDescent="0.25">
      <c r="E716" s="1044" t="str" cm="1">
        <f t="array" ref="E716">INDEX(K716:O716, , F$2)</f>
        <v>Decommissioning costs</v>
      </c>
      <c r="J716" s="434"/>
      <c r="K716" s="1036" t="s">
        <v>2135</v>
      </c>
      <c r="L716" s="1053" t="s">
        <v>2136</v>
      </c>
      <c r="M716" s="1036" t="s">
        <v>2137</v>
      </c>
      <c r="N716" s="1036"/>
      <c r="O716" s="1038"/>
      <c r="P716" s="434"/>
    </row>
    <row r="717" spans="5:16" x14ac:dyDescent="0.25">
      <c r="E717" s="1044" t="str" cm="1">
        <f t="array" ref="E717">INDEX(K717:O717, , F$2)</f>
        <v>Total costs</v>
      </c>
      <c r="J717" s="434"/>
      <c r="K717" s="1036" t="s">
        <v>2138</v>
      </c>
      <c r="L717" s="1041" t="s">
        <v>2139</v>
      </c>
      <c r="M717" s="1036" t="s">
        <v>2140</v>
      </c>
      <c r="N717" s="1036"/>
      <c r="O717" s="1038"/>
      <c r="P717" s="434"/>
    </row>
    <row r="718" spans="5:16" x14ac:dyDescent="0.25">
      <c r="E718" s="1044" t="str" cm="1">
        <f t="array" ref="E718">INDEX(K718:O718, , F$2)</f>
        <v>Oil production</v>
      </c>
      <c r="J718" s="434"/>
      <c r="K718" s="1036" t="s">
        <v>2141</v>
      </c>
      <c r="L718" s="1041" t="s">
        <v>2142</v>
      </c>
      <c r="M718" s="1036" t="s">
        <v>2143</v>
      </c>
      <c r="N718" s="1036"/>
      <c r="O718" s="1038"/>
      <c r="P718" s="434"/>
    </row>
    <row r="719" spans="5:16" x14ac:dyDescent="0.25">
      <c r="E719" s="1044" t="str" cm="1">
        <f t="array" ref="E719">INDEX(K719:O719, , F$2)</f>
        <v>Annual decline after plateau</v>
      </c>
      <c r="J719" s="434"/>
      <c r="K719" s="1036" t="s">
        <v>2144</v>
      </c>
      <c r="L719" s="1041" t="s">
        <v>2145</v>
      </c>
      <c r="M719" s="1036" t="s">
        <v>2146</v>
      </c>
      <c r="N719" s="1036"/>
      <c r="O719" s="1038"/>
      <c r="P719" s="434"/>
    </row>
    <row r="720" spans="5:16" x14ac:dyDescent="0.25">
      <c r="E720" s="1044" t="str" cm="1">
        <f t="array" ref="E720">INDEX(K720:O720, , F$2)</f>
        <v>Fixed opex</v>
      </c>
      <c r="J720" s="434"/>
      <c r="K720" s="1036" t="s">
        <v>2147</v>
      </c>
      <c r="L720" s="1041" t="s">
        <v>2148</v>
      </c>
      <c r="M720" s="1036" t="s">
        <v>2149</v>
      </c>
      <c r="N720" s="1036"/>
      <c r="O720" s="1038"/>
      <c r="P720" s="434"/>
    </row>
    <row r="721" spans="5:16" x14ac:dyDescent="0.25">
      <c r="E721" s="1044" t="str" cm="1">
        <f t="array" ref="E721">INDEX(K721:O721, , F$2)</f>
        <v>Variable opex</v>
      </c>
      <c r="J721" s="434"/>
      <c r="K721" s="1036" t="s">
        <v>2150</v>
      </c>
      <c r="L721" s="1041" t="s">
        <v>2151</v>
      </c>
      <c r="M721" s="1036" t="s">
        <v>2152</v>
      </c>
      <c r="N721" s="1036"/>
      <c r="O721" s="1038"/>
      <c r="P721" s="434"/>
    </row>
    <row r="722" spans="5:16" x14ac:dyDescent="0.25">
      <c r="E722" s="1044" t="str" cm="1">
        <f t="array" ref="E722">INDEX(K722:O722, , F$2)</f>
        <v>First row of project data</v>
      </c>
      <c r="J722" s="434"/>
      <c r="K722" s="1036" t="s">
        <v>2153</v>
      </c>
      <c r="L722" s="1041" t="s">
        <v>2154</v>
      </c>
      <c r="M722" s="1036" t="s">
        <v>2155</v>
      </c>
      <c r="N722" s="1036"/>
      <c r="O722" s="1038"/>
      <c r="P722" s="434"/>
    </row>
    <row r="723" spans="5:16" x14ac:dyDescent="0.25">
      <c r="E723" s="1044" t="str" cm="1">
        <f t="array" ref="E723">INDEX(K723:O723, , F$2)</f>
        <v>Oil production Volume</v>
      </c>
      <c r="J723" s="434"/>
      <c r="K723" s="1036" t="s">
        <v>2156</v>
      </c>
      <c r="L723" s="1041" t="s">
        <v>2157</v>
      </c>
      <c r="M723" s="1036" t="s">
        <v>2158</v>
      </c>
      <c r="N723" s="1036"/>
      <c r="O723" s="1038"/>
      <c r="P723" s="434"/>
    </row>
    <row r="724" spans="5:16" x14ac:dyDescent="0.25">
      <c r="E724" s="1044" t="str" cm="1">
        <f t="array" ref="E724">INDEX(K724:O724, , F$2)</f>
        <v>Production inputs</v>
      </c>
      <c r="J724" s="434"/>
      <c r="K724" s="1036" t="s">
        <v>2159</v>
      </c>
      <c r="L724" s="1041" t="s">
        <v>2160</v>
      </c>
      <c r="M724" s="1036" t="s">
        <v>2161</v>
      </c>
      <c r="N724" s="1036"/>
      <c r="O724" s="1038"/>
      <c r="P724" s="434"/>
    </row>
    <row r="725" spans="5:16" x14ac:dyDescent="0.25">
      <c r="E725" s="1044" t="str" cm="1">
        <f t="array" ref="E725">INDEX(K725:O725, , F$2)</f>
        <v>Cost inputs</v>
      </c>
      <c r="J725" s="434"/>
      <c r="K725" s="1036" t="s">
        <v>2162</v>
      </c>
      <c r="L725" s="1041" t="s">
        <v>2163</v>
      </c>
      <c r="M725" s="1036" t="s">
        <v>2164</v>
      </c>
      <c r="N725" s="1036"/>
      <c r="O725" s="1038"/>
      <c r="P725" s="434"/>
    </row>
    <row r="726" spans="5:16" x14ac:dyDescent="0.25">
      <c r="E726" s="1044" t="str" cm="1">
        <f t="array" ref="E726">INDEX(K726:O726, , F$2)</f>
        <v>Project data</v>
      </c>
      <c r="J726" s="434"/>
      <c r="K726" s="1036" t="s">
        <v>2165</v>
      </c>
      <c r="L726" s="1041" t="s">
        <v>2166</v>
      </c>
      <c r="M726" s="1036" t="s">
        <v>2167</v>
      </c>
      <c r="N726" s="1036"/>
      <c r="O726" s="1038"/>
      <c r="P726" s="434"/>
    </row>
    <row r="727" spans="5:16" x14ac:dyDescent="0.25">
      <c r="E727" s="1044" t="str" cm="1">
        <f t="array" ref="E727">INDEX(K727:O727, , F$2)</f>
        <v>Unit costs</v>
      </c>
      <c r="J727" s="434"/>
      <c r="K727" s="1036" t="s">
        <v>2168</v>
      </c>
      <c r="L727" s="1041" t="s">
        <v>2169</v>
      </c>
      <c r="M727" s="1036" t="s">
        <v>2170</v>
      </c>
      <c r="N727" s="1036"/>
      <c r="O727" s="1038"/>
      <c r="P727" s="434"/>
    </row>
    <row r="728" spans="5:16" x14ac:dyDescent="0.25">
      <c r="E728" s="1044" t="str" cm="1">
        <f t="array" ref="E728">INDEX(K728:O728, , F$2)</f>
        <v>Charts</v>
      </c>
      <c r="J728" s="434"/>
      <c r="K728" s="1036" t="s">
        <v>2171</v>
      </c>
      <c r="L728" s="1053" t="s">
        <v>2172</v>
      </c>
      <c r="M728" s="1036" t="s">
        <v>2173</v>
      </c>
      <c r="N728" s="1036"/>
      <c r="O728" s="1038"/>
      <c r="P728" s="434"/>
    </row>
    <row r="729" spans="5:16" x14ac:dyDescent="0.25">
      <c r="E729" s="1044" t="str" cm="1">
        <f t="array" ref="E729">INDEX(K729:O729, , F$2)</f>
        <v>VAT</v>
      </c>
      <c r="J729" s="434"/>
      <c r="K729" s="1039" t="s">
        <v>2174</v>
      </c>
      <c r="L729" s="1041" t="s">
        <v>2175</v>
      </c>
      <c r="M729" s="1039" t="s">
        <v>2176</v>
      </c>
      <c r="N729" s="1039"/>
      <c r="O729" s="1038"/>
      <c r="P729" s="434"/>
    </row>
    <row r="730" spans="5:16" x14ac:dyDescent="0.25">
      <c r="E730" s="1045" t="str" cm="1">
        <f t="array" ref="E730">INDEX(K730:O730, , F$2)</f>
        <v>DROP</v>
      </c>
      <c r="J730" s="434"/>
      <c r="K730" s="1039" t="s">
        <v>46</v>
      </c>
      <c r="L730" s="1041" t="s">
        <v>2177</v>
      </c>
      <c r="M730" s="1039" t="s">
        <v>2178</v>
      </c>
      <c r="N730" s="1039"/>
      <c r="O730" s="1038"/>
      <c r="P730" s="434"/>
    </row>
    <row r="731" spans="5:16" x14ac:dyDescent="0.25">
      <c r="E731" s="1045" t="str" cm="1">
        <f t="array" ref="E731">INDEX(K731:O731, , F$2)</f>
        <v>RRT</v>
      </c>
      <c r="J731" s="434"/>
      <c r="K731" s="1039" t="s">
        <v>30</v>
      </c>
      <c r="L731" s="1041" t="s">
        <v>2179</v>
      </c>
      <c r="M731" s="1039" t="s">
        <v>2179</v>
      </c>
      <c r="N731" s="1039"/>
      <c r="O731" s="1038"/>
      <c r="P731" s="434"/>
    </row>
    <row r="732" spans="5:16" x14ac:dyDescent="0.25">
      <c r="E732" s="1045" t="str" cm="1">
        <f t="array" ref="E732">INDEX(K732:O732, , F$2)</f>
        <v>CIT</v>
      </c>
      <c r="J732" s="434"/>
      <c r="K732" s="1039" t="s">
        <v>2180</v>
      </c>
      <c r="L732" s="1041" t="s">
        <v>2181</v>
      </c>
      <c r="M732" s="1039" t="s">
        <v>2182</v>
      </c>
      <c r="N732" s="1039"/>
      <c r="O732" s="1038"/>
      <c r="P732" s="434"/>
    </row>
    <row r="733" spans="5:16" x14ac:dyDescent="0.25">
      <c r="E733" s="1045" t="str" cm="1">
        <f t="array" ref="E733">INDEX(K733:O733, , F$2)</f>
        <v>PSC</v>
      </c>
      <c r="J733" s="434"/>
      <c r="K733" s="1039" t="s">
        <v>45</v>
      </c>
      <c r="L733" s="1041" t="s">
        <v>2183</v>
      </c>
      <c r="M733" s="1039" t="s">
        <v>2184</v>
      </c>
      <c r="N733" s="1039"/>
      <c r="O733" s="1038"/>
      <c r="P733" s="434"/>
    </row>
    <row r="734" spans="5:16" x14ac:dyDescent="0.25">
      <c r="E734" s="1044" t="str" cm="1">
        <f t="array" ref="E734">INDEX(K734:O734, , F$2)</f>
        <v>GHG</v>
      </c>
      <c r="J734" s="434"/>
      <c r="K734" s="1039" t="s">
        <v>2185</v>
      </c>
      <c r="L734" s="1041" t="s">
        <v>2186</v>
      </c>
      <c r="M734" s="1039" t="s">
        <v>2187</v>
      </c>
      <c r="N734" s="1039"/>
      <c r="O734" s="1038"/>
      <c r="P734" s="434"/>
    </row>
    <row r="735" spans="5:16" x14ac:dyDescent="0.25">
      <c r="E735" s="1044" t="str" cm="1">
        <f t="array" ref="E735">INDEX(K735:O735, , F$2)</f>
        <v>Greenhouse gas</v>
      </c>
      <c r="J735" s="434"/>
      <c r="K735" s="1039" t="s">
        <v>2188</v>
      </c>
      <c r="L735" s="1041" t="s">
        <v>2189</v>
      </c>
      <c r="M735" s="1039" t="s">
        <v>2190</v>
      </c>
      <c r="N735" s="1039"/>
      <c r="O735" s="1038"/>
      <c r="P735" s="434"/>
    </row>
    <row r="736" spans="5:16" x14ac:dyDescent="0.25">
      <c r="E736" s="1044" t="str" cm="1">
        <f t="array" ref="E736">INDEX(K736:O736, , F$2)</f>
        <v>International oil company</v>
      </c>
      <c r="J736" s="434"/>
      <c r="K736" s="1039" t="s">
        <v>2191</v>
      </c>
      <c r="L736" s="1041" t="s">
        <v>2192</v>
      </c>
      <c r="M736" s="1039" t="s">
        <v>2193</v>
      </c>
      <c r="N736" s="1039"/>
      <c r="O736" s="1038"/>
      <c r="P736" s="434"/>
    </row>
    <row r="737" spans="5:16" x14ac:dyDescent="0.25">
      <c r="E737" s="1044" t="str" cm="1">
        <f t="array" ref="E737">INDEX(K737:O737, , F$2)</f>
        <v>Exploration</v>
      </c>
      <c r="J737" s="434"/>
      <c r="K737" s="1039" t="s">
        <v>2194</v>
      </c>
      <c r="L737" s="1041" t="s">
        <v>2194</v>
      </c>
      <c r="M737" s="1039" t="s">
        <v>2195</v>
      </c>
      <c r="N737" s="1039"/>
      <c r="O737" s="1038"/>
      <c r="P737" s="434"/>
    </row>
    <row r="738" spans="5:16" x14ac:dyDescent="0.25">
      <c r="E738" s="1044" t="str" cm="1">
        <f t="array" ref="E738">INDEX(K738:O738, , F$2)</f>
        <v>Production</v>
      </c>
      <c r="J738" s="434"/>
      <c r="K738" s="1039" t="s">
        <v>49</v>
      </c>
      <c r="L738" s="1041" t="s">
        <v>49</v>
      </c>
      <c r="M738" s="1039" t="s">
        <v>2196</v>
      </c>
      <c r="N738" s="1039"/>
      <c r="O738" s="1038"/>
      <c r="P738" s="434"/>
    </row>
    <row r="739" spans="5:16" x14ac:dyDescent="0.25">
      <c r="E739" s="1044" t="str" cm="1">
        <f t="array" ref="E739">INDEX(K739:O739, , F$2)</f>
        <v>nominal</v>
      </c>
      <c r="J739" s="434"/>
      <c r="K739" s="1039" t="s">
        <v>42</v>
      </c>
      <c r="L739" s="1041" t="s">
        <v>42</v>
      </c>
      <c r="M739" s="1039" t="s">
        <v>42</v>
      </c>
      <c r="N739" s="1039"/>
      <c r="O739" s="1038"/>
      <c r="P739" s="434"/>
    </row>
    <row r="740" spans="5:16" x14ac:dyDescent="0.25">
      <c r="E740" s="1044" t="str" cm="1">
        <f t="array" ref="E740">INDEX(K740:O740, , F$2)</f>
        <v>Percentage</v>
      </c>
      <c r="J740" s="434"/>
      <c r="K740" s="1039" t="s">
        <v>43</v>
      </c>
      <c r="L740" s="1041" t="s">
        <v>2197</v>
      </c>
      <c r="M740" s="1039" t="s">
        <v>2198</v>
      </c>
      <c r="N740" s="1039"/>
      <c r="O740" s="1038"/>
      <c r="P740" s="434"/>
    </row>
    <row r="741" spans="5:16" x14ac:dyDescent="0.25">
      <c r="E741" s="1044" t="str" cm="1">
        <f t="array" ref="E741">INDEX(K741:O741, , F$2)</f>
        <v>TargetYear</v>
      </c>
      <c r="J741" s="434"/>
      <c r="K741" s="1039" t="s">
        <v>2199</v>
      </c>
      <c r="L741" s="1041" t="s">
        <v>2200</v>
      </c>
      <c r="M741" s="1039" t="s">
        <v>2201</v>
      </c>
      <c r="N741" s="1039"/>
      <c r="O741" s="1038"/>
      <c r="P741" s="434"/>
    </row>
    <row r="742" spans="5:16" x14ac:dyDescent="0.25">
      <c r="E742" s="1044" t="str" cm="1">
        <f t="array" ref="E742">INDEX(K742:O742, , F$2)</f>
        <v>depreciated</v>
      </c>
      <c r="J742" s="434"/>
      <c r="K742" s="1039" t="s">
        <v>2202</v>
      </c>
      <c r="L742" s="1041" t="s">
        <v>2203</v>
      </c>
      <c r="M742" s="1039" t="s">
        <v>2204</v>
      </c>
      <c r="N742" s="1039"/>
      <c r="O742" s="1038"/>
      <c r="P742" s="434"/>
    </row>
    <row r="743" spans="5:16" x14ac:dyDescent="0.25">
      <c r="E743" s="1044" t="str" cm="1">
        <f t="array" ref="E743">INDEX(K743:O743, , F$2)</f>
        <v>expensed</v>
      </c>
      <c r="J743" s="434"/>
      <c r="K743" s="1039" t="s">
        <v>48</v>
      </c>
      <c r="L743" s="1041" t="s">
        <v>2205</v>
      </c>
      <c r="M743" s="1039" t="s">
        <v>2206</v>
      </c>
      <c r="N743" s="1039"/>
      <c r="O743" s="1038"/>
      <c r="P743" s="434"/>
    </row>
    <row r="744" spans="5:16" x14ac:dyDescent="0.25">
      <c r="E744" s="1044" t="str" cm="1">
        <f t="array" ref="E744">INDEX(K744:O744, , F$2)</f>
        <v>Spend</v>
      </c>
      <c r="J744" s="434"/>
      <c r="K744" s="1039" t="s">
        <v>2207</v>
      </c>
      <c r="L744" s="1041" t="s">
        <v>2208</v>
      </c>
      <c r="M744" s="1039" t="s">
        <v>2209</v>
      </c>
      <c r="N744" s="1039"/>
      <c r="O744" s="1038"/>
      <c r="P744" s="434"/>
    </row>
    <row r="745" spans="5:16" x14ac:dyDescent="0.25">
      <c r="E745" s="1044" t="str" cm="1">
        <f t="array" ref="E745">INDEX(K745:O745, , F$2)</f>
        <v>option applicable</v>
      </c>
      <c r="J745" s="434"/>
      <c r="K745" s="1039" t="s">
        <v>2210</v>
      </c>
      <c r="L745" s="1041" t="s">
        <v>2210</v>
      </c>
      <c r="M745" s="1039" t="s">
        <v>2211</v>
      </c>
      <c r="N745" s="1039"/>
      <c r="O745" s="1038"/>
      <c r="P745" s="434"/>
    </row>
    <row r="746" spans="5:16" x14ac:dyDescent="0.25">
      <c r="E746" s="1044" t="str" cm="1">
        <f t="array" ref="E746">INDEX(K746:O746, , F$2)</f>
        <v>yes</v>
      </c>
      <c r="J746" s="434"/>
      <c r="K746" s="1039" t="s">
        <v>33</v>
      </c>
      <c r="L746" s="1041" t="s">
        <v>2212</v>
      </c>
      <c r="M746" s="1039" t="s">
        <v>2213</v>
      </c>
      <c r="N746" s="1039"/>
      <c r="O746" s="1038"/>
      <c r="P746" s="434"/>
    </row>
    <row r="747" spans="5:16" x14ac:dyDescent="0.25">
      <c r="E747" s="1044" t="str" cm="1">
        <f t="array" ref="E747">INDEX(K747:O747, , F$2)</f>
        <v>no</v>
      </c>
      <c r="J747" s="434"/>
      <c r="K747" s="1039" t="s">
        <v>40</v>
      </c>
      <c r="L747" s="1041" t="s">
        <v>2214</v>
      </c>
      <c r="M747" s="1039" t="s">
        <v>40</v>
      </c>
      <c r="N747" s="1039"/>
      <c r="O747" s="1038"/>
      <c r="P747" s="434"/>
    </row>
    <row r="748" spans="5:16" x14ac:dyDescent="0.25">
      <c r="E748" s="1044" t="str" cm="1">
        <f t="array" ref="E748">INDEX(K748:O748, , F$2)</f>
        <v>Label for unit cost</v>
      </c>
      <c r="J748" s="434"/>
      <c r="K748" s="1040" t="s">
        <v>2215</v>
      </c>
      <c r="L748" s="1041" t="s">
        <v>2216</v>
      </c>
      <c r="M748" s="1040" t="s">
        <v>2217</v>
      </c>
      <c r="N748" s="1040"/>
      <c r="O748" s="1038"/>
      <c r="P748" s="434"/>
    </row>
    <row r="749" spans="5:16" x14ac:dyDescent="0.25">
      <c r="E749" s="1044" t="str" cm="1">
        <f t="array" ref="E749">INDEX(K749:O749, , F$2)</f>
        <v>Project selection and sensitivities</v>
      </c>
      <c r="J749" s="434"/>
      <c r="K749" s="1039" t="s">
        <v>2218</v>
      </c>
      <c r="L749" s="1053" t="s">
        <v>2219</v>
      </c>
      <c r="M749" s="1039" t="s">
        <v>2220</v>
      </c>
      <c r="N749" s="1039"/>
      <c r="O749" s="1038"/>
      <c r="P749" s="434"/>
    </row>
    <row r="750" spans="5:16" x14ac:dyDescent="0.25">
      <c r="E750" s="1044" t="str" cm="1">
        <f t="array" ref="E750">INDEX(K750:O750, , F$2)</f>
        <v>Economic assumptions</v>
      </c>
      <c r="J750" s="434"/>
      <c r="K750" s="1039" t="s">
        <v>2221</v>
      </c>
      <c r="L750" s="1041" t="s">
        <v>2222</v>
      </c>
      <c r="M750" s="1039" t="s">
        <v>2223</v>
      </c>
      <c r="N750" s="1039"/>
      <c r="O750" s="1038"/>
      <c r="P750" s="434"/>
    </row>
    <row r="751" spans="5:16" x14ac:dyDescent="0.25">
      <c r="E751" s="1044" t="str" cm="1">
        <f t="array" ref="E751">INDEX(K751:O751, , F$2)</f>
        <v>Evaluation parameters</v>
      </c>
      <c r="J751" s="434"/>
      <c r="K751" s="1039" t="s">
        <v>2224</v>
      </c>
      <c r="L751" s="1041" t="s">
        <v>2225</v>
      </c>
      <c r="M751" s="1039" t="s">
        <v>2226</v>
      </c>
      <c r="N751" s="1039"/>
      <c r="O751" s="1038"/>
      <c r="P751" s="434"/>
    </row>
    <row r="752" spans="5:16" x14ac:dyDescent="0.25">
      <c r="E752" s="1044" t="str" cm="1">
        <f t="array" ref="E752">INDEX(K752:O752, , F$2)</f>
        <v>Model name and version</v>
      </c>
      <c r="J752" s="434"/>
      <c r="K752" s="1039" t="s">
        <v>2227</v>
      </c>
      <c r="L752" s="1041" t="s">
        <v>2228</v>
      </c>
      <c r="M752" s="1039" t="s">
        <v>2229</v>
      </c>
      <c r="N752" s="1039"/>
      <c r="O752" s="1038"/>
      <c r="P752" s="434"/>
    </row>
    <row r="753" spans="5:16" x14ac:dyDescent="0.25">
      <c r="E753" s="1044" t="str" cm="1">
        <f t="array" ref="E753">INDEX(K753:O753, , F$2)</f>
        <v>Technical parameters</v>
      </c>
      <c r="J753" s="434"/>
      <c r="K753" s="1039" t="s">
        <v>2230</v>
      </c>
      <c r="L753" s="1041" t="s">
        <v>2231</v>
      </c>
      <c r="M753" s="1039" t="s">
        <v>2232</v>
      </c>
      <c r="N753" s="1039"/>
      <c r="O753" s="1038"/>
      <c r="P753" s="434"/>
    </row>
    <row r="754" spans="5:16" x14ac:dyDescent="0.25">
      <c r="E754" s="1044" t="str" cm="1">
        <f t="array" ref="E754">INDEX(K754:O754, , F$2)</f>
        <v>Global labels</v>
      </c>
      <c r="J754" s="434"/>
      <c r="K754" s="1039" t="s">
        <v>2233</v>
      </c>
      <c r="L754" s="1041" t="s">
        <v>2234</v>
      </c>
      <c r="M754" s="1039" t="s">
        <v>2235</v>
      </c>
      <c r="N754" s="1039"/>
      <c r="O754" s="1038"/>
      <c r="P754" s="434"/>
    </row>
    <row r="755" spans="5:16" x14ac:dyDescent="0.25">
      <c r="E755" s="1044" t="str" cm="1">
        <f t="array" ref="E755">INDEX(K755:O755, , F$2)</f>
        <v xml:space="preserve">Check: </v>
      </c>
      <c r="J755" s="434"/>
      <c r="K755" s="1039" t="s">
        <v>2236</v>
      </c>
      <c r="L755" s="1041" t="s">
        <v>2237</v>
      </c>
      <c r="M755" s="1039" t="s">
        <v>2238</v>
      </c>
      <c r="N755" s="1039"/>
      <c r="O755" s="1038"/>
      <c r="P755" s="434"/>
    </row>
    <row r="756" spans="5:16" x14ac:dyDescent="0.25">
      <c r="E756" s="1044" t="str" cm="1">
        <f t="array" ref="E756">INDEX(K756:O756, , F$2)</f>
        <v>Project revenues and costs</v>
      </c>
      <c r="J756" s="434"/>
      <c r="K756" s="1039" t="s">
        <v>2239</v>
      </c>
      <c r="L756" s="1053" t="s">
        <v>2240</v>
      </c>
      <c r="M756" s="1039" t="s">
        <v>2241</v>
      </c>
      <c r="N756" s="1039"/>
      <c r="O756" s="1038"/>
      <c r="P756" s="434"/>
    </row>
    <row r="757" spans="5:16" x14ac:dyDescent="0.25">
      <c r="E757" s="1044" t="str" cm="1">
        <f t="array" ref="E757">INDEX(K757:O757, , F$2)</f>
        <v>Track changes</v>
      </c>
      <c r="J757" s="434"/>
      <c r="K757" s="1049" t="s">
        <v>2242</v>
      </c>
      <c r="L757" s="1041" t="s">
        <v>2243</v>
      </c>
      <c r="M757" s="1041" t="s">
        <v>2244</v>
      </c>
      <c r="N757" s="1041"/>
      <c r="O757" s="1038"/>
      <c r="P757" s="434"/>
    </row>
    <row r="758" spans="5:16" x14ac:dyDescent="0.25">
      <c r="E758" s="1044" t="str" cm="1">
        <f t="array" ref="E758">INDEX(K758:O758, , F$2)</f>
        <v>ratio</v>
      </c>
      <c r="J758" s="434"/>
      <c r="K758" s="1039" t="s">
        <v>2245</v>
      </c>
      <c r="L758" s="1041" t="s">
        <v>2245</v>
      </c>
      <c r="M758" s="1039" t="s">
        <v>2246</v>
      </c>
      <c r="N758" s="1039"/>
      <c r="O758" s="1038"/>
      <c r="P758" s="434"/>
    </row>
    <row r="759" spans="5:16" x14ac:dyDescent="0.25">
      <c r="E759" s="1044" t="str" cm="1">
        <f t="array" ref="E759">INDEX(K759:O759, , F$2)</f>
        <v>Columns</v>
      </c>
      <c r="J759" s="434"/>
      <c r="K759" s="1039" t="s">
        <v>2247</v>
      </c>
      <c r="L759" s="1041" t="s">
        <v>2248</v>
      </c>
      <c r="M759" s="1039" t="s">
        <v>2249</v>
      </c>
      <c r="N759" s="1039"/>
      <c r="O759" s="1038"/>
      <c r="P759" s="434"/>
    </row>
    <row r="760" spans="5:16" x14ac:dyDescent="0.25">
      <c r="E760" s="1044" t="str" cm="1">
        <f t="array" ref="E760">INDEX(K760:O760, , F$2)</f>
        <v>Project data location</v>
      </c>
      <c r="J760" s="434"/>
      <c r="K760" s="1039" t="s">
        <v>2250</v>
      </c>
      <c r="L760" s="1041" t="s">
        <v>2251</v>
      </c>
      <c r="M760" s="1039" t="s">
        <v>2252</v>
      </c>
      <c r="N760" s="1039"/>
      <c r="O760" s="1038"/>
      <c r="P760" s="434"/>
    </row>
    <row r="761" spans="5:16" x14ac:dyDescent="0.25">
      <c r="E761" s="1044" t="str" cm="1">
        <f t="array" ref="E761">INDEX(K761:O761, , F$2)</f>
        <v>Dashboard parameters and results</v>
      </c>
      <c r="J761" s="434"/>
      <c r="K761" s="1039" t="s">
        <v>2253</v>
      </c>
      <c r="L761" s="1041" t="s">
        <v>2254</v>
      </c>
      <c r="M761" s="1039" t="s">
        <v>2255</v>
      </c>
      <c r="N761" s="1039"/>
      <c r="O761" s="1038"/>
      <c r="P761" s="434"/>
    </row>
    <row r="762" spans="5:16" x14ac:dyDescent="0.25">
      <c r="E762" s="1044" t="str" cm="1">
        <f t="array" ref="E762">INDEX(K762:O762, , F$2)</f>
        <v>Primary fiscal regime results</v>
      </c>
      <c r="J762" s="434"/>
      <c r="K762" s="1039" t="s">
        <v>2256</v>
      </c>
      <c r="L762" s="1041" t="s">
        <v>2257</v>
      </c>
      <c r="M762" s="1039" t="s">
        <v>2258</v>
      </c>
      <c r="N762" s="1039"/>
      <c r="O762" s="1038"/>
      <c r="P762" s="434"/>
    </row>
    <row r="763" spans="5:16" x14ac:dyDescent="0.25">
      <c r="E763" s="1044" t="str" cm="1">
        <f t="array" ref="E763">INDEX(K763:O763, , F$2)</f>
        <v>Model info</v>
      </c>
      <c r="J763" s="434"/>
      <c r="K763" s="1039" t="s">
        <v>2259</v>
      </c>
      <c r="L763" s="1041" t="s">
        <v>2260</v>
      </c>
      <c r="M763" s="1039" t="s">
        <v>2261</v>
      </c>
      <c r="N763" s="1039"/>
      <c r="O763" s="1038"/>
      <c r="P763" s="434"/>
    </row>
    <row r="764" spans="5:16" x14ac:dyDescent="0.25">
      <c r="E764" s="1044" t="str" cm="1">
        <f t="array" ref="E764">INDEX(K764:O764, , F$2)</f>
        <v>Comments and version changes</v>
      </c>
      <c r="J764" s="434"/>
      <c r="K764" s="1039" t="s">
        <v>2262</v>
      </c>
      <c r="L764" s="1041" t="s">
        <v>2263</v>
      </c>
      <c r="M764" s="1039" t="s">
        <v>2264</v>
      </c>
      <c r="N764" s="1039"/>
      <c r="O764" s="1038"/>
      <c r="P764" s="434"/>
    </row>
    <row r="765" spans="5:16" x14ac:dyDescent="0.25">
      <c r="E765" s="1044" t="str" cm="1">
        <f t="array" ref="E765">INDEX(K765:O765, , F$2)</f>
        <v>Dashboard parameters</v>
      </c>
      <c r="J765" s="434"/>
      <c r="K765" s="1039" t="s">
        <v>2265</v>
      </c>
      <c r="L765" s="1041" t="s">
        <v>2266</v>
      </c>
      <c r="M765" s="1039" t="s">
        <v>2267</v>
      </c>
      <c r="N765" s="1039"/>
      <c r="O765" s="1038"/>
      <c r="P765" s="434"/>
    </row>
    <row r="766" spans="5:16" x14ac:dyDescent="0.25">
      <c r="E766" s="1044" t="str" cm="1">
        <f t="array" ref="E766">INDEX(K766:O766, , F$2)</f>
        <v>Compare live results to</v>
      </c>
      <c r="J766" s="434"/>
      <c r="K766" s="1039" t="s">
        <v>2268</v>
      </c>
      <c r="L766" s="1041" t="s">
        <v>2269</v>
      </c>
      <c r="M766" s="1039" t="s">
        <v>2270</v>
      </c>
      <c r="N766" s="1039"/>
      <c r="O766" s="1038"/>
      <c r="P766" s="434"/>
    </row>
    <row r="767" spans="5:16" x14ac:dyDescent="0.25">
      <c r="E767" s="1044" t="str" cm="1">
        <f t="array" ref="E767">INDEX(K767:O767, , F$2)</f>
        <v>Baseline</v>
      </c>
      <c r="J767" s="434"/>
      <c r="K767" s="1039" t="s">
        <v>19</v>
      </c>
      <c r="L767" s="1041" t="s">
        <v>2271</v>
      </c>
      <c r="M767" s="1039" t="s">
        <v>2272</v>
      </c>
      <c r="N767" s="1039"/>
      <c r="O767" s="1038"/>
      <c r="P767" s="434"/>
    </row>
    <row r="768" spans="5:16" x14ac:dyDescent="0.25">
      <c r="E768" s="1044" t="str" cm="1">
        <f t="array" ref="E768">INDEX(K768:O768, , F$2)</f>
        <v>prior period</v>
      </c>
      <c r="J768" s="434"/>
      <c r="K768" s="1039" t="s">
        <v>2273</v>
      </c>
      <c r="L768" s="1041" t="s">
        <v>2274</v>
      </c>
      <c r="M768" s="1039" t="s">
        <v>2275</v>
      </c>
      <c r="N768" s="1039"/>
      <c r="O768" s="1038"/>
      <c r="P768" s="434"/>
    </row>
    <row r="769" spans="5:16" x14ac:dyDescent="0.25">
      <c r="E769" s="1044" t="str" cm="1">
        <f t="array" ref="E769">INDEX(K769:O769, , F$2)</f>
        <v>Flag for depreciation</v>
      </c>
      <c r="J769" s="434"/>
      <c r="K769" s="1039" t="s">
        <v>2276</v>
      </c>
      <c r="L769" s="1041" t="s">
        <v>2277</v>
      </c>
      <c r="M769" s="1039" t="s">
        <v>2278</v>
      </c>
      <c r="N769" s="1039"/>
      <c r="O769" s="1038"/>
      <c r="P769" s="434"/>
    </row>
    <row r="770" spans="5:16" x14ac:dyDescent="0.25">
      <c r="E770" s="1044" t="str" cm="1">
        <f t="array" ref="E770">INDEX(K770:O770, , F$2)</f>
        <v>in first tax year</v>
      </c>
      <c r="J770" s="434"/>
      <c r="K770" s="1039" t="s">
        <v>2279</v>
      </c>
      <c r="L770" s="1053" t="s">
        <v>2280</v>
      </c>
      <c r="M770" s="1039" t="s">
        <v>2281</v>
      </c>
      <c r="N770" s="1039"/>
      <c r="O770" s="1038"/>
      <c r="P770" s="434"/>
    </row>
    <row r="771" spans="5:16" x14ac:dyDescent="0.25">
      <c r="E771" s="1044" t="str" cm="1">
        <f t="array" ref="E771">INDEX(K771:O771, , F$2)</f>
        <v>Discount factor</v>
      </c>
      <c r="J771" s="434"/>
      <c r="K771" s="1039" t="s">
        <v>2282</v>
      </c>
      <c r="L771" s="1053" t="s">
        <v>2283</v>
      </c>
      <c r="M771" s="1039" t="s">
        <v>2284</v>
      </c>
      <c r="N771" s="1039"/>
      <c r="O771" s="1038"/>
      <c r="P771" s="434"/>
    </row>
    <row r="772" spans="5:16" x14ac:dyDescent="0.25">
      <c r="E772" s="1044" t="str" cm="1">
        <f t="array" ref="E772">INDEX(K772:O772, , F$2)</f>
        <v>before decommisioning</v>
      </c>
      <c r="J772" s="434"/>
      <c r="K772" s="1039" t="s">
        <v>2285</v>
      </c>
      <c r="L772" s="1053" t="s">
        <v>2286</v>
      </c>
      <c r="M772" s="1039" t="s">
        <v>2287</v>
      </c>
      <c r="N772" s="1039"/>
      <c r="O772" s="1038"/>
      <c r="P772" s="434"/>
    </row>
    <row r="773" spans="5:16" ht="29" x14ac:dyDescent="0.25">
      <c r="E773" s="1044" t="str" cm="1">
        <f t="array" ref="E773">INDEX(K773:O773, , F$2)</f>
        <v>Production rate versus unit operating costs</v>
      </c>
      <c r="J773" s="434"/>
      <c r="K773" s="1039" t="s">
        <v>2288</v>
      </c>
      <c r="L773" s="1041" t="s">
        <v>2289</v>
      </c>
      <c r="M773" s="1039" t="s">
        <v>2290</v>
      </c>
      <c r="N773" s="1039"/>
      <c r="O773" s="1038"/>
      <c r="P773" s="434"/>
    </row>
    <row r="774" spans="5:16" x14ac:dyDescent="0.25">
      <c r="E774" s="1044" t="str" cm="1">
        <f t="array" ref="E774">INDEX(K774:O774, , F$2)</f>
        <v>Name</v>
      </c>
      <c r="J774" s="434"/>
      <c r="K774" s="1039" t="s">
        <v>2291</v>
      </c>
      <c r="L774" s="1041" t="s">
        <v>2292</v>
      </c>
      <c r="M774" s="1039" t="s">
        <v>2293</v>
      </c>
      <c r="N774" s="1039"/>
      <c r="O774" s="1038"/>
      <c r="P774" s="434"/>
    </row>
    <row r="775" spans="5:16" x14ac:dyDescent="0.25">
      <c r="E775" s="1044" t="str" cm="1">
        <f t="array" ref="E775">INDEX(K775:O775, , F$2)</f>
        <v>row</v>
      </c>
      <c r="J775" s="434"/>
      <c r="K775" s="1039" t="s">
        <v>51</v>
      </c>
      <c r="L775" s="1041" t="s">
        <v>2294</v>
      </c>
      <c r="M775" s="1039" t="s">
        <v>2295</v>
      </c>
      <c r="N775" s="1039"/>
      <c r="O775" s="1038"/>
      <c r="P775" s="434"/>
    </row>
    <row r="776" spans="5:16" x14ac:dyDescent="0.25">
      <c r="E776" s="1044" t="str" cm="1">
        <f t="array" ref="E776">INDEX(K776:O776, , F$2)</f>
        <v>Project list</v>
      </c>
      <c r="J776" s="434"/>
      <c r="K776" s="1039" t="s">
        <v>2296</v>
      </c>
      <c r="L776" s="1053" t="s">
        <v>2297</v>
      </c>
      <c r="M776" s="1039" t="s">
        <v>2298</v>
      </c>
      <c r="N776" s="1039"/>
      <c r="O776" s="1038"/>
      <c r="P776" s="434"/>
    </row>
    <row r="777" spans="5:16" x14ac:dyDescent="0.25">
      <c r="E777" s="1044" t="str" cm="1">
        <f t="array" ref="E777">INDEX(K777:O777, , F$2)</f>
        <v>Sensitivity parameters</v>
      </c>
      <c r="J777" s="434"/>
      <c r="K777" s="1039" t="s">
        <v>2299</v>
      </c>
      <c r="L777" s="1041" t="s">
        <v>2300</v>
      </c>
      <c r="M777" s="1039" t="s">
        <v>2301</v>
      </c>
      <c r="N777" s="1039"/>
      <c r="O777" s="1038"/>
      <c r="P777" s="434"/>
    </row>
    <row r="778" spans="5:16" x14ac:dyDescent="0.25">
      <c r="E778" s="1044" t="str" cm="1">
        <f t="array" ref="E778">INDEX(K778:O778, , F$2)</f>
        <v>Days</v>
      </c>
      <c r="J778" s="434"/>
      <c r="K778" s="1039" t="s">
        <v>2302</v>
      </c>
      <c r="L778" s="1041" t="s">
        <v>2303</v>
      </c>
      <c r="M778" s="1039" t="s">
        <v>2304</v>
      </c>
      <c r="N778" s="1039"/>
      <c r="O778" s="1038"/>
      <c r="P778" s="434"/>
    </row>
    <row r="779" spans="5:16" x14ac:dyDescent="0.25">
      <c r="E779" s="1044" t="str" cm="1">
        <f t="array" ref="E779">INDEX(K779:O779, , F$2)</f>
        <v>Tolerance</v>
      </c>
      <c r="J779" s="434"/>
      <c r="K779" s="1039" t="s">
        <v>2305</v>
      </c>
      <c r="L779" s="1041" t="s">
        <v>2306</v>
      </c>
      <c r="M779" s="1039" t="s">
        <v>2307</v>
      </c>
      <c r="N779" s="1039"/>
      <c r="O779" s="1038"/>
      <c r="P779" s="434"/>
    </row>
    <row r="780" spans="5:16" x14ac:dyDescent="0.25">
      <c r="E780" s="1044" t="str" cm="1">
        <f t="array" ref="E780">INDEX(K780:O780, , F$2)</f>
        <v>Option selected</v>
      </c>
      <c r="J780" s="434"/>
      <c r="K780" s="1039" t="s">
        <v>2308</v>
      </c>
      <c r="L780" s="1041" t="s">
        <v>2309</v>
      </c>
      <c r="M780" s="1039" t="s">
        <v>2310</v>
      </c>
      <c r="N780" s="1039"/>
      <c r="O780" s="1038"/>
      <c r="P780" s="434"/>
    </row>
    <row r="781" spans="5:16" x14ac:dyDescent="0.25">
      <c r="E781" s="1044" t="str" cm="1">
        <f t="array" ref="E781">INDEX(K781:O781, , F$2)</f>
        <v>Date</v>
      </c>
      <c r="J781" s="434"/>
      <c r="K781" s="1039" t="s">
        <v>2311</v>
      </c>
      <c r="L781" s="1041" t="s">
        <v>2311</v>
      </c>
      <c r="M781" s="1039" t="s">
        <v>2312</v>
      </c>
      <c r="N781" s="1039"/>
      <c r="O781" s="1038"/>
      <c r="P781" s="434"/>
    </row>
    <row r="782" spans="5:16" x14ac:dyDescent="0.25">
      <c r="E782" s="1044" t="str" cm="1">
        <f t="array" ref="E782">INDEX(K782:O782, , F$2)</f>
        <v>g CO2 eq/MJ</v>
      </c>
      <c r="J782" s="434"/>
      <c r="K782" s="1039" t="s">
        <v>2313</v>
      </c>
      <c r="L782" s="1041" t="s">
        <v>2314</v>
      </c>
      <c r="M782" s="1039" t="s">
        <v>2315</v>
      </c>
      <c r="N782" s="1039"/>
      <c r="O782" s="1038"/>
      <c r="P782" s="434"/>
    </row>
    <row r="783" spans="5:16" x14ac:dyDescent="0.25">
      <c r="E783" s="1044" t="str" cm="1">
        <f t="array" ref="E783">INDEX(K783:O783, , F$2)</f>
        <v>t CO2/barrel</v>
      </c>
      <c r="J783" s="434"/>
      <c r="K783" s="1039" t="s">
        <v>2316</v>
      </c>
      <c r="L783" s="1041" t="s">
        <v>2317</v>
      </c>
      <c r="M783" s="1039" t="s">
        <v>2318</v>
      </c>
      <c r="N783" s="1039"/>
      <c r="O783" s="1038"/>
      <c r="P783" s="434"/>
    </row>
    <row r="784" spans="5:16" x14ac:dyDescent="0.25">
      <c r="E784" s="1044" t="str" cm="1">
        <f t="array" ref="E784">INDEX(K784:O784, , F$2)</f>
        <v>MJ/BoE</v>
      </c>
      <c r="J784" s="434"/>
      <c r="K784" s="1039" t="s">
        <v>2319</v>
      </c>
      <c r="L784" s="1041" t="s">
        <v>2320</v>
      </c>
      <c r="M784" s="1039" t="s">
        <v>2320</v>
      </c>
      <c r="N784" s="1039"/>
      <c r="O784" s="1038"/>
      <c r="P784" s="434"/>
    </row>
    <row r="785" spans="5:16" x14ac:dyDescent="0.25">
      <c r="E785" s="1044" t="str" cm="1">
        <f t="array" ref="E785">INDEX(K785:O785, , F$2)</f>
        <v>For chart</v>
      </c>
      <c r="J785" s="434"/>
      <c r="K785" s="1039" t="s">
        <v>2321</v>
      </c>
      <c r="L785" s="1041" t="s">
        <v>2322</v>
      </c>
      <c r="M785" s="1039" t="s">
        <v>2323</v>
      </c>
      <c r="N785" s="1039"/>
      <c r="O785" s="1038"/>
      <c r="P785" s="434"/>
    </row>
    <row r="786" spans="5:16" x14ac:dyDescent="0.25">
      <c r="E786" s="1044" t="str" cm="1">
        <f t="array" ref="E786">INDEX(K786:O786, , F$2)</f>
        <v>Unit opex</v>
      </c>
      <c r="J786" s="434"/>
      <c r="K786" s="1039" t="s">
        <v>2324</v>
      </c>
      <c r="L786" s="1053" t="s">
        <v>2325</v>
      </c>
      <c r="M786" s="1039" t="s">
        <v>2326</v>
      </c>
      <c r="N786" s="1039"/>
      <c r="O786" s="1038"/>
      <c r="P786" s="434"/>
    </row>
    <row r="787" spans="5:16" ht="29" x14ac:dyDescent="0.25">
      <c r="E787" s="1044" t="str" cm="1">
        <f t="array" ref="E787">INDEX(K787:O787, , F$2)</f>
        <v>Conditional formatting for entire row to identify duplicates</v>
      </c>
      <c r="J787" s="434"/>
      <c r="K787" s="1039" t="s">
        <v>2327</v>
      </c>
      <c r="L787" s="1041" t="s">
        <v>2328</v>
      </c>
      <c r="M787" s="1039" t="s">
        <v>2329</v>
      </c>
      <c r="N787" s="1039"/>
      <c r="O787" s="1038"/>
      <c r="P787" s="434"/>
    </row>
    <row r="788" spans="5:16" x14ac:dyDescent="0.25">
      <c r="E788" s="1044" t="str" cm="1">
        <f t="array" ref="E788">INDEX(K788:O788, , F$2)</f>
        <v>Model description</v>
      </c>
      <c r="J788" s="434"/>
      <c r="K788" s="1039" t="s">
        <v>2330</v>
      </c>
      <c r="L788" s="1041" t="s">
        <v>2331</v>
      </c>
      <c r="M788" s="1039" t="s">
        <v>2332</v>
      </c>
      <c r="N788" s="1039"/>
      <c r="O788" s="1038"/>
      <c r="P788" s="434"/>
    </row>
    <row r="789" spans="5:16" x14ac:dyDescent="0.25">
      <c r="E789" s="1044" t="str" cm="1">
        <f t="array" ref="E789">INDEX(K789:O789, , F$2)</f>
        <v>Describe changes</v>
      </c>
      <c r="J789" s="434"/>
      <c r="K789" s="1039" t="s">
        <v>2333</v>
      </c>
      <c r="L789" s="1053" t="s">
        <v>2334</v>
      </c>
      <c r="M789" s="1039" t="s">
        <v>2335</v>
      </c>
      <c r="N789" s="1039"/>
      <c r="O789" s="1038"/>
      <c r="P789" s="434"/>
    </row>
    <row r="790" spans="5:16" x14ac:dyDescent="0.25">
      <c r="E790" s="1044" t="str" cm="1">
        <f t="array" ref="E790">INDEX(K790:O790, , F$2)</f>
        <v>Time</v>
      </c>
      <c r="J790" s="434"/>
      <c r="K790" s="1039" t="s">
        <v>2336</v>
      </c>
      <c r="L790" s="1041" t="s">
        <v>2337</v>
      </c>
      <c r="M790" s="1039" t="s">
        <v>2338</v>
      </c>
      <c r="N790" s="1039"/>
      <c r="O790" s="1038"/>
      <c r="P790" s="434"/>
    </row>
    <row r="791" spans="5:16" x14ac:dyDescent="0.25">
      <c r="E791" s="1044" t="str" cm="1">
        <f t="array" ref="E791">INDEX(K791:O791, , F$2)</f>
        <v>File</v>
      </c>
      <c r="J791" s="434"/>
      <c r="K791" s="1039" t="s">
        <v>2339</v>
      </c>
      <c r="L791" s="1041" t="s">
        <v>2340</v>
      </c>
      <c r="M791" s="1039" t="s">
        <v>2341</v>
      </c>
      <c r="N791" s="1039"/>
      <c r="O791" s="1038"/>
      <c r="P791" s="434"/>
    </row>
    <row r="792" spans="5:16" x14ac:dyDescent="0.25">
      <c r="E792" s="1044" t="str" cm="1">
        <f t="array" ref="E792">INDEX(K792:O792, , F$2)</f>
        <v>Top of track results</v>
      </c>
      <c r="J792" s="434"/>
      <c r="K792" s="1039" t="s">
        <v>2342</v>
      </c>
      <c r="L792" s="1053" t="s">
        <v>2343</v>
      </c>
      <c r="M792" s="1039" t="s">
        <v>2344</v>
      </c>
      <c r="N792" s="1039"/>
      <c r="O792" s="1038"/>
      <c r="P792" s="434"/>
    </row>
    <row r="793" spans="5:16" x14ac:dyDescent="0.25">
      <c r="E793" s="1044" t="str" cm="1">
        <f t="array" ref="E793">INDEX(K793:O793, , F$2)</f>
        <v>Bottom of track results</v>
      </c>
      <c r="J793" s="434"/>
      <c r="K793" s="1039" t="s">
        <v>2345</v>
      </c>
      <c r="L793" s="1053" t="s">
        <v>2346</v>
      </c>
      <c r="M793" s="1039" t="s">
        <v>2347</v>
      </c>
      <c r="N793" s="1039"/>
      <c r="O793" s="1038"/>
      <c r="P793" s="434"/>
    </row>
    <row r="794" spans="5:16" ht="43.5" x14ac:dyDescent="0.25">
      <c r="E794" s="1044" t="str" cm="1">
        <f t="array" ref="E794">INDEX(K794:O794, , F$2)</f>
        <v>Do not change start-row of this block, unless all project examples changed accordingly</v>
      </c>
      <c r="J794" s="434"/>
      <c r="K794" s="1039" t="s">
        <v>2348</v>
      </c>
      <c r="L794" s="1041" t="s">
        <v>2349</v>
      </c>
      <c r="M794" s="1039" t="s">
        <v>2350</v>
      </c>
      <c r="N794" s="1039"/>
      <c r="O794" s="1038"/>
      <c r="P794" s="434"/>
    </row>
    <row r="795" spans="5:16" x14ac:dyDescent="0.25">
      <c r="E795" s="1044" t="str" cm="1">
        <f t="array" ref="E795">INDEX(K795:O795, , F$2)</f>
        <v>start of list</v>
      </c>
      <c r="J795" s="434"/>
      <c r="K795" s="1039" t="s">
        <v>2351</v>
      </c>
      <c r="L795" s="1041" t="s">
        <v>2352</v>
      </c>
      <c r="M795" s="1039" t="s">
        <v>2353</v>
      </c>
      <c r="N795" s="1039"/>
      <c r="O795" s="1038"/>
      <c r="P795" s="434"/>
    </row>
    <row r="796" spans="5:16" x14ac:dyDescent="0.25">
      <c r="E796" s="1044" t="str" cm="1">
        <f t="array" ref="E796">INDEX(K796:O796, , F$2)</f>
        <v>end of list</v>
      </c>
      <c r="J796" s="434"/>
      <c r="K796" s="1039" t="s">
        <v>2354</v>
      </c>
      <c r="L796" s="1041" t="s">
        <v>2355</v>
      </c>
      <c r="M796" s="1039" t="s">
        <v>2356</v>
      </c>
      <c r="N796" s="1039"/>
      <c r="O796" s="1038"/>
      <c r="P796" s="434"/>
    </row>
    <row r="797" spans="5:16" x14ac:dyDescent="0.25">
      <c r="E797" s="1044" t="str" cm="1">
        <f t="array" ref="E797">INDEX(K797:O797, , F$2)</f>
        <v>Mn t CO2 eq</v>
      </c>
      <c r="J797" s="434"/>
      <c r="K797" s="1039" t="s">
        <v>2357</v>
      </c>
      <c r="L797" s="1041" t="s">
        <v>2358</v>
      </c>
      <c r="M797" s="1039" t="s">
        <v>1231</v>
      </c>
      <c r="N797" s="1039"/>
      <c r="O797" s="1038"/>
      <c r="P797" s="434"/>
    </row>
    <row r="798" spans="5:16" x14ac:dyDescent="0.25">
      <c r="E798" s="1044" t="str" cm="1">
        <f t="array" ref="E798">INDEX(K798:O798, , F$2)</f>
        <v>Do not change row of this block</v>
      </c>
      <c r="J798" s="434"/>
      <c r="K798" s="1039" t="s">
        <v>2359</v>
      </c>
      <c r="L798" s="1041" t="s">
        <v>2360</v>
      </c>
      <c r="M798" s="1039" t="s">
        <v>2361</v>
      </c>
      <c r="N798" s="1039"/>
      <c r="O798" s="1038"/>
      <c r="P798" s="434"/>
    </row>
    <row r="799" spans="5:16" x14ac:dyDescent="0.25">
      <c r="E799" s="1044" t="str" cm="1">
        <f t="array" ref="E799">INDEX(K799:O799, , F$2)</f>
        <v>Project examples</v>
      </c>
      <c r="J799" s="434"/>
      <c r="K799" s="1039" t="s">
        <v>2362</v>
      </c>
      <c r="L799" s="1041" t="s">
        <v>2363</v>
      </c>
      <c r="M799" s="1039" t="s">
        <v>2364</v>
      </c>
      <c r="N799" s="1039"/>
      <c r="O799" s="1038"/>
      <c r="P799" s="434"/>
    </row>
    <row r="800" spans="5:16" ht="29" x14ac:dyDescent="0.25">
      <c r="E800" s="1044" t="str" cm="1">
        <f t="array" ref="E800">INDEX(K800:O800, , F$2)</f>
        <v>IMF Fiscal Affairs Department, Tax Policy Division</v>
      </c>
      <c r="J800" s="434"/>
      <c r="K800" s="1039" t="s">
        <v>2365</v>
      </c>
      <c r="L800" s="1041" t="s">
        <v>2366</v>
      </c>
      <c r="M800" s="1039" t="s">
        <v>2367</v>
      </c>
      <c r="N800" s="1039"/>
      <c r="O800" s="1038"/>
      <c r="P800" s="434"/>
    </row>
    <row r="801" spans="5:16" ht="29" x14ac:dyDescent="0.25">
      <c r="E801" s="1044" t="str" cm="1">
        <f t="array" ref="E801">INDEX(K801:O801, , F$2)</f>
        <v>© IMF Fiscal Affairs Department. All rights reserved</v>
      </c>
      <c r="J801" s="434"/>
      <c r="K801" s="1039" t="s">
        <v>2368</v>
      </c>
      <c r="L801" s="1041" t="s">
        <v>2369</v>
      </c>
      <c r="M801" s="1039" t="s">
        <v>2370</v>
      </c>
      <c r="N801" s="1039"/>
      <c r="O801" s="1038"/>
      <c r="P801" s="434"/>
    </row>
    <row r="802" spans="5:16" x14ac:dyDescent="0.25">
      <c r="E802" s="1044" t="str" cm="1">
        <f t="array" ref="E802">INDEX(K802:O802, , F$2)</f>
        <v>USER GUIDE</v>
      </c>
      <c r="J802" s="434"/>
      <c r="K802" s="1039" t="s">
        <v>2371</v>
      </c>
      <c r="L802" s="1041" t="s">
        <v>2372</v>
      </c>
      <c r="M802" s="1039" t="s">
        <v>2373</v>
      </c>
      <c r="N802" s="1039"/>
      <c r="O802" s="1038"/>
      <c r="P802" s="434"/>
    </row>
    <row r="803" spans="5:16" ht="43.5" x14ac:dyDescent="0.25">
      <c r="E803" s="1044" t="str" cm="1">
        <f t="array" ref="E803">INDEX(K803:O803, , F$2)</f>
        <v>This model is accompanied by an IMF Technical Note and Manual, which should also be read before using the model.</v>
      </c>
      <c r="J803" s="434"/>
      <c r="K803" s="1039" t="s">
        <v>2374</v>
      </c>
      <c r="L803" s="1041" t="s">
        <v>2375</v>
      </c>
      <c r="M803" s="1039" t="s">
        <v>2376</v>
      </c>
      <c r="N803" s="1039"/>
      <c r="O803" s="1038"/>
      <c r="P803" s="434"/>
    </row>
    <row r="804" spans="5:16" x14ac:dyDescent="0.25">
      <c r="E804" s="1044" t="str" cm="1">
        <f t="array" ref="E804">INDEX(K804:O804, , F$2)</f>
        <v>Sheets</v>
      </c>
      <c r="J804" s="434"/>
      <c r="K804" s="1039" t="s">
        <v>2377</v>
      </c>
      <c r="L804" s="1041" t="s">
        <v>2378</v>
      </c>
      <c r="M804" s="1039" t="s">
        <v>2379</v>
      </c>
      <c r="N804" s="1039"/>
      <c r="O804" s="1038"/>
      <c r="P804" s="434"/>
    </row>
    <row r="805" spans="5:16" x14ac:dyDescent="0.25">
      <c r="E805" s="1044" t="str" cm="1">
        <f t="array" ref="E805">INDEX(K805:O805, , F$2)</f>
        <v>top row</v>
      </c>
      <c r="J805" s="434"/>
      <c r="K805" s="1039" t="s">
        <v>2380</v>
      </c>
      <c r="L805" s="1041" t="s">
        <v>2381</v>
      </c>
      <c r="M805" s="1039" t="s">
        <v>2382</v>
      </c>
      <c r="N805" s="1039"/>
      <c r="O805" s="1038"/>
      <c r="P805" s="434"/>
    </row>
    <row r="806" spans="5:16" x14ac:dyDescent="0.25">
      <c r="E806" s="1044" t="str" cm="1">
        <f t="array" ref="E806">INDEX(K806:O806, , F$2)</f>
        <v>bottow row</v>
      </c>
      <c r="J806" s="434"/>
      <c r="K806" s="1039" t="s">
        <v>2383</v>
      </c>
      <c r="L806" s="1041" t="s">
        <v>2384</v>
      </c>
      <c r="M806" s="1039" t="s">
        <v>2385</v>
      </c>
      <c r="N806" s="1039"/>
      <c r="O806" s="1038"/>
      <c r="P806" s="434"/>
    </row>
    <row r="807" spans="5:16" x14ac:dyDescent="0.25">
      <c r="E807" s="1044" t="str" cm="1">
        <f t="array" ref="E807">INDEX(K807:O807, , F$2)</f>
        <v xml:space="preserve">To: </v>
      </c>
      <c r="J807" s="434"/>
      <c r="K807" s="1039" t="s">
        <v>2386</v>
      </c>
      <c r="L807" s="1053" t="s">
        <v>2387</v>
      </c>
      <c r="M807" s="1039" t="s">
        <v>2388</v>
      </c>
      <c r="N807" s="1039"/>
      <c r="O807" s="1038"/>
      <c r="P807" s="434"/>
    </row>
    <row r="808" spans="5:16" x14ac:dyDescent="0.25">
      <c r="E808" s="1044" t="str" cm="1">
        <f t="array" ref="E808">INDEX(K808:O808, , F$2)</f>
        <v>Go to sheet:</v>
      </c>
      <c r="J808" s="434"/>
      <c r="K808" s="1039" t="s">
        <v>2389</v>
      </c>
      <c r="L808" s="1041" t="s">
        <v>2390</v>
      </c>
      <c r="M808" s="1039" t="s">
        <v>2391</v>
      </c>
      <c r="N808" s="1039"/>
      <c r="O808" s="1038"/>
      <c r="P808" s="434"/>
    </row>
    <row r="809" spans="5:16" x14ac:dyDescent="0.25">
      <c r="E809" s="1044" t="str" cm="1">
        <f t="array" ref="E809">INDEX(K809:O809, , F$2)</f>
        <v>Difference between first two regimes</v>
      </c>
      <c r="J809" s="434"/>
      <c r="K809" s="1039" t="s">
        <v>2392</v>
      </c>
      <c r="L809" s="1041" t="s">
        <v>2393</v>
      </c>
      <c r="M809" s="1039" t="s">
        <v>2394</v>
      </c>
      <c r="N809" s="1039"/>
      <c r="O809" s="1038"/>
      <c r="P809" s="434"/>
    </row>
    <row r="810" spans="5:16" x14ac:dyDescent="0.25">
      <c r="E810" s="1044" t="str" cm="1">
        <f t="array" ref="E810">INDEX(K810:O810, , F$2)</f>
        <v>Difference cumulative</v>
      </c>
      <c r="J810" s="434"/>
      <c r="K810" s="1039" t="s">
        <v>2395</v>
      </c>
      <c r="L810" s="1041" t="s">
        <v>2396</v>
      </c>
      <c r="M810" s="1039" t="s">
        <v>2397</v>
      </c>
      <c r="N810" s="1039"/>
      <c r="O810" s="1038"/>
      <c r="P810" s="434"/>
    </row>
    <row r="811" spans="5:16" x14ac:dyDescent="0.25">
      <c r="E811" s="1044" t="str" cm="1">
        <f t="array" ref="E811">INDEX(K811:O811, , F$2)</f>
        <v>cumulative</v>
      </c>
      <c r="J811" s="434"/>
      <c r="K811" s="1039" t="s">
        <v>2398</v>
      </c>
      <c r="L811" s="1041" t="s">
        <v>2399</v>
      </c>
      <c r="M811" s="1039" t="s">
        <v>2400</v>
      </c>
      <c r="N811" s="1039"/>
      <c r="O811" s="1038"/>
      <c r="P811" s="434"/>
    </row>
    <row r="812" spans="5:16" x14ac:dyDescent="0.25">
      <c r="E812" s="1044" t="str" cm="1">
        <f t="array" ref="E812">INDEX(K812:O812, , F$2)</f>
        <v>full-cycle</v>
      </c>
      <c r="J812" s="434"/>
      <c r="K812" s="1039" t="s">
        <v>2401</v>
      </c>
      <c r="L812" s="1041" t="s">
        <v>2402</v>
      </c>
      <c r="M812" s="1039" t="s">
        <v>2403</v>
      </c>
      <c r="N812" s="1039"/>
      <c r="O812" s="1038"/>
      <c r="P812" s="434"/>
    </row>
    <row r="813" spans="5:16" x14ac:dyDescent="0.25">
      <c r="E813" s="1044" t="str" cm="1">
        <f t="array" ref="E813">INDEX(K813:O813, , F$2)</f>
        <v>Cashflows</v>
      </c>
      <c r="J813" s="434"/>
      <c r="K813" s="1039" t="s">
        <v>2404</v>
      </c>
      <c r="L813" s="1041" t="s">
        <v>2405</v>
      </c>
      <c r="M813" s="1039" t="s">
        <v>2406</v>
      </c>
      <c r="N813" s="1039"/>
      <c r="O813" s="1038"/>
      <c r="P813" s="434"/>
    </row>
    <row r="814" spans="5:16" x14ac:dyDescent="0.25">
      <c r="E814" s="1044" t="str" cm="1">
        <f t="array" ref="E814">INDEX(K814:O814, , F$2)</f>
        <v>For information</v>
      </c>
      <c r="J814" s="434"/>
      <c r="K814" s="1039" t="s">
        <v>2407</v>
      </c>
      <c r="L814" s="1041" t="s">
        <v>2408</v>
      </c>
      <c r="M814" s="1039" t="s">
        <v>2409</v>
      </c>
      <c r="N814" s="1039"/>
      <c r="O814" s="1038"/>
      <c r="P814" s="434"/>
    </row>
    <row r="815" spans="5:16" x14ac:dyDescent="0.25">
      <c r="E815" s="1044" t="str" cm="1">
        <f t="array" ref="E815">INDEX(K815:O815, , F$2)</f>
        <v>Select regimes to compare</v>
      </c>
      <c r="J815" s="957"/>
      <c r="K815" s="1039" t="s">
        <v>2410</v>
      </c>
      <c r="L815" s="1041" t="s">
        <v>2411</v>
      </c>
      <c r="M815" s="1039" t="s">
        <v>2412</v>
      </c>
      <c r="N815" s="1039"/>
      <c r="O815" s="1039"/>
      <c r="P815" s="957"/>
    </row>
    <row r="816" spans="5:16" x14ac:dyDescent="0.25">
      <c r="E816" s="1044" t="str" cm="1">
        <f t="array" ref="E816">INDEX(K816:O816, , F$2)</f>
        <v>FARI TERMS OF USE</v>
      </c>
      <c r="J816" s="957"/>
      <c r="K816" s="1039" t="s">
        <v>2413</v>
      </c>
      <c r="L816" s="1041" t="s">
        <v>2414</v>
      </c>
      <c r="M816" s="1039" t="s">
        <v>2415</v>
      </c>
      <c r="N816" s="1039"/>
      <c r="O816" s="1039"/>
      <c r="P816" s="957"/>
    </row>
    <row r="817" spans="5:16" x14ac:dyDescent="0.25">
      <c r="E817" s="1044" t="str" cm="1">
        <f t="array" ref="E817">INDEX(K817:O817, , F$2)</f>
        <v>Select metric</v>
      </c>
      <c r="J817" s="957"/>
      <c r="K817" s="1039" t="s">
        <v>2416</v>
      </c>
      <c r="L817" s="1041" t="s">
        <v>2417</v>
      </c>
      <c r="M817" s="1039" t="s">
        <v>2418</v>
      </c>
      <c r="N817" s="1039"/>
      <c r="O817" s="1039"/>
      <c r="P817" s="957"/>
    </row>
    <row r="818" spans="5:16" x14ac:dyDescent="0.25">
      <c r="E818" s="1044" t="str" cm="1">
        <f t="array" ref="E818">INDEX(K818:O818, , F$2)</f>
        <v>Create range of oil prices</v>
      </c>
      <c r="J818" s="957"/>
      <c r="K818" s="1039" t="s">
        <v>2419</v>
      </c>
      <c r="L818" s="1041" t="s">
        <v>2420</v>
      </c>
      <c r="M818" s="1039" t="s">
        <v>2421</v>
      </c>
      <c r="N818" s="1039"/>
      <c r="O818" s="1039"/>
      <c r="P818" s="957"/>
    </row>
    <row r="819" spans="5:16" x14ac:dyDescent="0.25">
      <c r="E819" s="1044" t="str" cm="1">
        <f t="array" ref="E819">INDEX(K819:O819, , F$2)</f>
        <v>Starting oil price</v>
      </c>
      <c r="J819" s="957"/>
      <c r="K819" s="1039" t="s">
        <v>2422</v>
      </c>
      <c r="L819" s="1041" t="s">
        <v>2423</v>
      </c>
      <c r="M819" s="1039" t="s">
        <v>2424</v>
      </c>
      <c r="N819" s="1039"/>
      <c r="O819" s="1039"/>
      <c r="P819" s="957"/>
    </row>
    <row r="820" spans="5:16" x14ac:dyDescent="0.25">
      <c r="E820" s="1044" t="str" cm="1">
        <f t="array" ref="E820">INDEX(K820:O820, , F$2)</f>
        <v>Increment</v>
      </c>
      <c r="J820" s="957"/>
      <c r="K820" s="1039" t="s">
        <v>2425</v>
      </c>
      <c r="L820" s="1041" t="s">
        <v>2426</v>
      </c>
      <c r="M820" s="1039" t="s">
        <v>2427</v>
      </c>
      <c r="N820" s="1039"/>
      <c r="O820" s="1039"/>
      <c r="P820" s="957"/>
    </row>
    <row r="821" spans="5:16" ht="29" x14ac:dyDescent="0.25">
      <c r="E821" s="1044" t="str" cm="1">
        <f t="array" ref="E821">INDEX(K821:O821, , F$2)</f>
        <v>Data table to perform sensitivity analysis</v>
      </c>
      <c r="J821" s="957"/>
      <c r="K821" s="1039" t="s">
        <v>2428</v>
      </c>
      <c r="L821" s="1053" t="s">
        <v>2429</v>
      </c>
      <c r="M821" s="1039" t="s">
        <v>2430</v>
      </c>
      <c r="N821" s="1039"/>
      <c r="O821" s="1039"/>
      <c r="P821" s="957"/>
    </row>
    <row r="822" spans="5:16" x14ac:dyDescent="0.25">
      <c r="E822" s="1044" t="str" cm="1">
        <f t="array" ref="E822">INDEX(K822:O822, , F$2)</f>
        <v>Range of oil prices</v>
      </c>
      <c r="J822" s="957"/>
      <c r="K822" s="1039" t="s">
        <v>2431</v>
      </c>
      <c r="L822" s="1041" t="s">
        <v>2432</v>
      </c>
      <c r="M822" s="1039" t="s">
        <v>2433</v>
      </c>
      <c r="N822" s="1039"/>
      <c r="O822" s="1039"/>
      <c r="P822" s="957"/>
    </row>
    <row r="823" spans="5:16" ht="29" x14ac:dyDescent="0.25">
      <c r="E823" s="1044" t="str" cm="1">
        <f t="array" ref="E823">INDEX(K823:O823, , F$2)</f>
        <v>Data table to generate pre-tax IRR</v>
      </c>
      <c r="J823" s="957"/>
      <c r="K823" s="1039" t="s">
        <v>2434</v>
      </c>
      <c r="L823" s="1053" t="s">
        <v>2435</v>
      </c>
      <c r="M823" s="1039" t="s">
        <v>2436</v>
      </c>
      <c r="N823" s="1039"/>
      <c r="O823" s="1039"/>
      <c r="P823" s="957"/>
    </row>
    <row r="824" spans="5:16" x14ac:dyDescent="0.25">
      <c r="E824" s="1044" t="str" cm="1">
        <f t="array" ref="E824">INDEX(K824:O824, , F$2)</f>
        <v>Investor hurdle rate</v>
      </c>
      <c r="J824" s="957"/>
      <c r="K824" s="1039" t="s">
        <v>2437</v>
      </c>
      <c r="L824" s="1053" t="s">
        <v>2438</v>
      </c>
      <c r="M824" s="1039" t="s">
        <v>2439</v>
      </c>
      <c r="N824" s="1039"/>
      <c r="O824" s="1039"/>
      <c r="P824" s="957"/>
    </row>
    <row r="825" spans="5:16" x14ac:dyDescent="0.25">
      <c r="E825" s="1044" t="str" cm="1">
        <f t="array" ref="E825">INDEX(K825:O825, , F$2)</f>
        <v>Regime count</v>
      </c>
      <c r="J825" s="957"/>
      <c r="K825" s="1039" t="s">
        <v>2440</v>
      </c>
      <c r="L825" s="1041" t="s">
        <v>2441</v>
      </c>
      <c r="M825" s="1039" t="s">
        <v>2442</v>
      </c>
      <c r="N825" s="1039"/>
      <c r="O825" s="1039"/>
      <c r="P825" s="957"/>
    </row>
    <row r="826" spans="5:16" x14ac:dyDescent="0.25">
      <c r="E826" s="1044" t="str" cm="1">
        <f t="array" ref="E826">INDEX(K826:O826, , F$2)</f>
        <v>Regimes (from above)</v>
      </c>
      <c r="J826" s="957"/>
      <c r="K826" s="1039" t="s">
        <v>2443</v>
      </c>
      <c r="L826" s="1041" t="s">
        <v>2444</v>
      </c>
      <c r="M826" s="1039" t="s">
        <v>2445</v>
      </c>
      <c r="N826" s="1039"/>
      <c r="O826" s="1039"/>
      <c r="P826" s="957"/>
    </row>
    <row r="827" spans="5:16" x14ac:dyDescent="0.25">
      <c r="E827" s="1044" t="str" cm="1">
        <f t="array" ref="E827">INDEX(K827:O827, , F$2)</f>
        <v>Breakeven oil price</v>
      </c>
      <c r="J827" s="957"/>
      <c r="K827" s="1039" t="s">
        <v>2446</v>
      </c>
      <c r="L827" s="1041" t="s">
        <v>2447</v>
      </c>
      <c r="M827" s="1039" t="s">
        <v>2448</v>
      </c>
      <c r="N827" s="1039"/>
      <c r="O827" s="1039"/>
      <c r="P827" s="957"/>
    </row>
    <row r="828" spans="5:16" ht="29" x14ac:dyDescent="0.25">
      <c r="E828" s="1044" t="str" cm="1">
        <f t="array" ref="E828">INDEX(K828:O828, , F$2)</f>
        <v>Difference from hurdle rate (used by macro)</v>
      </c>
      <c r="J828" s="957"/>
      <c r="K828" s="1039" t="s">
        <v>2449</v>
      </c>
      <c r="L828" s="1041" t="s">
        <v>2450</v>
      </c>
      <c r="M828" s="1039" t="s">
        <v>2451</v>
      </c>
      <c r="N828" s="1039"/>
      <c r="O828" s="1039"/>
      <c r="P828" s="957"/>
    </row>
    <row r="829" spans="5:16" x14ac:dyDescent="0.25">
      <c r="E829" s="1044" t="str" cm="1">
        <f t="array" ref="E829">INDEX(K829:O829, , F$2)</f>
        <v>Marginal Effective Tax Rate (METR)</v>
      </c>
      <c r="J829" s="957"/>
      <c r="K829" s="1039" t="s">
        <v>2452</v>
      </c>
      <c r="L829" s="1041" t="s">
        <v>2453</v>
      </c>
      <c r="M829" s="1039" t="s">
        <v>2454</v>
      </c>
      <c r="N829" s="1039"/>
      <c r="O829" s="1039"/>
      <c r="P829" s="957"/>
    </row>
    <row r="830" spans="5:16" x14ac:dyDescent="0.25">
      <c r="E830" s="1044" t="str" cm="1">
        <f t="array" ref="E830">INDEX(K830:O830, , F$2)</f>
        <v>Choose alternative discount rates</v>
      </c>
      <c r="J830" s="957"/>
      <c r="K830" s="1039" t="s">
        <v>2455</v>
      </c>
      <c r="L830" s="1041" t="s">
        <v>2456</v>
      </c>
      <c r="M830" s="1039" t="s">
        <v>2457</v>
      </c>
      <c r="N830" s="1039"/>
      <c r="O830" s="1039"/>
      <c r="P830" s="957"/>
    </row>
    <row r="831" spans="5:16" x14ac:dyDescent="0.25">
      <c r="E831" s="1044" t="str" cm="1">
        <f t="array" ref="E831">INDEX(K831:O831, , F$2)</f>
        <v>Named ranges used in macro</v>
      </c>
      <c r="J831" s="957"/>
      <c r="K831" s="1039" t="s">
        <v>2458</v>
      </c>
      <c r="L831" s="1041" t="s">
        <v>2459</v>
      </c>
      <c r="M831" s="1039" t="s">
        <v>2460</v>
      </c>
      <c r="N831" s="1039"/>
      <c r="O831" s="1039"/>
      <c r="P831" s="957"/>
    </row>
    <row r="832" spans="5:16" x14ac:dyDescent="0.25">
      <c r="E832" s="1044" t="str" cm="1">
        <f t="array" ref="E832">INDEX(K832:O832, , F$2)</f>
        <v>Regime</v>
      </c>
      <c r="J832" s="957"/>
      <c r="K832" s="1039" t="s">
        <v>2461</v>
      </c>
      <c r="L832" s="1041" t="s">
        <v>2462</v>
      </c>
      <c r="M832" s="1039" t="s">
        <v>2463</v>
      </c>
      <c r="N832" s="1039"/>
      <c r="O832" s="1039"/>
      <c r="P832" s="957"/>
    </row>
    <row r="833" spans="5:16" x14ac:dyDescent="0.25">
      <c r="E833" s="1044" t="str" cm="1">
        <f t="array" ref="E833">INDEX(K833:O833, , F$2)</f>
        <v>Model structure</v>
      </c>
      <c r="J833" s="957"/>
      <c r="K833" s="1039" t="s">
        <v>2464</v>
      </c>
      <c r="L833" s="1041" t="s">
        <v>2465</v>
      </c>
      <c r="M833" s="1039" t="s">
        <v>2466</v>
      </c>
      <c r="N833" s="1039"/>
      <c r="O833" s="1039"/>
      <c r="P833" s="957"/>
    </row>
    <row r="834" spans="5:16" ht="116" x14ac:dyDescent="0.25">
      <c r="E834" s="1044" t="str" cm="1">
        <f t="array" ref="E834">INDEX(K834:O834, , F$2)</f>
        <v>The model applies user-configured fiscal regimes to user-configured oil project examples. This simplified model is currently configured only to handle oil projects but could readily be refined to include gas. The model structure is set out in the MODELMAP sheet.</v>
      </c>
      <c r="F834" s="952"/>
      <c r="G834" s="952"/>
      <c r="H834" s="952"/>
      <c r="I834" s="952"/>
      <c r="J834" s="957"/>
      <c r="K834" s="1039" t="s">
        <v>2467</v>
      </c>
      <c r="L834" s="1053" t="s">
        <v>2468</v>
      </c>
      <c r="M834" s="1039" t="s">
        <v>2469</v>
      </c>
      <c r="N834" s="1039"/>
      <c r="O834" s="1039"/>
      <c r="P834" s="957"/>
    </row>
    <row r="835" spans="5:16" ht="101.5" x14ac:dyDescent="0.25">
      <c r="E835" s="1044" t="str" cm="1">
        <f t="array" ref="E835">INDEX(K835:O835, , F$2)</f>
        <v>The model has a number of checks to test its internal consistency. These checks will remain green. If the master check cell is red, there is a problem in the model. Either an error needs to be corrected, or the check itself refined. In either case, red checks must be addressed.</v>
      </c>
      <c r="F835" s="952"/>
      <c r="G835" s="952"/>
      <c r="H835" s="952"/>
      <c r="I835" s="952"/>
      <c r="J835" s="957"/>
      <c r="K835" s="1039" t="s">
        <v>2470</v>
      </c>
      <c r="L835" s="1053" t="s">
        <v>2471</v>
      </c>
      <c r="M835" s="1039" t="s">
        <v>2472</v>
      </c>
      <c r="N835" s="1039"/>
      <c r="O835" s="1039"/>
      <c r="P835" s="957"/>
    </row>
    <row r="836" spans="5:16" x14ac:dyDescent="0.25">
      <c r="E836" s="1044" t="str" cm="1">
        <f t="array" ref="E836">INDEX(K836:O836, , F$2)</f>
        <v>FAST modeling standard</v>
      </c>
      <c r="F836" s="952"/>
      <c r="G836" s="952"/>
      <c r="H836" s="952"/>
      <c r="I836" s="952"/>
      <c r="J836" s="957"/>
      <c r="K836" s="1039" t="s">
        <v>2473</v>
      </c>
      <c r="L836" s="1041" t="s">
        <v>2474</v>
      </c>
      <c r="M836" s="1039" t="s">
        <v>2475</v>
      </c>
      <c r="N836" s="1039"/>
      <c r="O836" s="1039"/>
      <c r="P836" s="957"/>
    </row>
    <row r="837" spans="5:16" ht="87" x14ac:dyDescent="0.25">
      <c r="E837" s="1044" t="str" cm="1">
        <f t="array" ref="E837">INDEX(K837:O837, , F$2)</f>
        <v>This model has been structured broadly in line with the FAST modeling standard (www.fast-standard.org/). Color coding: is set out in the KEY sheet cells.  The user should only need to change cells with yellow background. See KEY sheet</v>
      </c>
      <c r="F837" s="952"/>
      <c r="G837" s="952"/>
      <c r="H837" s="952"/>
      <c r="I837" s="952"/>
      <c r="J837" s="957"/>
      <c r="K837" s="1039" t="s">
        <v>2476</v>
      </c>
      <c r="L837" s="1053" t="s">
        <v>2477</v>
      </c>
      <c r="M837" s="1039" t="s">
        <v>2478</v>
      </c>
      <c r="N837" s="1039"/>
      <c r="O837" s="1039"/>
      <c r="P837" s="957"/>
    </row>
    <row r="838" spans="5:16" x14ac:dyDescent="0.25">
      <c r="E838" s="1044" t="str" cm="1">
        <f t="array" ref="E838">INDEX(K838:O838, , F$2)</f>
        <v>Fiscal regime assumptions</v>
      </c>
      <c r="F838" s="952"/>
      <c r="G838" s="952"/>
      <c r="H838" s="952"/>
      <c r="I838" s="952"/>
      <c r="J838" s="957"/>
      <c r="K838" s="1039" t="s">
        <v>2479</v>
      </c>
      <c r="L838" s="1041" t="s">
        <v>2480</v>
      </c>
      <c r="M838" s="1039" t="s">
        <v>2481</v>
      </c>
      <c r="N838" s="1039"/>
      <c r="O838" s="1039"/>
      <c r="P838" s="957"/>
    </row>
    <row r="839" spans="5:16" ht="116" x14ac:dyDescent="0.25">
      <c r="E839" s="1044" t="str" cm="1">
        <f t="array" ref="E839">INDEX(K839:O839, , F$2)</f>
        <v>Fiscal regime inputs, including tax parameters and rates, are entered in the yellow cells in INPUTS sheet. Either amend an existing set of parameters or use a blank column to create a new regime. Give the regime a name, as this becomes the label used to select the regime from the DASHBOARD.</v>
      </c>
      <c r="F839" s="952"/>
      <c r="G839" s="952"/>
      <c r="H839" s="952"/>
      <c r="I839" s="952"/>
      <c r="J839" s="957"/>
      <c r="K839" s="1039" t="s">
        <v>2482</v>
      </c>
      <c r="L839" s="1041" t="s">
        <v>2483</v>
      </c>
      <c r="M839" s="1039" t="s">
        <v>2484</v>
      </c>
      <c r="N839" s="1039"/>
      <c r="O839" s="1039"/>
      <c r="P839" s="957"/>
    </row>
    <row r="840" spans="5:16" x14ac:dyDescent="0.25">
      <c r="E840" s="1044" t="str" cm="1">
        <f t="array" ref="E840">INDEX(K840:O840, , F$2)</f>
        <v>Financing and economic assumptions</v>
      </c>
      <c r="F840" s="952"/>
      <c r="G840" s="952"/>
      <c r="H840" s="952"/>
      <c r="I840" s="952"/>
      <c r="J840" s="957"/>
      <c r="K840" s="1039" t="s">
        <v>2485</v>
      </c>
      <c r="L840" s="1041" t="s">
        <v>2486</v>
      </c>
      <c r="M840" s="1039" t="s">
        <v>2487</v>
      </c>
      <c r="N840" s="1039"/>
      <c r="O840" s="1039"/>
      <c r="P840" s="957"/>
    </row>
    <row r="841" spans="5:16" ht="101.5" x14ac:dyDescent="0.25">
      <c r="E841" s="1044" t="str" cm="1">
        <f t="array" ref="E841">INDEX(K841:O841, , F$2)</f>
        <v>Debt financing can have a significant impact on government revenues. Financing inputs are included in each fiscal regime, making it straight-forward to compare the incremental effect of financing by having the duplicate fiscal regimes with and without financing.</v>
      </c>
      <c r="F841" s="952"/>
      <c r="G841" s="952"/>
      <c r="H841" s="952"/>
      <c r="I841" s="952"/>
      <c r="J841" s="957"/>
      <c r="K841" s="1039" t="s">
        <v>2488</v>
      </c>
      <c r="L841" s="1053" t="s">
        <v>2489</v>
      </c>
      <c r="M841" s="1039" t="s">
        <v>2490</v>
      </c>
      <c r="N841" s="1039"/>
      <c r="O841" s="1039"/>
      <c r="P841" s="957"/>
    </row>
    <row r="842" spans="5:16" ht="72.5" x14ac:dyDescent="0.25">
      <c r="E842" s="1044" t="str" cm="1">
        <f t="array" ref="E842">INDEX(K842:O842, , F$2)</f>
        <v>LIBOR real terms interest rates and inflation rates are entered in the INPUT sheet. Proportion of costs financed, interest rate and repayment period are included in fiscal regime parameters.</v>
      </c>
      <c r="F842" s="952"/>
      <c r="G842" s="952"/>
      <c r="H842" s="952"/>
      <c r="I842" s="952"/>
      <c r="J842" s="957"/>
      <c r="K842" s="1039" t="s">
        <v>2491</v>
      </c>
      <c r="L842" s="1041" t="s">
        <v>2492</v>
      </c>
      <c r="M842" s="1039" t="s">
        <v>2493</v>
      </c>
      <c r="N842" s="1039"/>
      <c r="O842" s="1039"/>
      <c r="P842" s="957"/>
    </row>
    <row r="843" spans="5:16" ht="188.5" x14ac:dyDescent="0.25">
      <c r="E843" s="1044" t="str" cm="1">
        <f t="array" ref="E843">INDEX(K843:O843, , F$2)</f>
        <v xml:space="preserve">The model is currently set up assuming joint financing for the International Oil Company (IOC) and State-Owned Contractor (SOC), as if the debt finance was provided in the first instance by the IOC parent company. Results are presented for the IOC and SOC equity, plus the lender, plus the aggregate of the IOC equity plus lender. The latter is the parent company perspective and is used in the model as the primary investor evaluation metric for breakeven price analysis.  </v>
      </c>
      <c r="F843" s="952"/>
      <c r="G843" s="952"/>
      <c r="H843" s="952"/>
      <c r="I843" s="952"/>
      <c r="J843" s="957"/>
      <c r="K843" s="1039" t="s">
        <v>2494</v>
      </c>
      <c r="L843" s="1053" t="s">
        <v>2495</v>
      </c>
      <c r="M843" s="1039" t="s">
        <v>2496</v>
      </c>
      <c r="N843" s="1039"/>
      <c r="O843" s="1039"/>
      <c r="P843" s="957"/>
    </row>
    <row r="844" spans="5:16" ht="159.5" x14ac:dyDescent="0.25">
      <c r="E844" s="1044" t="str" cm="1">
        <f t="array" ref="E844">INDEX(K844:O844, , F$2)</f>
        <v>Projects are defined in separate project sheets. New projects can be created simply by (1) copying an existing project sheet (2) renaming the sheet tab (3) modifying production and cost profiles; then (4) add the new project sheet tab name to the project list in the INPUT sheet. This last step makes the new project available for selection using the parameter on the DASHBOARD</v>
      </c>
      <c r="F844" s="952"/>
      <c r="G844" s="952"/>
      <c r="H844" s="952"/>
      <c r="I844" s="952"/>
      <c r="J844" s="957"/>
      <c r="K844" s="1039" t="s">
        <v>2497</v>
      </c>
      <c r="L844" s="1053" t="s">
        <v>2498</v>
      </c>
      <c r="M844" s="1039" t="s">
        <v>2499</v>
      </c>
      <c r="N844" s="1039"/>
      <c r="O844" s="1039"/>
      <c r="P844" s="957"/>
    </row>
    <row r="845" spans="5:16" x14ac:dyDescent="0.25">
      <c r="E845" s="1044" t="str" cm="1">
        <f t="array" ref="E845">INDEX(K845:O845, , F$2)</f>
        <v>In each project example:</v>
      </c>
      <c r="F845" s="952"/>
      <c r="G845" s="952"/>
      <c r="H845" s="952"/>
      <c r="I845" s="952"/>
      <c r="J845" s="957"/>
      <c r="K845" s="1039" t="s">
        <v>2500</v>
      </c>
      <c r="L845" s="1041" t="s">
        <v>2501</v>
      </c>
      <c r="M845" s="1039" t="s">
        <v>2502</v>
      </c>
      <c r="N845" s="1039"/>
      <c r="O845" s="1039"/>
      <c r="P845" s="957"/>
    </row>
    <row r="846" spans="5:16" ht="29" x14ac:dyDescent="0.25">
      <c r="E846" s="1044" t="str" cm="1">
        <f t="array" ref="E846">INDEX(K846:O846, , F$2)</f>
        <v>1.    Annual costs are entered in constant terms of the model start year.</v>
      </c>
      <c r="F846" s="952"/>
      <c r="G846" s="952"/>
      <c r="H846" s="952"/>
      <c r="I846" s="952"/>
      <c r="J846" s="957"/>
      <c r="K846" s="1039" t="s">
        <v>2503</v>
      </c>
      <c r="L846" s="1053" t="s">
        <v>2504</v>
      </c>
      <c r="M846" s="1039" t="s">
        <v>2505</v>
      </c>
      <c r="N846" s="1039"/>
      <c r="O846" s="1039"/>
      <c r="P846" s="957"/>
    </row>
    <row r="847" spans="5:16" ht="29" x14ac:dyDescent="0.25">
      <c r="E847" s="1044" t="str" cm="1">
        <f t="array" ref="E847">INDEX(K847:O847, , F$2)</f>
        <v>2.    Oil production is entered as a daily rate of production.</v>
      </c>
      <c r="F847" s="952"/>
      <c r="G847" s="952"/>
      <c r="H847" s="952"/>
      <c r="I847" s="952"/>
      <c r="J847" s="957"/>
      <c r="K847" s="1039" t="s">
        <v>2506</v>
      </c>
      <c r="L847" s="1053" t="s">
        <v>2507</v>
      </c>
      <c r="M847" s="1039" t="s">
        <v>2508</v>
      </c>
      <c r="N847" s="1039"/>
      <c r="O847" s="1039"/>
      <c r="P847" s="957"/>
    </row>
    <row r="848" spans="5:16" ht="116" x14ac:dyDescent="0.25">
      <c r="E848" s="1044" t="str" cm="1">
        <f t="array" ref="E848">INDEX(K848:O848, , F$2)</f>
        <v>3.    Costs are broken down into Exploration; Development; Sustaining capital; Operating costs and Decommissioning, to enable different fiscal treatment for each. For example, in the petroleum model, exploration costs are expensed for income tax while development costs are depreciated.</v>
      </c>
      <c r="F848" s="952"/>
      <c r="G848" s="952"/>
      <c r="H848" s="952"/>
      <c r="I848" s="952"/>
      <c r="J848" s="957"/>
      <c r="K848" s="1039" t="s">
        <v>2509</v>
      </c>
      <c r="L848" s="1053" t="s">
        <v>2510</v>
      </c>
      <c r="M848" s="1039" t="s">
        <v>2511</v>
      </c>
      <c r="N848" s="1039"/>
      <c r="O848" s="1039"/>
      <c r="P848" s="957"/>
    </row>
    <row r="849" spans="5:16" x14ac:dyDescent="0.25">
      <c r="E849" s="1044" t="str" cm="1">
        <f t="array" ref="E849">INDEX(K849:O849, , F$2)</f>
        <v>Workings/calculations</v>
      </c>
      <c r="F849" s="952"/>
      <c r="G849" s="952"/>
      <c r="H849" s="952"/>
      <c r="I849" s="952"/>
      <c r="J849" s="957"/>
      <c r="K849" s="1039" t="s">
        <v>2512</v>
      </c>
      <c r="L849" s="1041" t="s">
        <v>2513</v>
      </c>
      <c r="M849" s="1039" t="s">
        <v>2514</v>
      </c>
      <c r="N849" s="1039"/>
      <c r="O849" s="1039"/>
      <c r="P849" s="957"/>
    </row>
    <row r="850" spans="5:16" ht="29" x14ac:dyDescent="0.25">
      <c r="E850" s="1044" t="str" cm="1">
        <f t="array" ref="E850">INDEX(K850:O850, , F$2)</f>
        <v>The logic flow in the model is as set out in the MODELMAP:</v>
      </c>
      <c r="F850" s="952"/>
      <c r="G850" s="952"/>
      <c r="H850" s="952"/>
      <c r="I850" s="952"/>
      <c r="J850" s="957"/>
      <c r="K850" s="1039" t="s">
        <v>2515</v>
      </c>
      <c r="L850" s="1053" t="s">
        <v>2516</v>
      </c>
      <c r="M850" s="1039" t="s">
        <v>2517</v>
      </c>
      <c r="N850" s="1039"/>
      <c r="O850" s="1039"/>
      <c r="P850" s="957"/>
    </row>
    <row r="851" spans="5:16" x14ac:dyDescent="0.25">
      <c r="E851" s="1044" t="str" cm="1">
        <f t="array" ref="E851">INDEX(K851:O851, , F$2)</f>
        <v>1.    Select project example</v>
      </c>
      <c r="F851" s="952"/>
      <c r="G851" s="952"/>
      <c r="H851" s="952"/>
      <c r="I851" s="952"/>
      <c r="J851" s="957"/>
      <c r="K851" s="1039" t="s">
        <v>2518</v>
      </c>
      <c r="L851" s="1041" t="s">
        <v>2519</v>
      </c>
      <c r="M851" s="1039" t="s">
        <v>2520</v>
      </c>
      <c r="N851" s="1039"/>
      <c r="O851" s="1039"/>
      <c r="P851" s="957"/>
    </row>
    <row r="852" spans="5:16" x14ac:dyDescent="0.25">
      <c r="E852" s="1044" t="str" cm="1">
        <f t="array" ref="E852">INDEX(K852:O852, , F$2)</f>
        <v>2.    Select applicable fiscal regime</v>
      </c>
      <c r="F852" s="952"/>
      <c r="G852" s="952"/>
      <c r="H852" s="952"/>
      <c r="I852" s="952"/>
      <c r="J852" s="957"/>
      <c r="K852" s="1039" t="s">
        <v>2521</v>
      </c>
      <c r="L852" s="1041" t="s">
        <v>2522</v>
      </c>
      <c r="M852" s="1039" t="s">
        <v>2523</v>
      </c>
      <c r="N852" s="1039"/>
      <c r="O852" s="1039"/>
      <c r="P852" s="957"/>
    </row>
    <row r="853" spans="5:16" x14ac:dyDescent="0.25">
      <c r="E853" s="1044" t="str" cm="1">
        <f t="array" ref="E853">INDEX(K853:O853, , F$2)</f>
        <v>3.    Set oil price</v>
      </c>
      <c r="F853" s="952"/>
      <c r="G853" s="952"/>
      <c r="H853" s="952"/>
      <c r="I853" s="952"/>
      <c r="J853" s="957"/>
      <c r="K853" s="1039" t="s">
        <v>2524</v>
      </c>
      <c r="L853" s="1041" t="s">
        <v>2525</v>
      </c>
      <c r="M853" s="1039" t="s">
        <v>2526</v>
      </c>
      <c r="N853" s="1039"/>
      <c r="O853" s="1039"/>
      <c r="P853" s="957"/>
    </row>
    <row r="854" spans="5:16" ht="43.5" x14ac:dyDescent="0.25">
      <c r="E854" s="1044" t="str" cm="1">
        <f t="array" ref="E854">INDEX(K854:O854, , F$2)</f>
        <v>4.    The PROJECTCASHFLOWS sheet imports project data from the selected project example sheet</v>
      </c>
      <c r="F854" s="952"/>
      <c r="G854" s="952"/>
      <c r="H854" s="952"/>
      <c r="I854" s="952"/>
      <c r="J854" s="957"/>
      <c r="K854" s="1039" t="s">
        <v>2527</v>
      </c>
      <c r="L854" s="1041" t="s">
        <v>2528</v>
      </c>
      <c r="M854" s="1039" t="s">
        <v>2529</v>
      </c>
      <c r="N854" s="1039"/>
      <c r="O854" s="1039"/>
      <c r="P854" s="957"/>
    </row>
    <row r="855" spans="5:16" ht="29" x14ac:dyDescent="0.25">
      <c r="E855" s="1044" t="str" cm="1">
        <f t="array" ref="E855">INDEX(K855:O855, , F$2)</f>
        <v>5.    Most calculations are done in the FISCALMODEL sheet</v>
      </c>
      <c r="F855" s="952"/>
      <c r="G855" s="952"/>
      <c r="H855" s="952"/>
      <c r="I855" s="952"/>
      <c r="J855" s="957"/>
      <c r="K855" s="1039" t="s">
        <v>2530</v>
      </c>
      <c r="L855" s="1041" t="s">
        <v>2531</v>
      </c>
      <c r="M855" s="1039" t="s">
        <v>2532</v>
      </c>
      <c r="N855" s="1039"/>
      <c r="O855" s="1039"/>
      <c r="P855" s="957"/>
    </row>
    <row r="856" spans="5:16" x14ac:dyDescent="0.25">
      <c r="E856" s="1044" t="str" cm="1">
        <f t="array" ref="E856">INDEX(K856:O856, , F$2)</f>
        <v>a.    Import project data</v>
      </c>
      <c r="F856" s="952"/>
      <c r="G856" s="952"/>
      <c r="H856" s="952"/>
      <c r="I856" s="952"/>
      <c r="J856" s="957"/>
      <c r="K856" s="1039" t="s">
        <v>2533</v>
      </c>
      <c r="L856" s="1041" t="s">
        <v>2534</v>
      </c>
      <c r="M856" s="1039" t="s">
        <v>2535</v>
      </c>
      <c r="N856" s="1039"/>
      <c r="O856" s="1039"/>
      <c r="P856" s="957"/>
    </row>
    <row r="857" spans="5:16" ht="29" x14ac:dyDescent="0.25">
      <c r="E857" s="1044" t="str" cm="1">
        <f t="array" ref="E857">INDEX(K857:O857, , F$2)</f>
        <v>b.    Build real terms project cashflows (before fiscal regime)</v>
      </c>
      <c r="F857" s="952"/>
      <c r="G857" s="952"/>
      <c r="H857" s="952"/>
      <c r="I857" s="952"/>
      <c r="J857" s="957"/>
      <c r="K857" s="1039" t="s">
        <v>2536</v>
      </c>
      <c r="L857" s="1041" t="s">
        <v>2537</v>
      </c>
      <c r="M857" s="1039" t="s">
        <v>2538</v>
      </c>
      <c r="N857" s="1039"/>
      <c r="O857" s="1039"/>
      <c r="P857" s="957"/>
    </row>
    <row r="858" spans="5:16" ht="29" x14ac:dyDescent="0.25">
      <c r="E858" s="1044" t="str" cm="1">
        <f t="array" ref="E858">INDEX(K858:O858, , F$2)</f>
        <v>c.     Add inflation to revenues and costs (Annual Inflation is entered in INPUTS)</v>
      </c>
      <c r="F858" s="952"/>
      <c r="G858" s="952"/>
      <c r="H858" s="952"/>
      <c r="I858" s="952"/>
      <c r="J858" s="957"/>
      <c r="K858" s="1039" t="s">
        <v>2539</v>
      </c>
      <c r="L858" s="1041" t="s">
        <v>2540</v>
      </c>
      <c r="M858" s="1039" t="s">
        <v>2541</v>
      </c>
      <c r="N858" s="1039"/>
      <c r="O858" s="1039"/>
      <c r="P858" s="957"/>
    </row>
    <row r="859" spans="5:16" ht="43.5" x14ac:dyDescent="0.25">
      <c r="E859" s="1044" t="str" cm="1">
        <f t="array" ref="E859">INDEX(K859:O859, , F$2)</f>
        <v>d.    Decommissioning fund calculations. Assuming an annual annuity cash contribution to a fund which earns interest</v>
      </c>
      <c r="F859" s="952"/>
      <c r="G859" s="952"/>
      <c r="H859" s="952"/>
      <c r="I859" s="952"/>
      <c r="J859" s="957"/>
      <c r="K859" s="1039" t="s">
        <v>2542</v>
      </c>
      <c r="L859" s="1053" t="s">
        <v>2543</v>
      </c>
      <c r="M859" s="1039" t="s">
        <v>2544</v>
      </c>
      <c r="N859" s="1039"/>
      <c r="O859" s="1039"/>
      <c r="P859" s="957"/>
    </row>
    <row r="860" spans="5:16" x14ac:dyDescent="0.25">
      <c r="E860" s="1044" t="str" cm="1">
        <f t="array" ref="E860">INDEX(K860:O860, , F$2)</f>
        <v>e.    Royalty: simple ad-valorem royalty</v>
      </c>
      <c r="F860" s="952"/>
      <c r="G860" s="952"/>
      <c r="H860" s="952"/>
      <c r="I860" s="952"/>
      <c r="J860" s="957"/>
      <c r="K860" s="1039" t="s">
        <v>2545</v>
      </c>
      <c r="L860" s="1041" t="s">
        <v>2546</v>
      </c>
      <c r="M860" s="1039" t="s">
        <v>2547</v>
      </c>
      <c r="N860" s="1039"/>
      <c r="O860" s="1039"/>
      <c r="P860" s="957"/>
    </row>
    <row r="861" spans="5:16" x14ac:dyDescent="0.25">
      <c r="E861" s="1044" t="str" cm="1">
        <f t="array" ref="E861">INDEX(K861:O861, , F$2)</f>
        <v>f.      Bonus: production bonus</v>
      </c>
      <c r="F861" s="952"/>
      <c r="G861" s="952"/>
      <c r="H861" s="952"/>
      <c r="I861" s="952"/>
      <c r="J861" s="957"/>
      <c r="K861" s="1039" t="s">
        <v>2548</v>
      </c>
      <c r="L861" s="1053" t="s">
        <v>2549</v>
      </c>
      <c r="M861" s="1039" t="s">
        <v>2550</v>
      </c>
      <c r="N861" s="1039"/>
      <c r="O861" s="1039"/>
      <c r="P861" s="957"/>
    </row>
    <row r="862" spans="5:16" ht="43.5" x14ac:dyDescent="0.25">
      <c r="E862" s="1044" t="str" cm="1">
        <f t="array" ref="E862">INDEX(K862:O862, , F$2)</f>
        <v>g.    Debt financing, jointly taken out by IOC and SOC as described above</v>
      </c>
      <c r="F862" s="952"/>
      <c r="G862" s="952"/>
      <c r="H862" s="952"/>
      <c r="I862" s="952"/>
      <c r="J862" s="957"/>
      <c r="K862" s="1039" t="s">
        <v>2551</v>
      </c>
      <c r="L862" s="1053" t="s">
        <v>2552</v>
      </c>
      <c r="M862" s="1039" t="s">
        <v>2553</v>
      </c>
      <c r="N862" s="1039"/>
      <c r="O862" s="1039"/>
      <c r="P862" s="957"/>
    </row>
    <row r="863" spans="5:16" ht="29" x14ac:dyDescent="0.25">
      <c r="E863" s="1044" t="str" cm="1">
        <f t="array" ref="E863">INDEX(K863:O863, , F$2)</f>
        <v>h.    Production Sharing cost recovery</v>
      </c>
      <c r="F863" s="952"/>
      <c r="G863" s="952"/>
      <c r="H863" s="952"/>
      <c r="I863" s="952"/>
      <c r="J863" s="957"/>
      <c r="K863" s="1039" t="s">
        <v>2554</v>
      </c>
      <c r="L863" s="1053" t="s">
        <v>2555</v>
      </c>
      <c r="M863" s="1039" t="s">
        <v>2556</v>
      </c>
      <c r="N863" s="1039"/>
      <c r="O863" s="1039"/>
      <c r="P863" s="957"/>
    </row>
    <row r="864" spans="5:16" ht="43.5" x14ac:dyDescent="0.25">
      <c r="E864" s="1044" t="str" cm="1">
        <f t="array" ref="E864">INDEX(K864:O864, , F$2)</f>
        <v>i.      Production sharing profit sharing under Daily Rate of Production (DROP) method</v>
      </c>
      <c r="F864" s="952"/>
      <c r="G864" s="952"/>
      <c r="H864" s="952"/>
      <c r="I864" s="952"/>
      <c r="J864" s="957"/>
      <c r="K864" s="1039" t="s">
        <v>2557</v>
      </c>
      <c r="L864" s="1053" t="s">
        <v>2558</v>
      </c>
      <c r="M864" s="1039" t="s">
        <v>2559</v>
      </c>
      <c r="N864" s="1039"/>
      <c r="O864" s="1039"/>
      <c r="P864" s="957"/>
    </row>
    <row r="865" spans="5:16" ht="29" x14ac:dyDescent="0.25">
      <c r="E865" s="1044" t="str" cm="1">
        <f t="array" ref="E865">INDEX(K865:O865, , F$2)</f>
        <v>j.      Production sharing under R-Factor method</v>
      </c>
      <c r="F865" s="952"/>
      <c r="G865" s="952"/>
      <c r="H865" s="952"/>
      <c r="I865" s="952"/>
      <c r="J865" s="957"/>
      <c r="K865" s="1039" t="s">
        <v>2560</v>
      </c>
      <c r="L865" s="1053" t="s">
        <v>2561</v>
      </c>
      <c r="M865" s="1039" t="s">
        <v>2562</v>
      </c>
      <c r="N865" s="1039"/>
      <c r="O865" s="1039"/>
      <c r="P865" s="957"/>
    </row>
    <row r="866" spans="5:16" ht="29" x14ac:dyDescent="0.25">
      <c r="E866" s="1044" t="str" cm="1">
        <f t="array" ref="E866">INDEX(K866:O866, , F$2)</f>
        <v>k.     Profit oil sharing using method determined for the selected fiscal regime</v>
      </c>
      <c r="F866" s="952"/>
      <c r="G866" s="952"/>
      <c r="H866" s="952"/>
      <c r="I866" s="952"/>
      <c r="J866" s="957"/>
      <c r="K866" s="1039" t="s">
        <v>2563</v>
      </c>
      <c r="L866" s="1053" t="s">
        <v>2564</v>
      </c>
      <c r="M866" s="1039" t="s">
        <v>2565</v>
      </c>
      <c r="N866" s="1039"/>
      <c r="O866" s="1039"/>
      <c r="P866" s="957"/>
    </row>
    <row r="867" spans="5:16" ht="29" x14ac:dyDescent="0.25">
      <c r="E867" s="1044" t="str" cm="1">
        <f t="array" ref="E867">INDEX(K867:O867, , F$2)</f>
        <v>l.     IOC income tax depreciation</v>
      </c>
      <c r="F867" s="952"/>
      <c r="G867" s="952"/>
      <c r="H867" s="952"/>
      <c r="I867" s="952"/>
      <c r="J867" s="957"/>
      <c r="K867" s="1039" t="s">
        <v>2566</v>
      </c>
      <c r="L867" s="1041" t="s">
        <v>2567</v>
      </c>
      <c r="M867" s="1039" t="s">
        <v>2568</v>
      </c>
      <c r="N867" s="1039"/>
      <c r="O867" s="1039"/>
      <c r="P867" s="957"/>
    </row>
    <row r="868" spans="5:16" x14ac:dyDescent="0.25">
      <c r="E868" s="1044" t="str" cm="1">
        <f t="array" ref="E868">INDEX(K868:O868, , F$2)</f>
        <v>m.   IOC income tax calculation</v>
      </c>
      <c r="F868" s="952"/>
      <c r="G868" s="952"/>
      <c r="H868" s="952"/>
      <c r="I868" s="952"/>
      <c r="J868" s="957"/>
      <c r="K868" s="1039" t="s">
        <v>2569</v>
      </c>
      <c r="L868" s="1041" t="s">
        <v>2570</v>
      </c>
      <c r="M868" s="1039" t="s">
        <v>2571</v>
      </c>
      <c r="N868" s="1039"/>
      <c r="O868" s="1039"/>
      <c r="P868" s="957"/>
    </row>
    <row r="869" spans="5:16" ht="29" x14ac:dyDescent="0.25">
      <c r="E869" s="1044" t="str" cm="1">
        <f t="array" ref="E869">INDEX(K869:O869, , F$2)</f>
        <v>n.    IOC Resource Rent Tax</v>
      </c>
      <c r="F869" s="952"/>
      <c r="G869" s="952"/>
      <c r="H869" s="952"/>
      <c r="I869" s="952"/>
      <c r="J869" s="957"/>
      <c r="K869" s="1039" t="s">
        <v>2572</v>
      </c>
      <c r="L869" s="1053" t="s">
        <v>2573</v>
      </c>
      <c r="M869" s="1039" t="s">
        <v>2574</v>
      </c>
      <c r="N869" s="1039"/>
      <c r="O869" s="1039"/>
      <c r="P869" s="957"/>
    </row>
    <row r="870" spans="5:16" x14ac:dyDescent="0.25">
      <c r="E870" s="1044" t="str" cm="1">
        <f t="array" ref="E870">INDEX(K870:O870, , F$2)</f>
        <v>o.    IOC cashflows and dividends</v>
      </c>
      <c r="F870" s="952"/>
      <c r="G870" s="952"/>
      <c r="H870" s="952"/>
      <c r="I870" s="952"/>
      <c r="J870" s="957"/>
      <c r="K870" s="1039" t="s">
        <v>2575</v>
      </c>
      <c r="L870" s="1041" t="s">
        <v>2576</v>
      </c>
      <c r="M870" s="1039" t="s">
        <v>2577</v>
      </c>
      <c r="N870" s="1039"/>
      <c r="O870" s="1039"/>
      <c r="P870" s="957"/>
    </row>
    <row r="871" spans="5:16" ht="58" x14ac:dyDescent="0.25">
      <c r="E871" s="1044" t="str" cm="1">
        <f t="array" ref="E871">INDEX(K871:O871, , F$2)</f>
        <v>p.    SOC cashflows. Note it is assumed the SOC is not subject to income tax and that 100 percent of SOC are included in government revenues. In practice this may not be the case.</v>
      </c>
      <c r="F871" s="952"/>
      <c r="G871" s="952"/>
      <c r="H871" s="952"/>
      <c r="I871" s="952"/>
      <c r="J871" s="957"/>
      <c r="K871" s="1039" t="s">
        <v>2578</v>
      </c>
      <c r="L871" s="1053" t="s">
        <v>2579</v>
      </c>
      <c r="M871" s="1039" t="s">
        <v>2580</v>
      </c>
      <c r="N871" s="1039"/>
      <c r="O871" s="1039"/>
      <c r="P871" s="957"/>
    </row>
    <row r="872" spans="5:16" x14ac:dyDescent="0.25">
      <c r="E872" s="1044" t="str" cm="1">
        <f t="array" ref="E872">INDEX(K872:O872, , F$2)</f>
        <v>q.    Government revenues summarized</v>
      </c>
      <c r="F872" s="952"/>
      <c r="G872" s="952"/>
      <c r="H872" s="952"/>
      <c r="I872" s="952"/>
      <c r="J872" s="957"/>
      <c r="K872" s="1039" t="s">
        <v>2581</v>
      </c>
      <c r="L872" s="1053" t="s">
        <v>2582</v>
      </c>
      <c r="M872" s="1039" t="s">
        <v>2583</v>
      </c>
      <c r="N872" s="1039"/>
      <c r="O872" s="1039"/>
      <c r="P872" s="957"/>
    </row>
    <row r="873" spans="5:16" ht="29" x14ac:dyDescent="0.25">
      <c r="E873" s="1044" t="str" cm="1">
        <f t="array" ref="E873">INDEX(K873:O873, , F$2)</f>
        <v>r.     Overall reconciliation: Project cashflow = sum of (IOC + SOC + Government + Lender)</v>
      </c>
      <c r="F873" s="952"/>
      <c r="G873" s="952"/>
      <c r="H873" s="952"/>
      <c r="I873" s="952"/>
      <c r="J873" s="957"/>
      <c r="K873" s="1039" t="s">
        <v>2584</v>
      </c>
      <c r="L873" s="1053" t="s">
        <v>2585</v>
      </c>
      <c r="M873" s="1039" t="s">
        <v>2586</v>
      </c>
      <c r="N873" s="1039"/>
      <c r="O873" s="1039"/>
      <c r="P873" s="957"/>
    </row>
    <row r="874" spans="5:16" ht="130.5" x14ac:dyDescent="0.25">
      <c r="E874" s="1044" t="str" cm="1">
        <f t="array" ref="E874">INDEX(K874:O874, , F$2)</f>
        <v xml:space="preserve">6.    The ANALYSIS sheet compiles results from the model and derives outcomes for each participant on a (1) Full-cycle basis (from the start of exploration) and (2) from the Final Investment Decision (in practice when development costs are first incurred). Comprehensive IRR and NPNV calculations are undertaken for each project participant from both perspectives.  </v>
      </c>
      <c r="F874" s="952"/>
      <c r="G874" s="952"/>
      <c r="H874" s="952"/>
      <c r="I874" s="952"/>
      <c r="J874" s="957"/>
      <c r="K874" s="1039" t="s">
        <v>2587</v>
      </c>
      <c r="L874" s="1053" t="s">
        <v>2588</v>
      </c>
      <c r="M874" s="1039" t="s">
        <v>2589</v>
      </c>
      <c r="N874" s="1039"/>
      <c r="O874" s="1039"/>
      <c r="P874" s="957"/>
    </row>
    <row r="875" spans="5:16" ht="29" x14ac:dyDescent="0.25">
      <c r="E875" s="1044" t="str" cm="1">
        <f t="array" ref="E875">INDEX(K875:O875, , F$2)</f>
        <v xml:space="preserve">The DASHBOARD is where the user will spend most time driving the model. </v>
      </c>
      <c r="F875" s="952"/>
      <c r="G875" s="952"/>
      <c r="H875" s="952"/>
      <c r="I875" s="952"/>
      <c r="J875" s="957"/>
      <c r="K875" s="1039" t="s">
        <v>2590</v>
      </c>
      <c r="L875" s="1053" t="s">
        <v>2591</v>
      </c>
      <c r="M875" s="1039" t="s">
        <v>2592</v>
      </c>
      <c r="N875" s="1039"/>
      <c r="O875" s="1039"/>
      <c r="P875" s="957"/>
    </row>
    <row r="876" spans="5:16" ht="29" x14ac:dyDescent="0.25">
      <c r="E876" s="1044" t="str" cm="1">
        <f t="array" ref="E876">INDEX(K876:O876, , F$2)</f>
        <v xml:space="preserve">1.    Select fiscal regime: drop-down list on top left </v>
      </c>
      <c r="F876" s="952"/>
      <c r="G876" s="952"/>
      <c r="H876" s="952"/>
      <c r="I876" s="952"/>
      <c r="J876" s="957"/>
      <c r="K876" s="1039" t="s">
        <v>2593</v>
      </c>
      <c r="L876" s="1041" t="s">
        <v>2594</v>
      </c>
      <c r="M876" s="1039" t="s">
        <v>2595</v>
      </c>
      <c r="N876" s="1039"/>
      <c r="O876" s="1039"/>
      <c r="P876" s="957"/>
    </row>
    <row r="877" spans="5:16" ht="29" x14ac:dyDescent="0.25">
      <c r="E877" s="1044" t="str" cm="1">
        <f t="array" ref="E877">INDEX(K877:O877, , F$2)</f>
        <v>a.    Fiscal regime parameters are entered in INPUTS</v>
      </c>
      <c r="F877" s="952"/>
      <c r="G877" s="952"/>
      <c r="H877" s="952"/>
      <c r="I877" s="952"/>
      <c r="J877" s="957"/>
      <c r="K877" s="1039" t="s">
        <v>2596</v>
      </c>
      <c r="L877" s="1041" t="s">
        <v>2597</v>
      </c>
      <c r="M877" s="1039" t="s">
        <v>2598</v>
      </c>
      <c r="N877" s="1039"/>
      <c r="O877" s="1039"/>
      <c r="P877" s="957"/>
    </row>
    <row r="878" spans="5:16" ht="29" x14ac:dyDescent="0.25">
      <c r="E878" s="1044" t="str" cm="1">
        <f t="array" ref="E878">INDEX(K878:O878, , F$2)</f>
        <v>2.    Select project: drop-down list on top left</v>
      </c>
      <c r="F878" s="952"/>
      <c r="G878" s="952"/>
      <c r="H878" s="952"/>
      <c r="I878" s="952"/>
      <c r="J878" s="957"/>
      <c r="K878" s="1039" t="s">
        <v>2599</v>
      </c>
      <c r="L878" s="1041" t="s">
        <v>2600</v>
      </c>
      <c r="M878" s="1039" t="s">
        <v>2601</v>
      </c>
      <c r="N878" s="1039"/>
      <c r="O878" s="1039"/>
      <c r="P878" s="957"/>
    </row>
    <row r="879" spans="5:16" ht="29" x14ac:dyDescent="0.25">
      <c r="E879" s="1044" t="str" cm="1">
        <f t="array" ref="E879">INDEX(K879:O879, , F$2)</f>
        <v>a.    Project data is entered in individual project example sheets</v>
      </c>
      <c r="F879" s="952"/>
      <c r="G879" s="952"/>
      <c r="H879" s="952"/>
      <c r="I879" s="952"/>
      <c r="J879" s="957"/>
      <c r="K879" s="1039" t="s">
        <v>2602</v>
      </c>
      <c r="L879" s="1041" t="s">
        <v>2603</v>
      </c>
      <c r="M879" s="1039" t="s">
        <v>2604</v>
      </c>
      <c r="N879" s="1039"/>
      <c r="O879" s="1039"/>
      <c r="P879" s="957"/>
    </row>
    <row r="880" spans="5:16" ht="29" x14ac:dyDescent="0.25">
      <c r="E880" s="1044" t="str" cm="1">
        <f t="array" ref="E880">INDEX(K880:O880, , F$2)</f>
        <v>3.    Change oil price: entered top left</v>
      </c>
      <c r="F880" s="952"/>
      <c r="G880" s="952"/>
      <c r="H880" s="952"/>
      <c r="I880" s="952"/>
      <c r="J880" s="957"/>
      <c r="K880" s="1039" t="s">
        <v>2605</v>
      </c>
      <c r="L880" s="1041" t="s">
        <v>2606</v>
      </c>
      <c r="M880" s="1039" t="s">
        <v>2607</v>
      </c>
      <c r="N880" s="1039"/>
      <c r="O880" s="1039"/>
      <c r="P880" s="957"/>
    </row>
    <row r="881" spans="5:16" x14ac:dyDescent="0.25">
      <c r="E881" s="1044" t="str" cm="1">
        <f t="array" ref="E881">INDEX(K881:O881, , F$2)</f>
        <v>Dashboard results</v>
      </c>
      <c r="F881" s="952"/>
      <c r="G881" s="952"/>
      <c r="H881" s="952"/>
      <c r="I881" s="952"/>
      <c r="J881" s="957"/>
      <c r="K881" s="1039" t="s">
        <v>2608</v>
      </c>
      <c r="L881" s="1041" t="s">
        <v>2609</v>
      </c>
      <c r="M881" s="1039" t="s">
        <v>2610</v>
      </c>
      <c r="N881" s="1039"/>
      <c r="O881" s="1039"/>
      <c r="P881" s="957"/>
    </row>
    <row r="882" spans="5:16" ht="29" x14ac:dyDescent="0.25">
      <c r="E882" s="1044" t="str" cm="1">
        <f t="array" ref="E882">INDEX(K882:O882, , F$2)</f>
        <v>1.    Participant cashflows (Table top-centre)</v>
      </c>
      <c r="F882" s="952"/>
      <c r="G882" s="952"/>
      <c r="H882" s="952"/>
      <c r="I882" s="952"/>
      <c r="J882" s="957"/>
      <c r="K882" s="1039" t="s">
        <v>2611</v>
      </c>
      <c r="L882" s="1041" t="s">
        <v>2612</v>
      </c>
      <c r="M882" s="1039" t="s">
        <v>2613</v>
      </c>
      <c r="N882" s="1039"/>
      <c r="O882" s="1039"/>
      <c r="P882" s="957"/>
    </row>
    <row r="883" spans="5:16" ht="101.5" x14ac:dyDescent="0.25">
      <c r="E883" s="1044" t="str" cm="1">
        <f t="array" ref="E883">INDEX(K883:O883, , F$2)</f>
        <v>a.    IRR; undiscounted and NPV cashflows for (1) Project; (2) IOC; (3) Lender; IOC + Lender (parent company perspective assuming parent provides the debt financing; (4) Government excluding state participation; (5) SOC (pre-tax net cashflows)</v>
      </c>
      <c r="F883" s="952"/>
      <c r="G883" s="952"/>
      <c r="H883" s="952"/>
      <c r="I883" s="952"/>
      <c r="J883" s="957"/>
      <c r="K883" s="1039" t="s">
        <v>2614</v>
      </c>
      <c r="L883" s="1053" t="s">
        <v>2615</v>
      </c>
      <c r="M883" s="1039" t="s">
        <v>2616</v>
      </c>
      <c r="N883" s="1039"/>
      <c r="O883" s="1039"/>
      <c r="P883" s="957"/>
    </row>
    <row r="884" spans="5:16" ht="43.5" x14ac:dyDescent="0.25">
      <c r="E884" s="1044" t="str" cm="1">
        <f t="array" ref="E884">INDEX(K884:O884, , F$2)</f>
        <v>b.     Average Effective Tax Rates and Government Share of Project Benefits (see technical note and manual)</v>
      </c>
      <c r="F884" s="952"/>
      <c r="G884" s="952"/>
      <c r="H884" s="952"/>
      <c r="I884" s="952"/>
      <c r="J884" s="957"/>
      <c r="K884" s="1039" t="s">
        <v>2617</v>
      </c>
      <c r="L884" s="1041" t="s">
        <v>2618</v>
      </c>
      <c r="M884" s="1039" t="s">
        <v>2619</v>
      </c>
      <c r="N884" s="1039"/>
      <c r="O884" s="1039"/>
      <c r="P884" s="957"/>
    </row>
    <row r="885" spans="5:16" ht="43.5" x14ac:dyDescent="0.25">
      <c r="E885" s="1044" t="str" cm="1">
        <f t="array" ref="E885">INDEX(K885:O885, , F$2)</f>
        <v xml:space="preserve">2.    Project cashflows (Table top-right). Breakdown of revenues and costs on undiscounted real dollars and US$ / Bbl. </v>
      </c>
      <c r="F885" s="952"/>
      <c r="G885" s="952"/>
      <c r="H885" s="952"/>
      <c r="I885" s="952"/>
      <c r="J885" s="957"/>
      <c r="K885" s="1039" t="s">
        <v>2620</v>
      </c>
      <c r="L885" s="1041" t="s">
        <v>2621</v>
      </c>
      <c r="M885" s="1039" t="s">
        <v>2622</v>
      </c>
      <c r="N885" s="1039"/>
      <c r="O885" s="1039"/>
      <c r="P885" s="957"/>
    </row>
    <row r="886" spans="5:16" ht="29" x14ac:dyDescent="0.25">
      <c r="E886" s="1044" t="str" cm="1">
        <f t="array" ref="E886">INDEX(K886:O886, , F$2)</f>
        <v>3.    Government revenues. Table Centre-right. Summary of government revenues by category.</v>
      </c>
      <c r="F886" s="952"/>
      <c r="G886" s="952"/>
      <c r="H886" s="952"/>
      <c r="I886" s="952"/>
      <c r="J886" s="957"/>
      <c r="K886" s="1039" t="s">
        <v>2623</v>
      </c>
      <c r="L886" s="1053" t="s">
        <v>2624</v>
      </c>
      <c r="M886" s="1039" t="s">
        <v>2625</v>
      </c>
      <c r="N886" s="1039"/>
      <c r="O886" s="1039"/>
      <c r="P886" s="957"/>
    </row>
    <row r="887" spans="5:16" ht="29" x14ac:dyDescent="0.25">
      <c r="E887" s="1044" t="str" cm="1">
        <f t="array" ref="E887">INDEX(K887:O887, , F$2)</f>
        <v>4.    Project statistics: (Table and chart Lower-Left)</v>
      </c>
      <c r="F887" s="952"/>
      <c r="G887" s="952"/>
      <c r="H887" s="952"/>
      <c r="I887" s="952"/>
      <c r="J887" s="957"/>
      <c r="K887" s="1039" t="s">
        <v>2626</v>
      </c>
      <c r="L887" s="1041" t="s">
        <v>2627</v>
      </c>
      <c r="M887" s="1039" t="s">
        <v>2628</v>
      </c>
      <c r="N887" s="1039"/>
      <c r="O887" s="1039"/>
      <c r="P887" s="957"/>
    </row>
    <row r="888" spans="5:16" ht="29" x14ac:dyDescent="0.25">
      <c r="E888" s="1044" t="str" cm="1">
        <f t="array" ref="E888">INDEX(K888:O888, , F$2)</f>
        <v>5.    Production profile and unit operating costs (Chart lower-right)</v>
      </c>
      <c r="F888" s="952"/>
      <c r="G888" s="952"/>
      <c r="H888" s="952"/>
      <c r="I888" s="952"/>
      <c r="J888" s="957"/>
      <c r="K888" s="1039" t="s">
        <v>2629</v>
      </c>
      <c r="L888" s="1041" t="s">
        <v>2630</v>
      </c>
      <c r="M888" s="1039" t="s">
        <v>2631</v>
      </c>
      <c r="N888" s="1039"/>
      <c r="O888" s="1039"/>
      <c r="P888" s="957"/>
    </row>
    <row r="889" spans="5:16" ht="58" x14ac:dyDescent="0.25">
      <c r="E889" s="1044" t="str" cm="1">
        <f t="array" ref="E889">INDEX(K889:O889, , F$2)</f>
        <v>6.    Government revenue profile: Chart in centre. Annual revenues by category, plus pie chart showing breakdown over project life.</v>
      </c>
      <c r="F889" s="952"/>
      <c r="G889" s="952"/>
      <c r="H889" s="952"/>
      <c r="I889" s="952"/>
      <c r="J889" s="957"/>
      <c r="K889" s="1039" t="s">
        <v>2632</v>
      </c>
      <c r="L889" s="1053" t="s">
        <v>2633</v>
      </c>
      <c r="M889" s="1039" t="s">
        <v>2634</v>
      </c>
      <c r="N889" s="1039"/>
      <c r="O889" s="1039"/>
      <c r="P889" s="957"/>
    </row>
    <row r="890" spans="5:16" ht="87" x14ac:dyDescent="0.25">
      <c r="E890" s="1044" t="str" cm="1">
        <f t="array" ref="E890">INDEX(K890:O890, , F$2)</f>
        <v>1.    Compares key results for regimes selected by user. User chooses regimes to compare from drop-down lists in yellow cells at the top of the table. Then press F9 to update.</v>
      </c>
      <c r="F890" s="952"/>
      <c r="G890" s="952"/>
      <c r="H890" s="952"/>
      <c r="I890" s="952"/>
      <c r="J890" s="957"/>
      <c r="K890" s="1039" t="s">
        <v>2635</v>
      </c>
      <c r="L890" s="1053" t="s">
        <v>2636</v>
      </c>
      <c r="M890" s="1039" t="s">
        <v>2637</v>
      </c>
      <c r="N890" s="1039"/>
      <c r="O890" s="1039"/>
      <c r="P890" s="957"/>
    </row>
    <row r="891" spans="5:16" ht="43.5" x14ac:dyDescent="0.25">
      <c r="E891" s="1044" t="str" cm="1">
        <f t="array" ref="E891">INDEX(K891:O891, , F$2)</f>
        <v>2.    If cells are left blank results are zero or #NA, enabling only two regimes to be compared side by side</v>
      </c>
      <c r="F891" s="952"/>
      <c r="G891" s="952"/>
      <c r="H891" s="952"/>
      <c r="I891" s="952"/>
      <c r="J891" s="957"/>
      <c r="K891" s="1039" t="s">
        <v>2638</v>
      </c>
      <c r="L891" s="1041" t="s">
        <v>2639</v>
      </c>
      <c r="M891" s="1039" t="s">
        <v>2640</v>
      </c>
      <c r="N891" s="1039"/>
      <c r="O891" s="1039"/>
      <c r="P891" s="957"/>
    </row>
    <row r="892" spans="5:16" ht="29" x14ac:dyDescent="0.25">
      <c r="E892" s="1044" t="str" cm="1">
        <f t="array" ref="E892">INDEX(K892:O892, , F$2)</f>
        <v>3.    Press F9 to ensure table updates</v>
      </c>
      <c r="F892" s="952"/>
      <c r="G892" s="952"/>
      <c r="H892" s="952"/>
      <c r="I892" s="952"/>
      <c r="J892" s="957"/>
      <c r="K892" s="1039" t="s">
        <v>2641</v>
      </c>
      <c r="L892" s="1053" t="s">
        <v>2642</v>
      </c>
      <c r="M892" s="1039" t="s">
        <v>2643</v>
      </c>
      <c r="N892" s="1039"/>
      <c r="O892" s="1039"/>
      <c r="P892" s="957"/>
    </row>
    <row r="893" spans="5:16" ht="58" x14ac:dyDescent="0.25">
      <c r="E893" s="1044" t="str" cm="1">
        <f t="array" ref="E893">INDEX(K893:O893, , F$2)</f>
        <v>1.    Compares annual revenue profile for regimes selected by user. Select regimes using drop-down list at left of the table</v>
      </c>
      <c r="F893" s="952"/>
      <c r="G893" s="952"/>
      <c r="H893" s="952"/>
      <c r="I893" s="952"/>
      <c r="J893" s="957"/>
      <c r="K893" s="1039" t="s">
        <v>2644</v>
      </c>
      <c r="L893" s="1053" t="s">
        <v>2645</v>
      </c>
      <c r="M893" s="1039" t="s">
        <v>2646</v>
      </c>
      <c r="N893" s="1039"/>
      <c r="O893" s="1039"/>
      <c r="P893" s="957"/>
    </row>
    <row r="894" spans="5:16" ht="29" x14ac:dyDescent="0.25">
      <c r="E894" s="1044" t="str" cm="1">
        <f t="array" ref="E894">INDEX(K894:O894, , F$2)</f>
        <v>2.    Press F9 to ensure table updates</v>
      </c>
      <c r="F894" s="952"/>
      <c r="G894" s="952"/>
      <c r="H894" s="952"/>
      <c r="I894" s="952"/>
      <c r="J894" s="957"/>
      <c r="K894" s="1039" t="s">
        <v>2647</v>
      </c>
      <c r="L894" s="1041" t="s">
        <v>2648</v>
      </c>
      <c r="M894" s="1039" t="s">
        <v>2649</v>
      </c>
      <c r="N894" s="1039"/>
      <c r="O894" s="1039"/>
      <c r="P894" s="957"/>
    </row>
    <row r="895" spans="5:16" ht="72.5" x14ac:dyDescent="0.25">
      <c r="E895" s="1044" t="str" cm="1">
        <f t="array" ref="E895">INDEX(K895:O895, , F$2)</f>
        <v>1.    Compares profit oil shares for selected regimes. This is useful for understanding differences in results between regimes using different profit sharing mechanisms or parameters.</v>
      </c>
      <c r="F895" s="952"/>
      <c r="G895" s="952"/>
      <c r="H895" s="952"/>
      <c r="I895" s="952"/>
      <c r="J895" s="957"/>
      <c r="K895" s="1039" t="s">
        <v>2650</v>
      </c>
      <c r="L895" s="1053" t="s">
        <v>2651</v>
      </c>
      <c r="M895" s="1039" t="s">
        <v>2652</v>
      </c>
      <c r="N895" s="1039"/>
      <c r="O895" s="1039"/>
      <c r="P895" s="957"/>
    </row>
    <row r="896" spans="5:16" ht="58" x14ac:dyDescent="0.25">
      <c r="E896" s="1044" t="str" cm="1">
        <f t="array" ref="E896">INDEX(K896:O896, , F$2)</f>
        <v>1.    Sensitivity analysis showing results for user-selected metric across a user-defined range of oil prices</v>
      </c>
      <c r="F896" s="952"/>
      <c r="G896" s="952"/>
      <c r="H896" s="952"/>
      <c r="I896" s="952"/>
      <c r="J896" s="957"/>
      <c r="K896" s="1039" t="s">
        <v>2653</v>
      </c>
      <c r="L896" s="1053" t="s">
        <v>2654</v>
      </c>
      <c r="M896" s="1039" t="s">
        <v>2655</v>
      </c>
      <c r="N896" s="1039"/>
      <c r="O896" s="1039"/>
      <c r="P896" s="957"/>
    </row>
    <row r="897" spans="5:16" ht="43.5" x14ac:dyDescent="0.25">
      <c r="E897" s="1044" t="str" cm="1">
        <f t="array" ref="E897">INDEX(K897:O897, , F$2)</f>
        <v>2.    Select metric from drop-down list. Either AETR or Share of Project Benefits, undiscounted or NPV.</v>
      </c>
      <c r="F897" s="952"/>
      <c r="G897" s="952"/>
      <c r="H897" s="952"/>
      <c r="I897" s="952"/>
      <c r="J897" s="957"/>
      <c r="K897" s="1039" t="s">
        <v>2656</v>
      </c>
      <c r="L897" s="1041" t="s">
        <v>2657</v>
      </c>
      <c r="M897" s="1039" t="s">
        <v>2658</v>
      </c>
      <c r="N897" s="1039"/>
      <c r="O897" s="1039"/>
      <c r="P897" s="957"/>
    </row>
    <row r="898" spans="5:16" ht="29" x14ac:dyDescent="0.25">
      <c r="E898" s="1044" t="str" cm="1">
        <f t="array" ref="E898">INDEX(K898:O898, , F$2)</f>
        <v>3.    Enter start oil price and increment to create range for analysis.</v>
      </c>
      <c r="F898" s="952"/>
      <c r="G898" s="952"/>
      <c r="H898" s="952"/>
      <c r="I898" s="952"/>
      <c r="J898" s="957"/>
      <c r="K898" s="1039" t="s">
        <v>2659</v>
      </c>
      <c r="L898" s="1053" t="s">
        <v>2660</v>
      </c>
      <c r="M898" s="1039" t="s">
        <v>2661</v>
      </c>
      <c r="N898" s="1039"/>
      <c r="O898" s="1039"/>
      <c r="P898" s="957"/>
    </row>
    <row r="899" spans="5:16" ht="29" x14ac:dyDescent="0.25">
      <c r="E899" s="1044" t="str" cm="1">
        <f t="array" ref="E899">INDEX(K899:O899, , F$2)</f>
        <v>4.    Press F9 to ensure table updates</v>
      </c>
      <c r="F899" s="952"/>
      <c r="G899" s="952"/>
      <c r="H899" s="952"/>
      <c r="I899" s="952"/>
      <c r="J899" s="957"/>
      <c r="K899" s="1039" t="s">
        <v>2662</v>
      </c>
      <c r="L899" s="1041" t="s">
        <v>2663</v>
      </c>
      <c r="M899" s="1039" t="s">
        <v>2664</v>
      </c>
      <c r="N899" s="1039"/>
      <c r="O899" s="1039"/>
      <c r="P899" s="957"/>
    </row>
    <row r="900" spans="5:16" ht="43.5" x14ac:dyDescent="0.25">
      <c r="E900" s="1044" t="str" cm="1">
        <f t="array" ref="E900">INDEX(K900:O900, , F$2)</f>
        <v>1.    Determines the oil price necessary under each regime to achieve a user-specified after-tax IRR</v>
      </c>
      <c r="F900" s="952"/>
      <c r="G900" s="952"/>
      <c r="H900" s="952"/>
      <c r="I900" s="952"/>
      <c r="J900" s="957"/>
      <c r="K900" s="1039" t="s">
        <v>2665</v>
      </c>
      <c r="L900" s="1053" t="s">
        <v>2666</v>
      </c>
      <c r="M900" s="1039" t="s">
        <v>2667</v>
      </c>
      <c r="N900" s="1039"/>
      <c r="O900" s="1039"/>
      <c r="P900" s="957"/>
    </row>
    <row r="901" spans="5:16" ht="72.5" x14ac:dyDescent="0.25">
      <c r="E901" s="1044" t="str" cm="1">
        <f t="array" ref="E901">INDEX(K901:O901, , F$2)</f>
        <v>2.    Pressing the button marked “breakeven” initiates a macro that determines the breakeven price for each selected regime using Excel’s GOAL-SEEK mechanism.</v>
      </c>
      <c r="F901" s="952"/>
      <c r="G901" s="952"/>
      <c r="H901" s="952"/>
      <c r="I901" s="952"/>
      <c r="J901" s="957"/>
      <c r="K901" s="1039" t="s">
        <v>2668</v>
      </c>
      <c r="L901" s="1053" t="s">
        <v>2669</v>
      </c>
      <c r="M901" s="1039" t="s">
        <v>2670</v>
      </c>
      <c r="N901" s="1039"/>
      <c r="O901" s="1039"/>
      <c r="P901" s="957"/>
    </row>
    <row r="902" spans="5:16" ht="58" x14ac:dyDescent="0.25">
      <c r="E902" s="1044" t="str" cm="1">
        <f t="array" ref="E902">INDEX(K902:O902, , F$2)</f>
        <v xml:space="preserve">3.    METR is the proportion of pre-tax IRR taken by the fiscal regime, at the breakeven point, as described in the FAD Technical Note </v>
      </c>
      <c r="F902" s="952"/>
      <c r="G902" s="952"/>
      <c r="H902" s="952"/>
      <c r="I902" s="952"/>
      <c r="J902" s="957"/>
      <c r="K902" s="1039" t="s">
        <v>2671</v>
      </c>
      <c r="L902" s="1041" t="s">
        <v>2672</v>
      </c>
      <c r="M902" s="1039" t="s">
        <v>2673</v>
      </c>
      <c r="N902" s="1039"/>
      <c r="O902" s="1039"/>
      <c r="P902" s="957"/>
    </row>
    <row r="903" spans="5:16" ht="72.5" x14ac:dyDescent="0.25">
      <c r="E903" s="1044" t="str" cm="1">
        <f t="array" ref="E903">INDEX(K903:O903, , F$2)</f>
        <v xml:space="preserve">1.    Sharing of project post-tax net present value and average effective tax rate between government, investors, and SOC at different discount rates. </v>
      </c>
      <c r="F903" s="952"/>
      <c r="G903" s="952"/>
      <c r="H903" s="952"/>
      <c r="I903" s="952"/>
      <c r="J903" s="957"/>
      <c r="K903" s="1039" t="s">
        <v>2674</v>
      </c>
      <c r="L903" s="1053" t="s">
        <v>2675</v>
      </c>
      <c r="M903" s="1039" t="s">
        <v>2676</v>
      </c>
      <c r="N903" s="1039"/>
      <c r="O903" s="1039"/>
      <c r="P903" s="957"/>
    </row>
    <row r="904" spans="5:16" ht="29" x14ac:dyDescent="0.25">
      <c r="E904" s="1044" t="str" cm="1">
        <f t="array" ref="E904">INDEX(K904:O904, , F$2)</f>
        <v>1.    Enter minimum exploration spend and chance of success</v>
      </c>
      <c r="F904" s="952"/>
      <c r="G904" s="952"/>
      <c r="H904" s="952"/>
      <c r="I904" s="952"/>
      <c r="J904" s="957"/>
      <c r="K904" s="1039" t="s">
        <v>2677</v>
      </c>
      <c r="L904" s="1053" t="s">
        <v>2678</v>
      </c>
      <c r="M904" s="1039" t="s">
        <v>2679</v>
      </c>
      <c r="N904" s="1039"/>
      <c r="O904" s="1039"/>
      <c r="P904" s="957"/>
    </row>
    <row r="905" spans="5:16" ht="43.5" x14ac:dyDescent="0.25">
      <c r="E905" s="1044" t="str" cm="1">
        <f t="array" ref="E905">INDEX(K905:O905, , F$2)</f>
        <v>2.    EMV calculated based on NPV of success case, chance of success and minimum exploration cost</v>
      </c>
      <c r="F905" s="952"/>
      <c r="G905" s="952"/>
      <c r="H905" s="952"/>
      <c r="I905" s="952"/>
      <c r="J905" s="957"/>
      <c r="K905" s="1039" t="s">
        <v>2680</v>
      </c>
      <c r="L905" s="1053" t="s">
        <v>2681</v>
      </c>
      <c r="M905" s="1039" t="s">
        <v>2682</v>
      </c>
      <c r="N905" s="1039"/>
      <c r="O905" s="1039"/>
      <c r="P905" s="957"/>
    </row>
    <row r="906" spans="5:16" ht="101.5" x14ac:dyDescent="0.25">
      <c r="E906" s="1044" t="str" cm="1">
        <f t="array" ref="E906">INDEX(K906:O906, , F$2)</f>
        <v xml:space="preserve">The Fiscal Analysis of Resource Industries (FARI or the “Methodology”) is made available to User by the International Monetary Fund (IMF) and subject to the following terms and conditions of use (“Terms”).  By proceeding to use of the Methodology, User agrees and accepts the Terms. </v>
      </c>
      <c r="J906" s="957"/>
      <c r="K906" s="1039" t="s">
        <v>2683</v>
      </c>
      <c r="L906" s="1041" t="s">
        <v>2684</v>
      </c>
      <c r="M906" s="1039" t="s">
        <v>2685</v>
      </c>
      <c r="N906" s="1039"/>
      <c r="O906" s="1039"/>
      <c r="P906" s="957"/>
    </row>
    <row r="907" spans="5:16" x14ac:dyDescent="0.25">
      <c r="E907" s="1044" t="str" cm="1">
        <f t="array" ref="E907">INDEX(K907:O907, , F$2)</f>
        <v>TERMS</v>
      </c>
      <c r="J907" s="957"/>
      <c r="K907" s="1039" t="s">
        <v>2686</v>
      </c>
      <c r="L907" s="1041" t="s">
        <v>2687</v>
      </c>
      <c r="M907" s="1039" t="s">
        <v>2688</v>
      </c>
      <c r="N907" s="1039"/>
      <c r="O907" s="1039"/>
      <c r="P907" s="957"/>
    </row>
    <row r="908" spans="5:16" ht="159.5" x14ac:dyDescent="0.25">
      <c r="E908" s="1044" t="str" cm="1">
        <f t="array" ref="E908">INDEX(K908:O908, , F$2)</f>
        <v>1. The Methodology is intended as a tool to perform economic and fiscal analysis of extractive industries projects and to support general capacity building for government officials and civil society. User may adapt, modify or alter the Methodology to the extent necessary to fit the purpose of User’s internal use, provided that such adaptations, modifications or alterations shall not affect the integrity of the Methodology.</v>
      </c>
      <c r="J908" s="957"/>
      <c r="K908" s="1039" t="s">
        <v>2689</v>
      </c>
      <c r="L908" s="1053" t="s">
        <v>2690</v>
      </c>
      <c r="M908" s="1039" t="s">
        <v>2691</v>
      </c>
      <c r="N908" s="1039"/>
      <c r="O908" s="1039"/>
      <c r="P908" s="957"/>
    </row>
    <row r="909" spans="5:16" ht="101.5" x14ac:dyDescent="0.25">
      <c r="E909" s="1044" t="str" cm="1">
        <f t="array" ref="E909">INDEX(K909:O909, , F$2)</f>
        <v>2. The Methodology has not been configured as a formal forecasting tool and is not designed or intended for such use. The Methodology is made available “as is” and the IMF makes no warranty or representation of the accuracy, adequacy or fitness for a particular purpose of the Methodology.</v>
      </c>
      <c r="J909" s="957"/>
      <c r="K909" s="1039" t="s">
        <v>2692</v>
      </c>
      <c r="L909" s="1041" t="s">
        <v>2693</v>
      </c>
      <c r="M909" s="1039" t="s">
        <v>2694</v>
      </c>
      <c r="N909" s="1039"/>
      <c r="O909" s="1039"/>
      <c r="P909" s="957"/>
    </row>
    <row r="910" spans="5:16" ht="101.5" x14ac:dyDescent="0.25">
      <c r="E910" s="1044" t="str" cm="1">
        <f t="array" ref="E910">INDEX(K910:O910, , F$2)</f>
        <v xml:space="preserve">3. All proprietary rights in the Methodology, including intellectual property rights, belong to the IMF. All other rights, whether now existing or which may hereafter come into existence which are not expressly authorized by these Terms, are hereby reserved to and by the IMF. </v>
      </c>
      <c r="J910" s="957"/>
      <c r="K910" s="1039" t="s">
        <v>2695</v>
      </c>
      <c r="L910" s="1041" t="s">
        <v>2696</v>
      </c>
      <c r="M910" s="1039" t="s">
        <v>2697</v>
      </c>
      <c r="N910" s="1039"/>
      <c r="O910" s="1039"/>
      <c r="P910" s="957"/>
    </row>
    <row r="911" spans="5:16" ht="87" x14ac:dyDescent="0.25">
      <c r="E911" s="1044" t="str" cm="1">
        <f t="array" ref="E911">INDEX(K911:O911, , F$2)</f>
        <v>4. User shall give appropriate credit to the IMF in all applications and outputs derived from the use of the Methodology, in a way which does not suggest that the IMF endorses User or any User's use of the Methodology and the outputs deriving thereof.</v>
      </c>
      <c r="J911" s="957"/>
      <c r="K911" s="1039" t="s">
        <v>2698</v>
      </c>
      <c r="L911" s="1041" t="s">
        <v>2699</v>
      </c>
      <c r="M911" s="1039" t="s">
        <v>2700</v>
      </c>
      <c r="N911" s="1039"/>
      <c r="O911" s="1039"/>
      <c r="P911" s="957"/>
    </row>
    <row r="912" spans="5:16" ht="87" x14ac:dyDescent="0.25">
      <c r="E912" s="1044" t="str" cm="1">
        <f t="array" ref="E912">INDEX(K912:O912, , F$2)</f>
        <v>5. Access to and use of the Methodology are at the User's own risk and responsibility. The IMF bears no responsibility or liability for damage of any kind, also for indirect or consequential damages resulting from access to or use of this Methodology.</v>
      </c>
      <c r="J912" s="957"/>
      <c r="K912" s="1039" t="s">
        <v>2701</v>
      </c>
      <c r="L912" s="1041" t="s">
        <v>2702</v>
      </c>
      <c r="M912" s="1039" t="s">
        <v>2703</v>
      </c>
      <c r="N912" s="1039"/>
      <c r="O912" s="1039"/>
      <c r="P912" s="957"/>
    </row>
    <row r="913" spans="5:16" x14ac:dyDescent="0.25">
      <c r="E913" s="1044" t="str" cm="1">
        <f t="array" ref="E913">INDEX(K913:O913, , F$2)</f>
        <v>Accept terms of use to continue.</v>
      </c>
      <c r="J913" s="957"/>
      <c r="K913" s="1039" t="s">
        <v>2704</v>
      </c>
      <c r="L913" s="1041" t="s">
        <v>2705</v>
      </c>
      <c r="M913" s="1039" t="s">
        <v>2706</v>
      </c>
      <c r="N913" s="1039"/>
      <c r="O913" s="1039"/>
      <c r="P913" s="957"/>
    </row>
    <row r="914" spans="5:16" ht="101.5" x14ac:dyDescent="0.25">
      <c r="E914" s="1044" t="str" cm="1">
        <f t="array" ref="E914">INDEX(K914:O914, , F$2)</f>
        <v>Purpose of this sheet is to save a set of baseline results so that the model can be confirmed to be / brought back to baseline, or changes in results over time can be documented.
Process for creating a new saved case:</v>
      </c>
      <c r="J914" s="957"/>
      <c r="K914" s="1039" t="s">
        <v>2707</v>
      </c>
      <c r="L914" s="1053" t="s">
        <v>2708</v>
      </c>
      <c r="M914" s="1039" t="s">
        <v>2709</v>
      </c>
      <c r="N914" s="1039"/>
      <c r="O914" s="1038"/>
      <c r="P914" s="957"/>
    </row>
    <row r="915" spans="5:16" x14ac:dyDescent="0.25">
      <c r="E915" s="1044" t="str" cm="1">
        <f t="array" ref="E915">INDEX(K915:O915, , F$2)</f>
        <v>1. Select column M</v>
      </c>
      <c r="J915" s="957"/>
      <c r="K915" s="1039" t="s">
        <v>2710</v>
      </c>
      <c r="L915" s="1041" t="s">
        <v>2711</v>
      </c>
      <c r="M915" s="1039" t="s">
        <v>2712</v>
      </c>
      <c r="N915" s="1039"/>
      <c r="O915" s="1038"/>
      <c r="P915" s="957"/>
    </row>
    <row r="916" spans="5:16" ht="58" x14ac:dyDescent="0.25">
      <c r="E916" s="1044" t="str" cm="1">
        <f t="array" ref="E916">INDEX(K916:O916, , F$2)</f>
        <v>2. Copy column M and immediately Right click insert copied cells. This duplicates the existing saved results set</v>
      </c>
      <c r="J916" s="957"/>
      <c r="K916" s="1039" t="s">
        <v>2713</v>
      </c>
      <c r="L916" s="1053" t="s">
        <v>2714</v>
      </c>
      <c r="M916" s="1039" t="s">
        <v>2715</v>
      </c>
      <c r="N916" s="1039"/>
      <c r="O916" s="1038"/>
      <c r="P916" s="957"/>
    </row>
    <row r="917" spans="5:16" ht="43.5" x14ac:dyDescent="0.25">
      <c r="E917" s="1044" t="str" cm="1">
        <f t="array" ref="E917">INDEX(K917:O917, , F$2)</f>
        <v>3. Now copy the live results from column F between Row 5 and 109 (i.e. each gray row)</v>
      </c>
      <c r="J917" s="957"/>
      <c r="K917" s="1039" t="s">
        <v>2716</v>
      </c>
      <c r="L917" s="1053" t="s">
        <v>2717</v>
      </c>
      <c r="M917" s="1039" t="s">
        <v>2718</v>
      </c>
      <c r="N917" s="1039"/>
      <c r="O917" s="1038"/>
      <c r="P917" s="957"/>
    </row>
    <row r="918" spans="5:16" ht="29" x14ac:dyDescent="0.25">
      <c r="E918" s="1044" t="str" cm="1">
        <f t="array" ref="E918">INDEX(K918:O918, , F$2)</f>
        <v>4. Paste as values over the newly created duplicate saved results</v>
      </c>
      <c r="J918" s="957"/>
      <c r="K918" s="1039" t="s">
        <v>2719</v>
      </c>
      <c r="L918" s="1053" t="s">
        <v>2720</v>
      </c>
      <c r="M918" s="1039" t="s">
        <v>2721</v>
      </c>
      <c r="N918" s="1039"/>
      <c r="O918" s="1038"/>
      <c r="P918" s="957"/>
    </row>
    <row r="919" spans="5:16" ht="29" x14ac:dyDescent="0.25">
      <c r="E919" s="1044" t="str" cm="1">
        <f t="array" ref="E919">INDEX(K919:O919, , F$2)</f>
        <v>5. Rename the new saved results case in row 4</v>
      </c>
      <c r="J919" s="957"/>
      <c r="K919" s="1039" t="s">
        <v>2722</v>
      </c>
      <c r="L919" s="1041" t="s">
        <v>2723</v>
      </c>
      <c r="M919" s="1039" t="s">
        <v>2724</v>
      </c>
      <c r="N919" s="1039"/>
      <c r="O919" s="1038"/>
      <c r="P919" s="957"/>
    </row>
    <row r="920" spans="5:16" ht="43.5" x14ac:dyDescent="0.25">
      <c r="E920" s="1044" t="str" cm="1">
        <f t="array" ref="E920">INDEX(K920:O920, , F$2)</f>
        <v>6. Track sheet will show differences between live results and saved case selected at E2</v>
      </c>
      <c r="J920" s="957"/>
      <c r="K920" s="1039" t="s">
        <v>2725</v>
      </c>
      <c r="L920" s="1041" t="s">
        <v>2726</v>
      </c>
      <c r="M920" s="1039" t="s">
        <v>2727</v>
      </c>
      <c r="N920" s="1039"/>
      <c r="O920" s="1038"/>
      <c r="P920" s="957"/>
    </row>
    <row r="921" spans="5:16" ht="72.5" x14ac:dyDescent="0.25">
      <c r="E921" s="1044" t="str" cm="1">
        <f t="array" ref="E921">INDEX(K921:O921, , F$2)</f>
        <v>7. Additional results and/or parameters can be added to results set. For example, fiscal parameters for baseline mission country regime could be captured to ensure no inadvertent changes</v>
      </c>
      <c r="J921" s="957"/>
      <c r="K921" s="1039" t="s">
        <v>2728</v>
      </c>
      <c r="L921" s="1041" t="s">
        <v>2729</v>
      </c>
      <c r="M921" s="1039" t="s">
        <v>2730</v>
      </c>
      <c r="N921" s="1039"/>
      <c r="O921" s="1038"/>
      <c r="P921" s="957"/>
    </row>
    <row r="922" spans="5:16" x14ac:dyDescent="0.25">
      <c r="E922" s="1044" t="str" cm="1">
        <f t="array" ref="E922">INDEX(K922:O922, , F$2)</f>
        <v>Accept Terms</v>
      </c>
      <c r="J922" s="957"/>
      <c r="K922" s="1039" t="s">
        <v>2731</v>
      </c>
      <c r="L922" s="1041" t="s">
        <v>2732</v>
      </c>
      <c r="M922" s="1039" t="s">
        <v>2733</v>
      </c>
      <c r="N922" s="1039"/>
      <c r="O922" s="1038"/>
      <c r="P922" s="957"/>
    </row>
    <row r="923" spans="5:16" x14ac:dyDescent="0.25">
      <c r="E923" s="1044" t="str" cm="1">
        <f t="array" ref="E923">INDEX(K923:O923, , F$2)</f>
        <v>Don't Accept Terms</v>
      </c>
      <c r="J923" s="957"/>
      <c r="K923" s="1039" t="s">
        <v>2734</v>
      </c>
      <c r="L923" s="1041" t="s">
        <v>2735</v>
      </c>
      <c r="M923" s="1039" t="s">
        <v>2736</v>
      </c>
      <c r="N923" s="1039"/>
      <c r="O923" s="1038"/>
      <c r="P923" s="957"/>
    </row>
    <row r="924" spans="5:16" ht="130.5" x14ac:dyDescent="0.25">
      <c r="E924" s="1044" t="str" cm="1">
        <f t="array" ref="E924">INDEX(K924:O924, , F$2)</f>
        <v>All checks related to the translation of options need to be green before using the model. After changing the language of the model, all drop-down options need to be re-selected for the model to function properly. Please click on each check to verify that the correct options are selected. All checks should be green.</v>
      </c>
      <c r="J924" s="957"/>
      <c r="K924" s="1039" t="s">
        <v>2737</v>
      </c>
      <c r="L924" s="1053" t="s">
        <v>2738</v>
      </c>
      <c r="M924" s="1039" t="s">
        <v>2739</v>
      </c>
      <c r="N924" s="1039"/>
      <c r="O924" s="1038"/>
      <c r="P924" s="957"/>
    </row>
    <row r="925" spans="5:16" x14ac:dyDescent="0.25">
      <c r="E925" s="1044" t="str" cm="1">
        <f t="array" ref="E925">INDEX(K925:O925, , F$2)</f>
        <v>Change model language</v>
      </c>
      <c r="J925" s="957"/>
      <c r="K925" s="1039" t="s">
        <v>2740</v>
      </c>
      <c r="L925" s="1053" t="s">
        <v>2741</v>
      </c>
      <c r="M925" s="1039" t="s">
        <v>2742</v>
      </c>
      <c r="N925" s="1039"/>
      <c r="O925" s="1038"/>
      <c r="P925" s="957"/>
    </row>
    <row r="926" spans="5:16" x14ac:dyDescent="0.25">
      <c r="E926" s="1044" t="str" cm="1">
        <f t="array" ref="E926">INDEX(K926:O926, , F$2)</f>
        <v>Select language on DASHBOARD</v>
      </c>
      <c r="J926" s="957"/>
      <c r="K926" s="1039" t="s">
        <v>2743</v>
      </c>
      <c r="L926" s="1041" t="s">
        <v>2744</v>
      </c>
      <c r="M926" s="1036" t="s">
        <v>2745</v>
      </c>
      <c r="N926" s="1036"/>
      <c r="O926" s="1038"/>
      <c r="P926" s="957"/>
    </row>
    <row r="927" spans="5:16" ht="29" x14ac:dyDescent="0.25">
      <c r="E927" s="1044" t="str" cm="1">
        <f t="array" ref="E927">INDEX(K927:O927, , F$2)</f>
        <v xml:space="preserve">Please verify that the translation checks in column I and between rows </v>
      </c>
      <c r="J927" s="957"/>
      <c r="K927" s="1039" t="s">
        <v>2746</v>
      </c>
      <c r="L927" s="1053" t="s">
        <v>2747</v>
      </c>
      <c r="M927" s="1039" t="s">
        <v>2748</v>
      </c>
      <c r="N927" s="1039"/>
      <c r="O927" s="1038"/>
      <c r="P927" s="957"/>
    </row>
    <row r="928" spans="5:16" x14ac:dyDescent="0.25">
      <c r="E928" s="1044" t="str" cm="1">
        <f t="array" ref="E928">INDEX(K928:O928, , F$2)</f>
        <v>and</v>
      </c>
      <c r="J928" s="957"/>
      <c r="K928" s="1039" t="s">
        <v>2749</v>
      </c>
      <c r="L928" s="1041" t="s">
        <v>2750</v>
      </c>
      <c r="M928" s="1036" t="s">
        <v>2751</v>
      </c>
      <c r="N928" s="1036"/>
      <c r="O928" s="1036"/>
      <c r="P928" s="957"/>
    </row>
    <row r="929" spans="5:16" x14ac:dyDescent="0.25">
      <c r="E929" s="1044" t="str" cm="1">
        <f t="array" ref="E929">INDEX(K929:O929, , F$2)</f>
        <v>are green.</v>
      </c>
      <c r="J929" s="957"/>
      <c r="K929" s="1039" t="s">
        <v>2752</v>
      </c>
      <c r="L929" s="1053" t="s">
        <v>2753</v>
      </c>
      <c r="M929" s="1039" t="s">
        <v>2754</v>
      </c>
      <c r="N929" s="1039"/>
      <c r="O929" s="1038"/>
      <c r="P929" s="957"/>
    </row>
    <row r="930" spans="5:16" ht="72.5" x14ac:dyDescent="0.25">
      <c r="E930" s="1044" t="str" cm="1">
        <f t="array" ref="E930">INDEX(K930:O930, , F$2)</f>
        <v>Carry is treated as a loan to SOC. Alternative treatment where costs are met by IOC and recovered from SOC revenues is not modelled.</v>
      </c>
      <c r="J930" s="957"/>
      <c r="K930" s="1039" t="s">
        <v>2755</v>
      </c>
      <c r="L930" s="1039" t="s">
        <v>2756</v>
      </c>
      <c r="M930" s="1039" t="s">
        <v>2757</v>
      </c>
      <c r="N930" s="1039"/>
      <c r="O930" s="1038"/>
      <c r="P930" s="957"/>
    </row>
  </sheetData>
  <conditionalFormatting sqref="E493:E923 E1 E931:E1048576 E430:E491 E3:E428">
    <cfRule type="duplicateValues" dxfId="24" priority="19"/>
    <cfRule type="duplicateValues" dxfId="23" priority="21"/>
  </conditionalFormatting>
  <conditionalFormatting sqref="E849">
    <cfRule type="duplicateValues" dxfId="22" priority="15"/>
    <cfRule type="duplicateValues" dxfId="21" priority="16"/>
  </conditionalFormatting>
  <conditionalFormatting sqref="E904:E923">
    <cfRule type="duplicateValues" dxfId="20" priority="232"/>
    <cfRule type="duplicateValues" dxfId="19" priority="233"/>
  </conditionalFormatting>
  <conditionalFormatting sqref="K1">
    <cfRule type="duplicateValues" dxfId="18" priority="239"/>
  </conditionalFormatting>
  <conditionalFormatting sqref="E924">
    <cfRule type="duplicateValues" dxfId="17" priority="9"/>
    <cfRule type="duplicateValues" dxfId="16" priority="10"/>
  </conditionalFormatting>
  <conditionalFormatting sqref="E924">
    <cfRule type="duplicateValues" dxfId="15" priority="11"/>
    <cfRule type="duplicateValues" dxfId="14" priority="12"/>
  </conditionalFormatting>
  <conditionalFormatting sqref="E492">
    <cfRule type="duplicateValues" dxfId="13" priority="7"/>
    <cfRule type="duplicateValues" dxfId="12" priority="8"/>
  </conditionalFormatting>
  <conditionalFormatting sqref="E925:E930">
    <cfRule type="duplicateValues" dxfId="11" priority="3"/>
    <cfRule type="duplicateValues" dxfId="10" priority="4"/>
  </conditionalFormatting>
  <conditionalFormatting sqref="E925:E930">
    <cfRule type="duplicateValues" dxfId="9" priority="5"/>
    <cfRule type="duplicateValues" dxfId="8" priority="6"/>
  </conditionalFormatting>
  <conditionalFormatting sqref="E429">
    <cfRule type="duplicateValues" dxfId="7" priority="1"/>
    <cfRule type="duplicateValues" dxfId="6" priority="2"/>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pageSetUpPr autoPageBreaks="0"/>
  </sheetPr>
  <dimension ref="A1:AX3"/>
  <sheetViews>
    <sheetView zoomScale="85" zoomScaleNormal="85" workbookViewId="0">
      <pane xSplit="10" ySplit="3" topLeftCell="K4" activePane="bottomRight" state="frozen"/>
      <selection pane="topRight" activeCell="H2" sqref="H2"/>
      <selection pane="bottomLeft" activeCell="H2" sqref="H2"/>
      <selection pane="bottomRight" activeCell="K4" sqref="K4"/>
    </sheetView>
  </sheetViews>
  <sheetFormatPr defaultColWidth="10.7265625" defaultRowHeight="14.5" outlineLevelCol="1" x14ac:dyDescent="0.25"/>
  <cols>
    <col min="1" max="4" width="1.26953125" style="3" customWidth="1"/>
    <col min="5" max="5" width="50.7265625" style="3" customWidth="1"/>
    <col min="6" max="6" width="12.7265625" style="3" customWidth="1"/>
    <col min="7" max="7" width="15.7265625" style="3" customWidth="1"/>
    <col min="8" max="8" width="40.7265625" style="3" hidden="1" customWidth="1" outlineLevel="1"/>
    <col min="9" max="9" width="12.7265625" style="3" customWidth="1" collapsed="1"/>
    <col min="10" max="10" width="3.7265625" style="3" customWidth="1"/>
    <col min="11" max="16384" width="10.7265625" style="3"/>
  </cols>
  <sheetData>
    <row r="1" spans="1:50" s="373" customFormat="1" ht="15" customHeight="1" x14ac:dyDescent="0.25">
      <c r="A1" s="396" t="str">
        <f ca="1" xml:space="preserve"> RIGHT( CELL("filename",$A$1), LEN( CELL("filename",$A$1)) - SEARCH("]", CELL("filename",$A$1)))</f>
        <v>NewSheet</v>
      </c>
      <c r="B1" s="364"/>
      <c r="C1" s="364"/>
      <c r="D1" s="364"/>
      <c r="E1" s="364"/>
      <c r="F1" s="364"/>
      <c r="G1" s="364"/>
      <c r="H1" s="364"/>
      <c r="I1" s="364"/>
      <c r="J1" s="364"/>
      <c r="K1" s="364">
        <f xml:space="preserve"> ProjectCashflows!K$34</f>
        <v>2021</v>
      </c>
      <c r="L1" s="364">
        <f xml:space="preserve"> ProjectCashflows!L$34</f>
        <v>2022</v>
      </c>
      <c r="M1" s="364">
        <f xml:space="preserve"> ProjectCashflows!M$34</f>
        <v>2023</v>
      </c>
      <c r="N1" s="364">
        <f xml:space="preserve"> ProjectCashflows!N$34</f>
        <v>2024</v>
      </c>
      <c r="O1" s="364">
        <f xml:space="preserve"> ProjectCashflows!O$34</f>
        <v>2025</v>
      </c>
      <c r="P1" s="364">
        <f xml:space="preserve"> ProjectCashflows!P$34</f>
        <v>2026</v>
      </c>
      <c r="Q1" s="364">
        <f xml:space="preserve"> ProjectCashflows!Q$34</f>
        <v>2027</v>
      </c>
      <c r="R1" s="364">
        <f xml:space="preserve"> ProjectCashflows!R$34</f>
        <v>2028</v>
      </c>
      <c r="S1" s="364">
        <f xml:space="preserve"> ProjectCashflows!S$34</f>
        <v>2029</v>
      </c>
      <c r="T1" s="364">
        <f xml:space="preserve"> ProjectCashflows!T$34</f>
        <v>2030</v>
      </c>
      <c r="U1" s="364">
        <f xml:space="preserve"> ProjectCashflows!U$34</f>
        <v>2031</v>
      </c>
      <c r="V1" s="364">
        <f xml:space="preserve"> ProjectCashflows!V$34</f>
        <v>2032</v>
      </c>
      <c r="W1" s="364">
        <f xml:space="preserve"> ProjectCashflows!W$34</f>
        <v>2033</v>
      </c>
      <c r="X1" s="364">
        <f xml:space="preserve"> ProjectCashflows!X$34</f>
        <v>2034</v>
      </c>
      <c r="Y1" s="364">
        <f xml:space="preserve"> ProjectCashflows!Y$34</f>
        <v>2035</v>
      </c>
      <c r="Z1" s="364">
        <f xml:space="preserve"> ProjectCashflows!Z$34</f>
        <v>2036</v>
      </c>
      <c r="AA1" s="364">
        <f xml:space="preserve"> ProjectCashflows!AA$34</f>
        <v>2037</v>
      </c>
      <c r="AB1" s="364">
        <f xml:space="preserve"> ProjectCashflows!AB$34</f>
        <v>2038</v>
      </c>
      <c r="AC1" s="364">
        <f xml:space="preserve"> ProjectCashflows!AC$34</f>
        <v>2039</v>
      </c>
      <c r="AD1" s="364">
        <f xml:space="preserve"> ProjectCashflows!AD$34</f>
        <v>2040</v>
      </c>
      <c r="AE1" s="364">
        <f xml:space="preserve"> ProjectCashflows!AE$34</f>
        <v>2041</v>
      </c>
      <c r="AF1" s="364">
        <f xml:space="preserve"> ProjectCashflows!AF$34</f>
        <v>2042</v>
      </c>
      <c r="AG1" s="364">
        <f xml:space="preserve"> ProjectCashflows!AG$34</f>
        <v>2043</v>
      </c>
      <c r="AH1" s="364">
        <f xml:space="preserve"> ProjectCashflows!AH$34</f>
        <v>2044</v>
      </c>
      <c r="AI1" s="364">
        <f xml:space="preserve"> ProjectCashflows!AI$34</f>
        <v>2045</v>
      </c>
      <c r="AJ1" s="364">
        <f xml:space="preserve"> ProjectCashflows!AJ$34</f>
        <v>2046</v>
      </c>
      <c r="AK1" s="364">
        <f xml:space="preserve"> ProjectCashflows!AK$34</f>
        <v>2047</v>
      </c>
      <c r="AL1" s="364">
        <f xml:space="preserve"> ProjectCashflows!AL$34</f>
        <v>2048</v>
      </c>
      <c r="AM1" s="364">
        <f xml:space="preserve"> ProjectCashflows!AM$34</f>
        <v>2049</v>
      </c>
      <c r="AN1" s="364">
        <f xml:space="preserve"> ProjectCashflows!AN$34</f>
        <v>2050</v>
      </c>
      <c r="AO1" s="364">
        <f xml:space="preserve"> ProjectCashflows!AO$34</f>
        <v>2051</v>
      </c>
      <c r="AP1" s="364">
        <f xml:space="preserve"> ProjectCashflows!AP$34</f>
        <v>2052</v>
      </c>
      <c r="AQ1" s="364">
        <f xml:space="preserve"> ProjectCashflows!AQ$34</f>
        <v>2053</v>
      </c>
      <c r="AR1" s="364">
        <f xml:space="preserve"> ProjectCashflows!AR$34</f>
        <v>2054</v>
      </c>
      <c r="AS1" s="364">
        <f xml:space="preserve"> ProjectCashflows!AS$34</f>
        <v>2055</v>
      </c>
      <c r="AT1" s="364">
        <f xml:space="preserve"> ProjectCashflows!AT$34</f>
        <v>2056</v>
      </c>
      <c r="AU1" s="364">
        <f xml:space="preserve"> ProjectCashflows!AU$34</f>
        <v>2057</v>
      </c>
      <c r="AV1" s="364">
        <f xml:space="preserve"> ProjectCashflows!AV$34</f>
        <v>2058</v>
      </c>
      <c r="AW1" s="364">
        <f xml:space="preserve"> ProjectCashflows!AW$34</f>
        <v>2059</v>
      </c>
      <c r="AX1" s="364">
        <f xml:space="preserve"> ProjectCashflows!AX$34</f>
        <v>2060</v>
      </c>
    </row>
    <row r="2" spans="1:50" ht="15" customHeight="1" x14ac:dyDescent="0.25">
      <c r="A2" s="93"/>
      <c r="B2" s="94"/>
      <c r="C2" s="95"/>
      <c r="D2" s="95"/>
      <c r="E2" s="3" t="str">
        <f xml:space="preserve"> Translate!E$597</f>
        <v>Row description</v>
      </c>
      <c r="F2" s="250" t="str">
        <f xml:space="preserve"> Translate!E$598</f>
        <v>Constant</v>
      </c>
      <c r="G2" s="931" t="str">
        <f xml:space="preserve"> Translate!E$599</f>
        <v>Units</v>
      </c>
      <c r="H2" s="90" t="str">
        <f>Translate!E600</f>
        <v>Comments</v>
      </c>
      <c r="I2" s="213" t="str">
        <f xml:space="preserve"> Translate!E$601</f>
        <v>Total</v>
      </c>
      <c r="J2" s="48"/>
      <c r="K2" s="13"/>
      <c r="L2" s="13"/>
      <c r="M2" s="13"/>
      <c r="N2" s="97"/>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row>
    <row r="3" spans="1:50" ht="15" customHeight="1" x14ac:dyDescent="0.25">
      <c r="A3" s="89"/>
      <c r="B3" s="89"/>
      <c r="C3" s="89"/>
      <c r="D3" s="89"/>
      <c r="E3" s="89"/>
      <c r="F3" s="159">
        <f ca="1" xml:space="preserve"> ReadMe!$D$7</f>
        <v>0</v>
      </c>
      <c r="G3" s="90" t="str">
        <f xml:space="preserve"> ReadMe!$E$7</f>
        <v>Checks</v>
      </c>
      <c r="H3" s="89"/>
      <c r="I3" s="89"/>
      <c r="J3" s="89"/>
      <c r="K3" s="465">
        <f ca="1" xml:space="preserve"> Track!F$1</f>
        <v>0</v>
      </c>
      <c r="L3" s="3" t="str">
        <f xml:space="preserve"> Track!G$1</f>
        <v>Track changes</v>
      </c>
      <c r="M3" s="89"/>
      <c r="N3" s="89"/>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c r="AT3" s="89"/>
      <c r="AU3" s="89"/>
      <c r="AV3" s="89"/>
      <c r="AW3" s="89"/>
      <c r="AX3" s="89"/>
    </row>
  </sheetData>
  <conditionalFormatting sqref="F3">
    <cfRule type="cellIs" dxfId="5" priority="9" stopIfTrue="1" operator="notEqual">
      <formula>0</formula>
    </cfRule>
    <cfRule type="cellIs" dxfId="4" priority="10" stopIfTrue="1" operator="equal">
      <formula>""</formula>
    </cfRule>
  </conditionalFormatting>
  <conditionalFormatting sqref="F3">
    <cfRule type="cellIs" dxfId="3" priority="7" stopIfTrue="1" operator="notEqual">
      <formula>0</formula>
    </cfRule>
    <cfRule type="cellIs" dxfId="2" priority="8" stopIfTrue="1" operator="equal">
      <formula>""</formula>
    </cfRule>
  </conditionalFormatting>
  <conditionalFormatting sqref="K3">
    <cfRule type="cellIs" dxfId="1" priority="1" stopIfTrue="1" operator="notEqual">
      <formula>0</formula>
    </cfRule>
    <cfRule type="cellIs" dxfId="0" priority="2" stopIfTrue="1" operator="equal">
      <formula>""</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19</vt:i4>
      </vt:variant>
    </vt:vector>
  </HeadingPairs>
  <TitlesOfParts>
    <vt:vector size="35" baseType="lpstr">
      <vt:lpstr>Terms</vt:lpstr>
      <vt:lpstr>ReadMe</vt:lpstr>
      <vt:lpstr>ModelMap</vt:lpstr>
      <vt:lpstr>Key</vt:lpstr>
      <vt:lpstr>Track</vt:lpstr>
      <vt:lpstr>Dashboard</vt:lpstr>
      <vt:lpstr>Inputs</vt:lpstr>
      <vt:lpstr>FiscalModel</vt:lpstr>
      <vt:lpstr>ProjectCashflows</vt:lpstr>
      <vt:lpstr>Analysis</vt:lpstr>
      <vt:lpstr>Charts</vt:lpstr>
      <vt:lpstr>800MMbbl_A</vt:lpstr>
      <vt:lpstr>800MMbbl_B</vt:lpstr>
      <vt:lpstr>200MMbbl</vt:lpstr>
      <vt:lpstr>Translate</vt:lpstr>
      <vt:lpstr>NewSheet</vt:lpstr>
      <vt:lpstr>BEG_FISCAL_PARAMETERS</vt:lpstr>
      <vt:lpstr>Breakeven1</vt:lpstr>
      <vt:lpstr>BreakevenMacroDifference</vt:lpstr>
      <vt:lpstr>BreakevenRegimeCount</vt:lpstr>
      <vt:lpstr>BreakevenResults</vt:lpstr>
      <vt:lpstr>BreakevenResultsTable</vt:lpstr>
      <vt:lpstr>CHK_TOL</vt:lpstr>
      <vt:lpstr>Dashboard</vt:lpstr>
      <vt:lpstr>END_FISCAL_PARAMETERS</vt:lpstr>
      <vt:lpstr>FiscalModel</vt:lpstr>
      <vt:lpstr>Language_Selected</vt:lpstr>
      <vt:lpstr>Languages</vt:lpstr>
      <vt:lpstr>OilPrice</vt:lpstr>
      <vt:lpstr>RegimeSelected</vt:lpstr>
      <vt:lpstr>Translation_fiscal</vt:lpstr>
      <vt:lpstr>Translation_readme</vt:lpstr>
      <vt:lpstr>translation1</vt:lpstr>
      <vt:lpstr>translation2</vt:lpstr>
      <vt:lpstr>translation3</vt:lpstr>
    </vt:vector>
  </TitlesOfParts>
  <Manager/>
  <Company>International Monetary Fund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Petroleum FARI model (2021)</dc:title>
  <dc:subject/>
  <dc:creator>International Monetary Fund. Fiscal Affairs Dept.</dc:creator>
  <cp:keywords/>
  <dc:description/>
  <cp:lastModifiedBy>Benninger, Thomas</cp:lastModifiedBy>
  <cp:revision/>
  <dcterms:created xsi:type="dcterms:W3CDTF">2015-09-09T20:49:50Z</dcterms:created>
  <dcterms:modified xsi:type="dcterms:W3CDTF">2023-02-22T15:12:17Z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eDOCS AutoSave">
    <vt:lpwstr/>
  </property>
  <property fmtid="{D5CDD505-2E9C-101B-9397-08002B2CF9AE}" pid="4" name="{A44787D4-0540-4523-9961-78E4036D8C6D}">
    <vt:lpwstr>{1E28BAB8-8639-4FA5-9398-946F03A4F1F1}</vt:lpwstr>
  </property>
</Properties>
</file>